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40" windowHeight="9765" tabRatio="909" activeTab="1"/>
  </bookViews>
  <sheets>
    <sheet name="Лист1" sheetId="20" r:id="rId1"/>
    <sheet name="осн. фин пок" sheetId="22" r:id="rId2"/>
    <sheet name="I. Фін результат" sheetId="2" r:id="rId3"/>
    <sheet name="ІІ. Розр. з бюджетом" sheetId="19" r:id="rId4"/>
    <sheet name="ІІІ. Рух грош. коштів" sheetId="18" r:id="rId5"/>
    <sheet name="IV. Кап. інвестиції1" sheetId="24" r:id="rId6"/>
    <sheet name="V. коеф" sheetId="23" r:id="rId7"/>
    <sheet name="6.1. Інша інфо_1" sheetId="10" r:id="rId8"/>
    <sheet name="6.2. Інша інфо_2" sheetId="9" r:id="rId9"/>
    <sheet name="Лист2" sheetId="2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2">'I. Фін результат'!$5:$5</definedName>
    <definedName name="_xlnm.Print_Titles" localSheetId="3">'ІІ. Розр. з бюджетом'!$5:$5</definedName>
    <definedName name="_xlnm.Print_Titles" localSheetId="4">'ІІІ. Рух грош. коштів'!$5:$5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7">'6.1. Інша інфо_1'!$A$1:$O$79</definedName>
    <definedName name="_xlnm.Print_Area" localSheetId="8">'6.2. Інша інфо_2'!$A$1:$AE$50</definedName>
    <definedName name="_xlnm.Print_Area" localSheetId="2">'I. Фін результат'!$A$1:$J$168</definedName>
    <definedName name="_xlnm.Print_Area" localSheetId="3">'ІІ. Розр. з бюджетом'!$A$1:$I$44</definedName>
    <definedName name="_xlnm.Print_Area" localSheetId="4">'ІІІ. Рух грош. коштів'!$A$1:$I$86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E10" i="24" l="1"/>
  <c r="F112" i="22"/>
  <c r="E62" i="18" l="1"/>
  <c r="E42" i="18"/>
  <c r="F26" i="10" l="1"/>
  <c r="J24" i="10"/>
  <c r="P71" i="2"/>
  <c r="Q71" i="2"/>
  <c r="R71" i="2"/>
  <c r="O71" i="2"/>
  <c r="P17" i="2"/>
  <c r="Q17" i="2"/>
  <c r="R17" i="2"/>
  <c r="O17" i="2"/>
  <c r="M30" i="9"/>
  <c r="N30" i="9"/>
  <c r="I158" i="2" l="1"/>
  <c r="F12" i="20"/>
  <c r="E12" i="20"/>
  <c r="D12" i="20"/>
  <c r="C12" i="20"/>
  <c r="F180" i="2"/>
  <c r="G158" i="2"/>
  <c r="J32" i="10"/>
  <c r="F9" i="10"/>
  <c r="O29" i="9"/>
  <c r="R29" i="9"/>
  <c r="J36" i="10"/>
  <c r="J26" i="10"/>
  <c r="G180" i="2" l="1"/>
  <c r="H180" i="2"/>
  <c r="I180" i="2"/>
  <c r="C156" i="2"/>
  <c r="C157" i="2"/>
  <c r="F123" i="22" l="1"/>
  <c r="F127" i="22"/>
  <c r="E127" i="22" s="1"/>
  <c r="F122" i="22"/>
  <c r="F124" i="22" s="1"/>
  <c r="E122" i="22"/>
  <c r="E124" i="22"/>
  <c r="C17" i="18"/>
  <c r="C16" i="18" s="1"/>
  <c r="I38" i="18"/>
  <c r="G42" i="18"/>
  <c r="H42" i="18"/>
  <c r="I12" i="2"/>
  <c r="I156" i="2" s="1"/>
  <c r="I50" i="2"/>
  <c r="C171" i="2"/>
  <c r="C170" i="2"/>
  <c r="C169" i="2" s="1"/>
  <c r="I172" i="2"/>
  <c r="X27" i="9"/>
  <c r="Y27" i="9"/>
  <c r="Z27" i="9"/>
  <c r="X29" i="9"/>
  <c r="Y29" i="9"/>
  <c r="W28" i="9"/>
  <c r="W27" i="9"/>
  <c r="D15" i="23"/>
  <c r="E157" i="2" l="1"/>
  <c r="E71" i="2"/>
  <c r="E160" i="2" s="1"/>
  <c r="F118" i="22" s="1"/>
  <c r="F119" i="22" s="1"/>
  <c r="F121" i="22" l="1"/>
  <c r="E13" i="18"/>
  <c r="C158" i="2"/>
  <c r="C159" i="2"/>
  <c r="C160" i="2"/>
  <c r="C155" i="2"/>
  <c r="D50" i="2"/>
  <c r="C50" i="2"/>
  <c r="D19" i="2"/>
  <c r="C19" i="2"/>
  <c r="C124" i="22"/>
  <c r="D14" i="23" s="1"/>
  <c r="E22" i="2" l="1"/>
  <c r="H81" i="2"/>
  <c r="G81" i="2"/>
  <c r="F81" i="2"/>
  <c r="E12" i="2"/>
  <c r="E48" i="2" l="1"/>
  <c r="T9" i="9"/>
  <c r="Q9" i="9"/>
  <c r="M7" i="9"/>
  <c r="Z8" i="9"/>
  <c r="Z9" i="9" s="1"/>
  <c r="W8" i="9"/>
  <c r="W9" i="9" s="1"/>
  <c r="J34" i="10"/>
  <c r="I13" i="2"/>
  <c r="I157" i="2" s="1"/>
  <c r="M8" i="9" l="1"/>
  <c r="M9" i="9" s="1"/>
  <c r="F41" i="2"/>
  <c r="F158" i="2" l="1"/>
  <c r="F13" i="2"/>
  <c r="F157" i="2" s="1"/>
  <c r="H12" i="2"/>
  <c r="H156" i="2" s="1"/>
  <c r="G13" i="2"/>
  <c r="G157" i="2" s="1"/>
  <c r="I30" i="19"/>
  <c r="W29" i="9"/>
  <c r="W30" i="9" s="1"/>
  <c r="F61" i="18"/>
  <c r="F42" i="18"/>
  <c r="F48" i="18" s="1"/>
  <c r="Z28" i="9"/>
  <c r="E61" i="18"/>
  <c r="G61" i="18"/>
  <c r="H61" i="18"/>
  <c r="G38" i="18"/>
  <c r="G48" i="18" s="1"/>
  <c r="H38" i="18"/>
  <c r="H48" i="18" s="1"/>
  <c r="F25" i="19"/>
  <c r="H115" i="2"/>
  <c r="G115" i="2"/>
  <c r="F115" i="2"/>
  <c r="F106" i="2"/>
  <c r="G106" i="2"/>
  <c r="H106" i="2"/>
  <c r="H105" i="2"/>
  <c r="G105" i="2"/>
  <c r="F105" i="2"/>
  <c r="F89" i="2"/>
  <c r="F85" i="2"/>
  <c r="G85" i="2"/>
  <c r="H85" i="2"/>
  <c r="F86" i="2"/>
  <c r="G86" i="2"/>
  <c r="H86" i="2"/>
  <c r="F87" i="2"/>
  <c r="G87" i="2"/>
  <c r="H87" i="2"/>
  <c r="G89" i="2"/>
  <c r="H89" i="2"/>
  <c r="H84" i="2"/>
  <c r="G84" i="2"/>
  <c r="F84" i="2"/>
  <c r="F76" i="2"/>
  <c r="G76" i="2"/>
  <c r="H76" i="2"/>
  <c r="H75" i="2"/>
  <c r="G75" i="2"/>
  <c r="F75" i="2"/>
  <c r="F68" i="2"/>
  <c r="G68" i="2"/>
  <c r="H68" i="2"/>
  <c r="H158" i="2"/>
  <c r="H62" i="2"/>
  <c r="G62" i="2"/>
  <c r="F62" i="2"/>
  <c r="F52" i="2"/>
  <c r="G52" i="2"/>
  <c r="H52" i="2"/>
  <c r="F53" i="2"/>
  <c r="G53" i="2"/>
  <c r="H53" i="2"/>
  <c r="H51" i="2"/>
  <c r="G51" i="2"/>
  <c r="F51" i="2"/>
  <c r="F48" i="2"/>
  <c r="H48" i="2"/>
  <c r="G48" i="2"/>
  <c r="H43" i="2"/>
  <c r="G43" i="2"/>
  <c r="F43" i="2"/>
  <c r="H41" i="2"/>
  <c r="G41" i="2"/>
  <c r="H38" i="2"/>
  <c r="G38" i="2"/>
  <c r="F38" i="2"/>
  <c r="H37" i="2"/>
  <c r="G37" i="2"/>
  <c r="F37" i="2"/>
  <c r="H36" i="2"/>
  <c r="G36" i="2"/>
  <c r="F36" i="2"/>
  <c r="F31" i="2"/>
  <c r="F27" i="2"/>
  <c r="G27" i="2"/>
  <c r="H27" i="2"/>
  <c r="F28" i="2"/>
  <c r="G28" i="2"/>
  <c r="H28" i="2"/>
  <c r="G31" i="2"/>
  <c r="H31" i="2"/>
  <c r="F21" i="2"/>
  <c r="G21" i="2"/>
  <c r="H21" i="2"/>
  <c r="F22" i="2"/>
  <c r="G22" i="2"/>
  <c r="H22" i="2"/>
  <c r="F24" i="2"/>
  <c r="G24" i="2"/>
  <c r="H24" i="2"/>
  <c r="F25" i="2"/>
  <c r="G25" i="2"/>
  <c r="H25" i="2"/>
  <c r="F26" i="2"/>
  <c r="G26" i="2"/>
  <c r="H26" i="2"/>
  <c r="F18" i="2"/>
  <c r="H18" i="2"/>
  <c r="G18" i="2"/>
  <c r="H13" i="2"/>
  <c r="H157" i="2" s="1"/>
  <c r="G12" i="2"/>
  <c r="G156" i="2" s="1"/>
  <c r="H10" i="2"/>
  <c r="G10" i="2"/>
  <c r="F10" i="2"/>
  <c r="H9" i="2"/>
  <c r="G9" i="2"/>
  <c r="F9" i="2"/>
  <c r="H8" i="2"/>
  <c r="G8" i="2"/>
  <c r="F8" i="2"/>
  <c r="F50" i="2" l="1"/>
  <c r="G50" i="2"/>
  <c r="Q30" i="9"/>
  <c r="Y28" i="9"/>
  <c r="Y30" i="9" s="1"/>
  <c r="P30" i="9"/>
  <c r="X28" i="9"/>
  <c r="X30" i="9" s="1"/>
  <c r="H50" i="2"/>
  <c r="O30" i="9"/>
  <c r="O31" i="9" s="1"/>
  <c r="W31" i="9" s="1"/>
  <c r="F6" i="24"/>
  <c r="G19" i="23"/>
  <c r="F12" i="2"/>
  <c r="F156" i="2" s="1"/>
  <c r="G14" i="23"/>
  <c r="P31" i="9" l="1"/>
  <c r="Q31" i="9"/>
  <c r="M31" i="9"/>
  <c r="H6" i="24"/>
  <c r="I6" i="24" s="1"/>
  <c r="E112" i="22" s="1"/>
  <c r="G112" i="22" s="1"/>
  <c r="H112" i="22" s="1"/>
  <c r="I112" i="22" s="1"/>
  <c r="J112" i="22" s="1"/>
  <c r="G6" i="24"/>
  <c r="R30" i="9"/>
  <c r="R31" i="9" s="1"/>
  <c r="Z29" i="9"/>
  <c r="Z30" i="9" s="1"/>
  <c r="N31" i="9" s="1"/>
  <c r="Y31" i="9" l="1"/>
  <c r="Z31" i="9"/>
  <c r="I61" i="18"/>
  <c r="I159" i="2"/>
  <c r="I119" i="2"/>
  <c r="I13" i="18" s="1"/>
  <c r="I88" i="2"/>
  <c r="E86" i="2"/>
  <c r="I83" i="2"/>
  <c r="I71" i="2"/>
  <c r="I67" i="2"/>
  <c r="I44" i="2"/>
  <c r="I34" i="2"/>
  <c r="I30" i="2"/>
  <c r="I23" i="2"/>
  <c r="I20" i="2"/>
  <c r="I42" i="18"/>
  <c r="E9" i="2"/>
  <c r="I61" i="2" l="1"/>
  <c r="I173" i="2"/>
  <c r="I38" i="19"/>
  <c r="I48" i="18"/>
  <c r="E107" i="22" s="1"/>
  <c r="G107" i="22" s="1"/>
  <c r="H107" i="22" s="1"/>
  <c r="I107" i="22" s="1"/>
  <c r="J107" i="22" s="1"/>
  <c r="I19" i="2"/>
  <c r="I11" i="2" s="1"/>
  <c r="I160" i="2"/>
  <c r="E118" i="22" s="1"/>
  <c r="E119" i="22" s="1"/>
  <c r="I174" i="2"/>
  <c r="F23" i="2"/>
  <c r="H23" i="2"/>
  <c r="G23" i="2"/>
  <c r="G30" i="2"/>
  <c r="F30" i="2"/>
  <c r="H30" i="2"/>
  <c r="G44" i="2"/>
  <c r="F44" i="2"/>
  <c r="H44" i="2"/>
  <c r="F71" i="2"/>
  <c r="H71" i="2"/>
  <c r="G71" i="2"/>
  <c r="I103" i="2"/>
  <c r="I12" i="18"/>
  <c r="F119" i="2"/>
  <c r="F13" i="18" s="1"/>
  <c r="H20" i="2"/>
  <c r="F20" i="2"/>
  <c r="G20" i="2"/>
  <c r="H34" i="2"/>
  <c r="F34" i="2"/>
  <c r="G34" i="2"/>
  <c r="G67" i="2"/>
  <c r="H67" i="2"/>
  <c r="F67" i="2"/>
  <c r="F88" i="2"/>
  <c r="F83" i="2" s="1"/>
  <c r="H88" i="2"/>
  <c r="G88" i="2"/>
  <c r="G159" i="2"/>
  <c r="F159" i="2"/>
  <c r="H159" i="2"/>
  <c r="E6" i="24"/>
  <c r="F160" i="2" l="1"/>
  <c r="H38" i="19"/>
  <c r="G38" i="19"/>
  <c r="F38" i="19"/>
  <c r="F61" i="2"/>
  <c r="F12" i="18"/>
  <c r="F103" i="2"/>
  <c r="F98" i="2" s="1"/>
  <c r="E10" i="2"/>
  <c r="E8" i="2"/>
  <c r="E7" i="2" s="1"/>
  <c r="F82" i="22" s="1"/>
  <c r="E37" i="19" l="1"/>
  <c r="E31" i="19"/>
  <c r="E36" i="19"/>
  <c r="E23" i="18"/>
  <c r="E22" i="18"/>
  <c r="E21" i="18" s="1"/>
  <c r="E19" i="18"/>
  <c r="E18" i="18"/>
  <c r="E17" i="18"/>
  <c r="E12" i="18"/>
  <c r="E156" i="2"/>
  <c r="E155" i="2" s="1"/>
  <c r="E132" i="2"/>
  <c r="E131" i="2" s="1"/>
  <c r="E118" i="2"/>
  <c r="E113" i="2"/>
  <c r="E110" i="2"/>
  <c r="E106" i="2"/>
  <c r="E89" i="2"/>
  <c r="E88" i="2"/>
  <c r="E87" i="2"/>
  <c r="E85" i="2"/>
  <c r="E84" i="2"/>
  <c r="E79" i="2"/>
  <c r="E76" i="2"/>
  <c r="E75" i="2"/>
  <c r="E9" i="18"/>
  <c r="E70" i="2"/>
  <c r="E159" i="2" s="1"/>
  <c r="E69" i="2"/>
  <c r="E158" i="2" s="1"/>
  <c r="E68" i="2"/>
  <c r="E67" i="2"/>
  <c r="E62" i="2"/>
  <c r="E59" i="2"/>
  <c r="E58" i="2"/>
  <c r="E45" i="2"/>
  <c r="E44" i="2"/>
  <c r="E43" i="2"/>
  <c r="E39" i="2"/>
  <c r="E37" i="2"/>
  <c r="E16" i="18" l="1"/>
  <c r="E50" i="2"/>
  <c r="E103" i="2"/>
  <c r="E98" i="2" s="1"/>
  <c r="E27" i="19"/>
  <c r="E83" i="2"/>
  <c r="E61" i="2" s="1"/>
  <c r="E35" i="2"/>
  <c r="E31" i="2"/>
  <c r="E30" i="2"/>
  <c r="E29" i="2"/>
  <c r="E28" i="2"/>
  <c r="E27" i="2"/>
  <c r="E20" i="2"/>
  <c r="E19" i="2" s="1"/>
  <c r="E11" i="2" l="1"/>
  <c r="E49" i="2" s="1"/>
  <c r="F29" i="2"/>
  <c r="F19" i="2" s="1"/>
  <c r="H29" i="2"/>
  <c r="H19" i="2" s="1"/>
  <c r="G29" i="2"/>
  <c r="G19" i="2" s="1"/>
  <c r="E83" i="22"/>
  <c r="G83" i="22" s="1"/>
  <c r="H83" i="22" s="1"/>
  <c r="I83" i="22" s="1"/>
  <c r="J83" i="22" s="1"/>
  <c r="D6" i="24"/>
  <c r="D61" i="18"/>
  <c r="D42" i="18"/>
  <c r="D12" i="18"/>
  <c r="D157" i="2"/>
  <c r="D156" i="2"/>
  <c r="D103" i="2"/>
  <c r="D83" i="2"/>
  <c r="D61" i="2" s="1"/>
  <c r="D7" i="2"/>
  <c r="D82" i="22" s="1"/>
  <c r="F11" i="2" l="1"/>
  <c r="C116" i="22"/>
  <c r="C12" i="18"/>
  <c r="C103" i="2"/>
  <c r="C83" i="2"/>
  <c r="C61" i="2" s="1"/>
  <c r="C11" i="2"/>
  <c r="L16" i="2" l="1"/>
  <c r="M16" i="2"/>
  <c r="K16" i="2"/>
  <c r="N70" i="2"/>
  <c r="M70" i="2"/>
  <c r="L70" i="2"/>
  <c r="K70" i="2"/>
  <c r="M15" i="2"/>
  <c r="L15" i="2"/>
  <c r="K15" i="2"/>
  <c r="N16" i="2"/>
  <c r="M69" i="2" l="1"/>
  <c r="N159" i="2"/>
  <c r="K69" i="2"/>
  <c r="K159" i="2"/>
  <c r="L69" i="2"/>
  <c r="F131" i="2"/>
  <c r="D112" i="22"/>
  <c r="D160" i="2" l="1"/>
  <c r="D159" i="2"/>
  <c r="D158" i="2"/>
  <c r="M159" i="2" l="1"/>
  <c r="L159" i="2"/>
  <c r="L22" i="10"/>
  <c r="K8" i="2" l="1"/>
  <c r="L8" i="2"/>
  <c r="K9" i="2"/>
  <c r="L9" i="2"/>
  <c r="F15" i="23" l="1"/>
  <c r="F14" i="23"/>
  <c r="F17" i="23"/>
  <c r="D116" i="22" l="1"/>
  <c r="N52" i="10"/>
  <c r="I7" i="2" l="1"/>
  <c r="F16" i="18"/>
  <c r="H25" i="19"/>
  <c r="G25" i="19"/>
  <c r="I16" i="18"/>
  <c r="I49" i="2" l="1"/>
  <c r="E82" i="22"/>
  <c r="G82" i="22" s="1"/>
  <c r="H82" i="22" s="1"/>
  <c r="I82" i="22" s="1"/>
  <c r="J82" i="22" s="1"/>
  <c r="K137" i="2"/>
  <c r="G17" i="23" l="1"/>
  <c r="G119" i="2"/>
  <c r="H119" i="2"/>
  <c r="F30" i="19"/>
  <c r="G30" i="19"/>
  <c r="I21" i="18"/>
  <c r="C174" i="2"/>
  <c r="G13" i="18" l="1"/>
  <c r="G160" i="2"/>
  <c r="H13" i="18"/>
  <c r="H160" i="2"/>
  <c r="H12" i="18"/>
  <c r="G15" i="23"/>
  <c r="I131" i="2"/>
  <c r="G18" i="23"/>
  <c r="I9" i="18"/>
  <c r="H30" i="19"/>
  <c r="I98" i="2"/>
  <c r="I124" i="2" s="1"/>
  <c r="I134" i="2" s="1"/>
  <c r="E121" i="22" l="1"/>
  <c r="H11" i="2"/>
  <c r="F19" i="23"/>
  <c r="F9" i="18"/>
  <c r="G83" i="2"/>
  <c r="G61" i="2" s="1"/>
  <c r="H9" i="18"/>
  <c r="H83" i="2"/>
  <c r="H61" i="2" s="1"/>
  <c r="D8" i="19"/>
  <c r="C149" i="2"/>
  <c r="D149" i="2"/>
  <c r="D11" i="2"/>
  <c r="C38" i="18"/>
  <c r="C48" i="18" s="1"/>
  <c r="C22" i="19"/>
  <c r="D49" i="2" l="1"/>
  <c r="D83" i="22"/>
  <c r="E124" i="2"/>
  <c r="E134" i="2" s="1"/>
  <c r="F18" i="23"/>
  <c r="C131" i="2"/>
  <c r="C98" i="2"/>
  <c r="C7" i="2"/>
  <c r="C82" i="22" s="1"/>
  <c r="E135" i="2" l="1"/>
  <c r="E25" i="18" s="1"/>
  <c r="E7" i="18"/>
  <c r="E148" i="2"/>
  <c r="C6" i="24"/>
  <c r="C112" i="22" s="1"/>
  <c r="D18" i="23" s="1"/>
  <c r="E15" i="18" l="1"/>
  <c r="E24" i="18" s="1"/>
  <c r="E26" i="18" s="1"/>
  <c r="E24" i="19"/>
  <c r="N53" i="10"/>
  <c r="M54" i="10"/>
  <c r="M53" i="10"/>
  <c r="M52" i="10"/>
  <c r="E137" i="2" l="1"/>
  <c r="M55" i="10"/>
  <c r="C54" i="10" s="1"/>
  <c r="O52" i="10"/>
  <c r="H21" i="18"/>
  <c r="E9" i="19" l="1"/>
  <c r="E64" i="18" s="1"/>
  <c r="E138" i="2"/>
  <c r="C52" i="10"/>
  <c r="C53" i="10"/>
  <c r="H16" i="18"/>
  <c r="I142" i="2"/>
  <c r="I145" i="2"/>
  <c r="E10" i="19" l="1"/>
  <c r="E22" i="19"/>
  <c r="I149" i="2"/>
  <c r="F21" i="18"/>
  <c r="G12" i="18"/>
  <c r="F149" i="2"/>
  <c r="G16" i="18"/>
  <c r="G21" i="18"/>
  <c r="G9" i="18"/>
  <c r="G149" i="2"/>
  <c r="G131" i="2"/>
  <c r="G144" i="2" s="1"/>
  <c r="G103" i="2"/>
  <c r="G98" i="2" s="1"/>
  <c r="G11" i="2"/>
  <c r="G7" i="2"/>
  <c r="H173" i="2"/>
  <c r="H170" i="2"/>
  <c r="H149" i="2"/>
  <c r="H131" i="2"/>
  <c r="H103" i="2"/>
  <c r="H98" i="2" s="1"/>
  <c r="E23" i="19" l="1"/>
  <c r="E21" i="19" s="1"/>
  <c r="E8" i="19"/>
  <c r="G145" i="2"/>
  <c r="F142" i="2"/>
  <c r="G142" i="2"/>
  <c r="G49" i="2"/>
  <c r="D121" i="22"/>
  <c r="C121" i="22"/>
  <c r="O53" i="10"/>
  <c r="L52" i="10"/>
  <c r="L53" i="10"/>
  <c r="F52" i="10"/>
  <c r="D48" i="18"/>
  <c r="C21" i="18"/>
  <c r="C36" i="19"/>
  <c r="C27" i="19" s="1"/>
  <c r="E174" i="2"/>
  <c r="E171" i="2"/>
  <c r="E170" i="2"/>
  <c r="D174" i="2"/>
  <c r="D171" i="2"/>
  <c r="D170" i="2"/>
  <c r="D98" i="2"/>
  <c r="D124" i="2" s="1"/>
  <c r="C173" i="2"/>
  <c r="C172" i="2"/>
  <c r="D131" i="2"/>
  <c r="D134" i="2" l="1"/>
  <c r="O55" i="10"/>
  <c r="D7" i="18" l="1"/>
  <c r="D135" i="2"/>
  <c r="F174" i="2"/>
  <c r="G174" i="2"/>
  <c r="F171" i="2"/>
  <c r="I155" i="2" l="1"/>
  <c r="I171" i="2"/>
  <c r="F155" i="2"/>
  <c r="H155" i="2"/>
  <c r="G155" i="2"/>
  <c r="H171" i="2"/>
  <c r="G171" i="2"/>
  <c r="H174" i="2"/>
  <c r="F7" i="2" l="1"/>
  <c r="F49" i="2" l="1"/>
  <c r="G124" i="2"/>
  <c r="G134" i="2" s="1"/>
  <c r="G135" i="2" s="1"/>
  <c r="F124" i="2" l="1"/>
  <c r="F134" i="2" s="1"/>
  <c r="F135" i="2" s="1"/>
  <c r="G7" i="18"/>
  <c r="G15" i="18" s="1"/>
  <c r="F172" i="2"/>
  <c r="F170" i="2"/>
  <c r="G24" i="19" l="1"/>
  <c r="G25" i="18"/>
  <c r="F7" i="18"/>
  <c r="F148" i="2"/>
  <c r="G148" i="2"/>
  <c r="E48" i="18"/>
  <c r="F15" i="18" l="1"/>
  <c r="F24" i="18" s="1"/>
  <c r="F24" i="19"/>
  <c r="F25" i="18"/>
  <c r="E149" i="2"/>
  <c r="G24" i="18"/>
  <c r="G26" i="18" s="1"/>
  <c r="F169" i="2"/>
  <c r="G146" i="2" l="1"/>
  <c r="G161" i="2" s="1"/>
  <c r="G162" i="2" s="1"/>
  <c r="F173" i="2"/>
  <c r="N15" i="10"/>
  <c r="N16" i="10"/>
  <c r="N17" i="10"/>
  <c r="N18" i="10"/>
  <c r="N19" i="10"/>
  <c r="N20" i="10"/>
  <c r="N22" i="10"/>
  <c r="N23" i="10"/>
  <c r="N24" i="10"/>
  <c r="N26" i="10"/>
  <c r="N27" i="10"/>
  <c r="N28" i="10"/>
  <c r="L16" i="10"/>
  <c r="L17" i="10"/>
  <c r="L18" i="10"/>
  <c r="L19" i="10"/>
  <c r="L20" i="10"/>
  <c r="L23" i="10"/>
  <c r="L24" i="10"/>
  <c r="L26" i="10"/>
  <c r="L27" i="10"/>
  <c r="L28" i="10"/>
  <c r="L35" i="10"/>
  <c r="L15" i="10"/>
  <c r="L31" i="10"/>
  <c r="L32" i="10" l="1"/>
  <c r="D36" i="19" l="1"/>
  <c r="D27" i="19" s="1"/>
  <c r="D57" i="21" s="1"/>
  <c r="H7" i="2"/>
  <c r="H145" i="2" s="1"/>
  <c r="D21" i="18"/>
  <c r="D16" i="18"/>
  <c r="D172" i="2"/>
  <c r="D173" i="2"/>
  <c r="D38" i="21"/>
  <c r="C100" i="22"/>
  <c r="I53" i="10"/>
  <c r="I52" i="10"/>
  <c r="F53" i="10"/>
  <c r="F55" i="10" s="1"/>
  <c r="N35" i="10"/>
  <c r="N32" i="10"/>
  <c r="N31" i="10"/>
  <c r="N30" i="10"/>
  <c r="L30" i="10"/>
  <c r="F116" i="22"/>
  <c r="D124" i="22"/>
  <c r="B110" i="22"/>
  <c r="F109" i="22"/>
  <c r="E109" i="22"/>
  <c r="G109" i="22" s="1"/>
  <c r="H109" i="22" s="1"/>
  <c r="I109" i="22" s="1"/>
  <c r="J109" i="22" s="1"/>
  <c r="D109" i="22"/>
  <c r="C109" i="22"/>
  <c r="B109" i="22"/>
  <c r="B108" i="22"/>
  <c r="B107" i="22"/>
  <c r="B106" i="22"/>
  <c r="C105" i="22"/>
  <c r="B105" i="22"/>
  <c r="B103" i="22"/>
  <c r="F102" i="22"/>
  <c r="D102" i="22"/>
  <c r="C102" i="22"/>
  <c r="B102" i="22"/>
  <c r="B101" i="22"/>
  <c r="B99" i="22"/>
  <c r="B98" i="22"/>
  <c r="B95" i="22"/>
  <c r="D94" i="22"/>
  <c r="B94" i="22"/>
  <c r="B93" i="22"/>
  <c r="B92" i="22"/>
  <c r="B91" i="22"/>
  <c r="B89" i="22"/>
  <c r="B88" i="22"/>
  <c r="B87" i="22"/>
  <c r="F86" i="22"/>
  <c r="E86" i="22"/>
  <c r="G86" i="22" s="1"/>
  <c r="H86" i="22" s="1"/>
  <c r="I86" i="22" s="1"/>
  <c r="J86" i="22" s="1"/>
  <c r="D86" i="22"/>
  <c r="C86" i="22"/>
  <c r="B86" i="22"/>
  <c r="B85" i="22"/>
  <c r="B84" i="22"/>
  <c r="B83" i="22"/>
  <c r="B82" i="22"/>
  <c r="F101" i="22"/>
  <c r="C101" i="22"/>
  <c r="F145" i="2"/>
  <c r="C144" i="2"/>
  <c r="E80" i="21"/>
  <c r="G46" i="21"/>
  <c r="G40" i="21"/>
  <c r="G44" i="21" s="1"/>
  <c r="G49" i="21" s="1"/>
  <c r="J46" i="21"/>
  <c r="I46" i="21"/>
  <c r="H46" i="21"/>
  <c r="F80" i="21"/>
  <c r="D80" i="21"/>
  <c r="C80" i="21"/>
  <c r="F77" i="21"/>
  <c r="D77" i="21"/>
  <c r="C77" i="21"/>
  <c r="D72" i="21"/>
  <c r="B72" i="21"/>
  <c r="B71" i="21"/>
  <c r="B70" i="21"/>
  <c r="B68" i="21"/>
  <c r="B66" i="21"/>
  <c r="F65" i="21"/>
  <c r="E65" i="21"/>
  <c r="D65" i="21"/>
  <c r="C65" i="21"/>
  <c r="B65" i="21"/>
  <c r="B64" i="21"/>
  <c r="B63" i="21"/>
  <c r="B62" i="21"/>
  <c r="C61" i="21"/>
  <c r="B61" i="21"/>
  <c r="B59" i="21"/>
  <c r="F58" i="21"/>
  <c r="D58" i="21"/>
  <c r="C58" i="21"/>
  <c r="B58" i="21"/>
  <c r="C57" i="21"/>
  <c r="B57" i="21"/>
  <c r="C56" i="21"/>
  <c r="B55" i="21"/>
  <c r="B54" i="21"/>
  <c r="B52" i="21"/>
  <c r="B51" i="21"/>
  <c r="D50" i="21"/>
  <c r="B50" i="21"/>
  <c r="B49" i="21"/>
  <c r="B48" i="21"/>
  <c r="B47" i="21"/>
  <c r="B46" i="21"/>
  <c r="B45" i="21"/>
  <c r="B44" i="21"/>
  <c r="B43" i="21"/>
  <c r="E42" i="21"/>
  <c r="B42" i="21"/>
  <c r="B41" i="21"/>
  <c r="J40" i="21"/>
  <c r="J44" i="21" s="1"/>
  <c r="J49" i="21" s="1"/>
  <c r="I40" i="21"/>
  <c r="I44" i="21" s="1"/>
  <c r="I49" i="21" s="1"/>
  <c r="H40" i="21"/>
  <c r="H44" i="21" s="1"/>
  <c r="H49" i="21" s="1"/>
  <c r="B40" i="21"/>
  <c r="B39" i="21"/>
  <c r="C38" i="21"/>
  <c r="B38" i="21"/>
  <c r="V17" i="9"/>
  <c r="D42" i="21"/>
  <c r="F42" i="21"/>
  <c r="C42" i="21"/>
  <c r="D151" i="2"/>
  <c r="E151" i="2"/>
  <c r="E153" i="2" s="1"/>
  <c r="F151" i="2"/>
  <c r="G151" i="2"/>
  <c r="H151" i="2"/>
  <c r="I151" i="2"/>
  <c r="C145" i="2"/>
  <c r="E144" i="2"/>
  <c r="F92" i="22" s="1"/>
  <c r="F144" i="2"/>
  <c r="H144" i="2"/>
  <c r="D143" i="2"/>
  <c r="D91" i="22" s="1"/>
  <c r="E143" i="2"/>
  <c r="F91" i="22" s="1"/>
  <c r="F143" i="2"/>
  <c r="G143" i="2"/>
  <c r="H143" i="2"/>
  <c r="I143" i="2"/>
  <c r="E91" i="22" s="1"/>
  <c r="G91" i="22" s="1"/>
  <c r="H91" i="22" s="1"/>
  <c r="I91" i="22" s="1"/>
  <c r="J91" i="22" s="1"/>
  <c r="C64" i="18"/>
  <c r="K42" i="9"/>
  <c r="O42" i="9"/>
  <c r="M41" i="9"/>
  <c r="G30" i="9"/>
  <c r="D55" i="10"/>
  <c r="B52" i="10" s="1"/>
  <c r="F72" i="21"/>
  <c r="C72" i="21"/>
  <c r="C151" i="2"/>
  <c r="D25" i="18"/>
  <c r="D64" i="18"/>
  <c r="D65" i="18"/>
  <c r="D24" i="19"/>
  <c r="D99" i="22" s="1"/>
  <c r="D23" i="19"/>
  <c r="D22" i="19"/>
  <c r="C143" i="2"/>
  <c r="C91" i="22" s="1"/>
  <c r="J55" i="10"/>
  <c r="G55" i="10"/>
  <c r="E42" i="9"/>
  <c r="AC9" i="9"/>
  <c r="M40" i="9"/>
  <c r="S42" i="9"/>
  <c r="Q42" i="9"/>
  <c r="I42" i="9"/>
  <c r="G42" i="9"/>
  <c r="V30" i="9"/>
  <c r="U30" i="9"/>
  <c r="T30" i="9"/>
  <c r="S30" i="9"/>
  <c r="L30" i="9"/>
  <c r="L31" i="9" s="1"/>
  <c r="X31" i="9" s="1"/>
  <c r="K30" i="9"/>
  <c r="J30" i="9"/>
  <c r="I30" i="9"/>
  <c r="H30" i="9"/>
  <c r="AD18" i="9"/>
  <c r="V18" i="9" s="1"/>
  <c r="AB18" i="9"/>
  <c r="Z18" i="9"/>
  <c r="X18" i="9"/>
  <c r="K64" i="10"/>
  <c r="C68" i="21"/>
  <c r="C65" i="18"/>
  <c r="C23" i="19"/>
  <c r="C21" i="19" s="1"/>
  <c r="C98" i="22" s="1"/>
  <c r="D47" i="21"/>
  <c r="D144" i="2"/>
  <c r="D48" i="21" s="1"/>
  <c r="F100" i="22"/>
  <c r="F56" i="21"/>
  <c r="D68" i="21"/>
  <c r="F68" i="21"/>
  <c r="D107" i="22"/>
  <c r="D100" i="22"/>
  <c r="D56" i="21"/>
  <c r="F38" i="21"/>
  <c r="F57" i="21"/>
  <c r="E100" i="22"/>
  <c r="G100" i="22" s="1"/>
  <c r="H100" i="22" s="1"/>
  <c r="I100" i="22" s="1"/>
  <c r="J100" i="22" s="1"/>
  <c r="E56" i="21"/>
  <c r="F107" i="22"/>
  <c r="F63" i="21"/>
  <c r="E172" i="2"/>
  <c r="E173" i="2"/>
  <c r="G172" i="2"/>
  <c r="D11" i="20" s="1"/>
  <c r="H169" i="2"/>
  <c r="C11" i="20"/>
  <c r="C17" i="20" s="1"/>
  <c r="O159" i="2" s="1"/>
  <c r="O160" i="2" s="1"/>
  <c r="F11" i="20"/>
  <c r="H172" i="2"/>
  <c r="E11" i="20" s="1"/>
  <c r="G173" i="2"/>
  <c r="G170" i="2"/>
  <c r="G169" i="2" s="1"/>
  <c r="I170" i="2"/>
  <c r="I169" i="2" s="1"/>
  <c r="F83" i="22"/>
  <c r="F39" i="21"/>
  <c r="F47" i="21" l="1"/>
  <c r="D21" i="19"/>
  <c r="D54" i="21" s="1"/>
  <c r="F13" i="23"/>
  <c r="F8" i="23"/>
  <c r="D101" i="22"/>
  <c r="D92" i="22"/>
  <c r="E47" i="21"/>
  <c r="M42" i="9"/>
  <c r="B53" i="10"/>
  <c r="B54" i="10"/>
  <c r="C108" i="22"/>
  <c r="E63" i="21"/>
  <c r="E39" i="21"/>
  <c r="H49" i="2"/>
  <c r="H124" i="2" s="1"/>
  <c r="H134" i="2" s="1"/>
  <c r="H135" i="2" s="1"/>
  <c r="E68" i="21"/>
  <c r="E74" i="21" s="1"/>
  <c r="E77" i="21" s="1"/>
  <c r="D75" i="18"/>
  <c r="D108" i="22" s="1"/>
  <c r="D55" i="21"/>
  <c r="D145" i="2"/>
  <c r="C92" i="22"/>
  <c r="F48" i="21"/>
  <c r="D142" i="2"/>
  <c r="D87" i="22" s="1"/>
  <c r="L55" i="10"/>
  <c r="I144" i="2"/>
  <c r="E92" i="22" s="1"/>
  <c r="G92" i="22" s="1"/>
  <c r="H92" i="22" s="1"/>
  <c r="I92" i="22" s="1"/>
  <c r="J92" i="22" s="1"/>
  <c r="C54" i="21"/>
  <c r="C83" i="22"/>
  <c r="C18" i="20"/>
  <c r="F31" i="19" s="1"/>
  <c r="F19" i="20"/>
  <c r="I37" i="19" s="1"/>
  <c r="I36" i="19" s="1"/>
  <c r="F18" i="20"/>
  <c r="I31" i="19" s="1"/>
  <c r="F17" i="20"/>
  <c r="R159" i="2" s="1"/>
  <c r="R160" i="2" s="1"/>
  <c r="D17" i="20"/>
  <c r="P159" i="2" s="1"/>
  <c r="P160" i="2" s="1"/>
  <c r="D18" i="20"/>
  <c r="G31" i="19" s="1"/>
  <c r="D19" i="20"/>
  <c r="G37" i="19" s="1"/>
  <c r="C63" i="21"/>
  <c r="C107" i="22"/>
  <c r="E18" i="20"/>
  <c r="H31" i="19" s="1"/>
  <c r="E19" i="20"/>
  <c r="E17" i="20"/>
  <c r="Q159" i="2" s="1"/>
  <c r="Q160" i="2" s="1"/>
  <c r="C48" i="21"/>
  <c r="I55" i="10"/>
  <c r="E43" i="21"/>
  <c r="E87" i="22"/>
  <c r="G87" i="22" s="1"/>
  <c r="H87" i="22" s="1"/>
  <c r="I87" i="22" s="1"/>
  <c r="J87" i="22" s="1"/>
  <c r="F40" i="21"/>
  <c r="D169" i="2"/>
  <c r="D155" i="2" s="1"/>
  <c r="D63" i="21"/>
  <c r="D17" i="23"/>
  <c r="C9" i="18"/>
  <c r="E169" i="2"/>
  <c r="L34" i="10"/>
  <c r="N34" i="10"/>
  <c r="L36" i="10"/>
  <c r="N36" i="10"/>
  <c r="C19" i="20"/>
  <c r="C47" i="21"/>
  <c r="J50" i="21"/>
  <c r="J55" i="21" s="1"/>
  <c r="J59" i="21" s="1"/>
  <c r="G50" i="21"/>
  <c r="G55" i="21" s="1"/>
  <c r="G59" i="21" s="1"/>
  <c r="H142" i="2"/>
  <c r="H50" i="21"/>
  <c r="H55" i="21" s="1"/>
  <c r="H59" i="21" s="1"/>
  <c r="E142" i="2"/>
  <c r="E145" i="2"/>
  <c r="E38" i="21"/>
  <c r="D41" i="21"/>
  <c r="D85" i="22"/>
  <c r="C85" i="22"/>
  <c r="C41" i="21"/>
  <c r="I50" i="21"/>
  <c r="I55" i="21" s="1"/>
  <c r="I59" i="21" s="1"/>
  <c r="D146" i="2"/>
  <c r="D39" i="21"/>
  <c r="D9" i="18"/>
  <c r="E85" i="22"/>
  <c r="G85" i="22" s="1"/>
  <c r="H85" i="22" s="1"/>
  <c r="I85" i="22" s="1"/>
  <c r="J85" i="22" s="1"/>
  <c r="E41" i="21"/>
  <c r="F41" i="21"/>
  <c r="F85" i="22"/>
  <c r="C142" i="2"/>
  <c r="F37" i="19" l="1"/>
  <c r="F36" i="19" s="1"/>
  <c r="F27" i="19" s="1"/>
  <c r="D39" i="19"/>
  <c r="D103" i="22" s="1"/>
  <c r="I27" i="19"/>
  <c r="H37" i="19"/>
  <c r="H36" i="19" s="1"/>
  <c r="H27" i="19" s="1"/>
  <c r="D15" i="18"/>
  <c r="D24" i="18" s="1"/>
  <c r="D26" i="18" s="1"/>
  <c r="D43" i="21"/>
  <c r="D161" i="2"/>
  <c r="D162" i="2" s="1"/>
  <c r="I135" i="2"/>
  <c r="I137" i="2" s="1"/>
  <c r="H51" i="21"/>
  <c r="H52" i="21" s="1"/>
  <c r="H7" i="18"/>
  <c r="H15" i="18" s="1"/>
  <c r="D98" i="22"/>
  <c r="F84" i="22"/>
  <c r="F7" i="23" s="1"/>
  <c r="D64" i="21"/>
  <c r="D59" i="21"/>
  <c r="C64" i="21"/>
  <c r="E102" i="22"/>
  <c r="G102" i="22" s="1"/>
  <c r="H102" i="22" s="1"/>
  <c r="I102" i="22" s="1"/>
  <c r="J102" i="22" s="1"/>
  <c r="I148" i="2"/>
  <c r="H148" i="2"/>
  <c r="H153" i="2" s="1"/>
  <c r="D88" i="22"/>
  <c r="I51" i="21"/>
  <c r="I52" i="21" s="1"/>
  <c r="E48" i="21"/>
  <c r="C49" i="2"/>
  <c r="C39" i="21"/>
  <c r="G36" i="19"/>
  <c r="F153" i="2"/>
  <c r="G51" i="21"/>
  <c r="G52" i="21" s="1"/>
  <c r="J51" i="21"/>
  <c r="J52" i="21" s="1"/>
  <c r="C43" i="21"/>
  <c r="D40" i="21"/>
  <c r="D84" i="22"/>
  <c r="E40" i="21"/>
  <c r="E84" i="22"/>
  <c r="G7" i="23" s="1"/>
  <c r="F88" i="22"/>
  <c r="F44" i="21"/>
  <c r="F87" i="22"/>
  <c r="F43" i="21"/>
  <c r="C124" i="2" l="1"/>
  <c r="D7" i="23"/>
  <c r="I25" i="18"/>
  <c r="I24" i="19"/>
  <c r="H24" i="19"/>
  <c r="H25" i="18"/>
  <c r="G27" i="19"/>
  <c r="I7" i="18"/>
  <c r="I15" i="18" s="1"/>
  <c r="I24" i="18" s="1"/>
  <c r="C134" i="2"/>
  <c r="C135" i="2" s="1"/>
  <c r="C25" i="18" s="1"/>
  <c r="C88" i="22"/>
  <c r="F146" i="2"/>
  <c r="F161" i="2" s="1"/>
  <c r="F162" i="2" s="1"/>
  <c r="E58" i="21"/>
  <c r="F94" i="22"/>
  <c r="F50" i="21"/>
  <c r="E146" i="2"/>
  <c r="E161" i="2" s="1"/>
  <c r="E101" i="22"/>
  <c r="G101" i="22" s="1"/>
  <c r="H101" i="22" s="1"/>
  <c r="I101" i="22" s="1"/>
  <c r="J101" i="22" s="1"/>
  <c r="E57" i="21"/>
  <c r="C40" i="21"/>
  <c r="C84" i="22"/>
  <c r="G153" i="2"/>
  <c r="H137" i="2"/>
  <c r="H9" i="19" s="1"/>
  <c r="F49" i="21"/>
  <c r="F93" i="22"/>
  <c r="I153" i="2"/>
  <c r="G13" i="23" s="1"/>
  <c r="E88" i="22"/>
  <c r="E44" i="21"/>
  <c r="H24" i="18"/>
  <c r="G84" i="22"/>
  <c r="G88" i="22" s="1"/>
  <c r="G93" i="22" s="1"/>
  <c r="F45" i="21"/>
  <c r="F89" i="22"/>
  <c r="F90" i="22" s="1"/>
  <c r="D44" i="21"/>
  <c r="D148" i="2"/>
  <c r="D153" i="2" s="1"/>
  <c r="G94" i="22" l="1"/>
  <c r="G99" i="22" s="1"/>
  <c r="I26" i="18"/>
  <c r="H26" i="18"/>
  <c r="E162" i="2"/>
  <c r="F10" i="23"/>
  <c r="F11" i="23"/>
  <c r="F9" i="23"/>
  <c r="H64" i="18"/>
  <c r="C137" i="2"/>
  <c r="C7" i="18"/>
  <c r="C15" i="18" s="1"/>
  <c r="I146" i="2"/>
  <c r="I161" i="2" s="1"/>
  <c r="I162" i="2" s="1"/>
  <c r="F99" i="22"/>
  <c r="F55" i="21"/>
  <c r="F26" i="18"/>
  <c r="C44" i="21"/>
  <c r="C148" i="2"/>
  <c r="C153" i="2" s="1"/>
  <c r="D8" i="23" s="1"/>
  <c r="C90" i="22" s="1"/>
  <c r="F137" i="2"/>
  <c r="F9" i="19" s="1"/>
  <c r="H146" i="2"/>
  <c r="H161" i="2" s="1"/>
  <c r="H162" i="2" s="1"/>
  <c r="G95" i="22"/>
  <c r="E49" i="21"/>
  <c r="E93" i="22"/>
  <c r="D89" i="22"/>
  <c r="D90" i="22" s="1"/>
  <c r="D45" i="21"/>
  <c r="D46" i="21" s="1"/>
  <c r="D93" i="22"/>
  <c r="D49" i="21"/>
  <c r="D137" i="2"/>
  <c r="D19" i="19" s="1"/>
  <c r="E89" i="22"/>
  <c r="E45" i="21"/>
  <c r="F106" i="22"/>
  <c r="F62" i="21"/>
  <c r="H84" i="22"/>
  <c r="H88" i="22" s="1"/>
  <c r="H93" i="22" s="1"/>
  <c r="H94" i="22" s="1"/>
  <c r="H139" i="2"/>
  <c r="H138" i="2"/>
  <c r="F95" i="22"/>
  <c r="F96" i="22" s="1"/>
  <c r="F51" i="21"/>
  <c r="E139" i="2"/>
  <c r="C19" i="19" l="1"/>
  <c r="E7" i="19" s="1"/>
  <c r="E19" i="19" s="1"/>
  <c r="G8" i="23"/>
  <c r="G89" i="22"/>
  <c r="H89" i="22" s="1"/>
  <c r="I89" i="22" s="1"/>
  <c r="J89" i="22" s="1"/>
  <c r="G10" i="23"/>
  <c r="I9" i="19"/>
  <c r="I64" i="18" s="1"/>
  <c r="G11" i="23"/>
  <c r="G9" i="23"/>
  <c r="E90" i="22"/>
  <c r="C138" i="2"/>
  <c r="F22" i="19"/>
  <c r="H22" i="19"/>
  <c r="H10" i="19"/>
  <c r="H23" i="19" s="1"/>
  <c r="F10" i="19"/>
  <c r="C24" i="19"/>
  <c r="C146" i="2"/>
  <c r="C50" i="21"/>
  <c r="C94" i="22"/>
  <c r="I138" i="2"/>
  <c r="G96" i="22"/>
  <c r="G98" i="22"/>
  <c r="G103" i="22" s="1"/>
  <c r="C45" i="21"/>
  <c r="C89" i="22"/>
  <c r="D13" i="23" s="1"/>
  <c r="C24" i="18"/>
  <c r="C49" i="21"/>
  <c r="C93" i="22"/>
  <c r="F138" i="2"/>
  <c r="F139" i="2"/>
  <c r="G137" i="2"/>
  <c r="F115" i="22"/>
  <c r="F114" i="22"/>
  <c r="D95" i="22"/>
  <c r="D96" i="22" s="1"/>
  <c r="D138" i="2"/>
  <c r="D51" i="21"/>
  <c r="D139" i="2"/>
  <c r="D106" i="22"/>
  <c r="D80" i="18"/>
  <c r="D62" i="21"/>
  <c r="E50" i="21"/>
  <c r="E94" i="22"/>
  <c r="H99" i="22"/>
  <c r="F46" i="21"/>
  <c r="J84" i="22"/>
  <c r="J88" i="22" s="1"/>
  <c r="J93" i="22" s="1"/>
  <c r="J94" i="22" s="1"/>
  <c r="I84" i="22"/>
  <c r="I88" i="22" s="1"/>
  <c r="I93" i="22" s="1"/>
  <c r="I94" i="22" s="1"/>
  <c r="I139" i="2"/>
  <c r="E95" i="22"/>
  <c r="E96" i="22" s="1"/>
  <c r="E51" i="21"/>
  <c r="H7" i="19" l="1"/>
  <c r="F7" i="19"/>
  <c r="I7" i="19"/>
  <c r="C161" i="2"/>
  <c r="C162" i="2" s="1"/>
  <c r="I10" i="19"/>
  <c r="I8" i="19" s="1"/>
  <c r="I19" i="19" s="1"/>
  <c r="G9" i="19"/>
  <c r="G10" i="19" s="1"/>
  <c r="G23" i="19" s="1"/>
  <c r="F23" i="19"/>
  <c r="F21" i="19" s="1"/>
  <c r="F8" i="19"/>
  <c r="G90" i="22"/>
  <c r="H8" i="19"/>
  <c r="H19" i="19" s="1"/>
  <c r="H21" i="19"/>
  <c r="C26" i="18"/>
  <c r="C79" i="18" s="1"/>
  <c r="G139" i="2"/>
  <c r="C99" i="22"/>
  <c r="C55" i="21"/>
  <c r="C39" i="19"/>
  <c r="I22" i="19"/>
  <c r="E106" i="22"/>
  <c r="G106" i="22" s="1"/>
  <c r="H106" i="22" s="1"/>
  <c r="I106" i="22" s="1"/>
  <c r="J106" i="22" s="1"/>
  <c r="E62" i="21"/>
  <c r="H65" i="18"/>
  <c r="H75" i="18" s="1"/>
  <c r="F64" i="18"/>
  <c r="C95" i="22"/>
  <c r="C51" i="21"/>
  <c r="C139" i="2"/>
  <c r="G138" i="2"/>
  <c r="I99" i="22"/>
  <c r="E46" i="21"/>
  <c r="D115" i="22"/>
  <c r="D114" i="22"/>
  <c r="F70" i="21"/>
  <c r="J99" i="22"/>
  <c r="E65" i="18"/>
  <c r="E75" i="18" s="1"/>
  <c r="F98" i="22"/>
  <c r="F52" i="21"/>
  <c r="F71" i="21"/>
  <c r="H95" i="22"/>
  <c r="E55" i="21"/>
  <c r="E99" i="22"/>
  <c r="D52" i="21"/>
  <c r="D71" i="21"/>
  <c r="D70" i="21"/>
  <c r="D11" i="23" l="1"/>
  <c r="D9" i="23"/>
  <c r="C114" i="22" s="1"/>
  <c r="D10" i="23"/>
  <c r="C115" i="22" s="1"/>
  <c r="I65" i="18"/>
  <c r="I23" i="19"/>
  <c r="I21" i="19" s="1"/>
  <c r="G22" i="19"/>
  <c r="G21" i="19" s="1"/>
  <c r="C106" i="22"/>
  <c r="C80" i="18"/>
  <c r="C96" i="22"/>
  <c r="G8" i="19"/>
  <c r="C62" i="21"/>
  <c r="C59" i="21"/>
  <c r="C103" i="22"/>
  <c r="H80" i="18"/>
  <c r="H39" i="19"/>
  <c r="F65" i="18"/>
  <c r="F75" i="18" s="1"/>
  <c r="G64" i="18"/>
  <c r="C46" i="21"/>
  <c r="E80" i="18"/>
  <c r="I95" i="22"/>
  <c r="I98" i="22" s="1"/>
  <c r="I103" i="22" s="1"/>
  <c r="J95" i="22"/>
  <c r="J96" i="22" s="1"/>
  <c r="H96" i="22"/>
  <c r="H98" i="22"/>
  <c r="H103" i="22" s="1"/>
  <c r="E70" i="21"/>
  <c r="H90" i="22"/>
  <c r="F64" i="21"/>
  <c r="F108" i="22"/>
  <c r="E52" i="21"/>
  <c r="F54" i="21"/>
  <c r="E39" i="19"/>
  <c r="C120" i="22" l="1"/>
  <c r="E77" i="18"/>
  <c r="F105" i="22" s="1"/>
  <c r="G7" i="19"/>
  <c r="G19" i="19" s="1"/>
  <c r="F19" i="19"/>
  <c r="C66" i="21"/>
  <c r="I75" i="18"/>
  <c r="I80" i="18" s="1"/>
  <c r="C110" i="22"/>
  <c r="C76" i="21"/>
  <c r="F39" i="19"/>
  <c r="F80" i="18"/>
  <c r="I96" i="22"/>
  <c r="G39" i="19"/>
  <c r="G65" i="18"/>
  <c r="G75" i="18" s="1"/>
  <c r="D61" i="21"/>
  <c r="D79" i="18"/>
  <c r="D120" i="22" s="1"/>
  <c r="D105" i="22"/>
  <c r="C70" i="21"/>
  <c r="C71" i="21"/>
  <c r="C52" i="21"/>
  <c r="J98" i="22"/>
  <c r="J103" i="22" s="1"/>
  <c r="F59" i="21"/>
  <c r="F103" i="22"/>
  <c r="E54" i="21"/>
  <c r="E83" i="21" s="1"/>
  <c r="I39" i="19"/>
  <c r="E98" i="22"/>
  <c r="J90" i="22"/>
  <c r="I90" i="22"/>
  <c r="E79" i="18" l="1"/>
  <c r="F110" i="22" s="1"/>
  <c r="F61" i="21"/>
  <c r="E108" i="22"/>
  <c r="G108" i="22" s="1"/>
  <c r="H108" i="22" s="1"/>
  <c r="I108" i="22" s="1"/>
  <c r="J108" i="22" s="1"/>
  <c r="E64" i="21"/>
  <c r="G80" i="18"/>
  <c r="D66" i="21"/>
  <c r="D76" i="21"/>
  <c r="D110" i="22"/>
  <c r="E59" i="21"/>
  <c r="E103" i="22"/>
  <c r="E116" i="22"/>
  <c r="E115" i="22"/>
  <c r="G77" i="18" l="1"/>
  <c r="G79" i="18" s="1"/>
  <c r="F120" i="22"/>
  <c r="F76" i="21"/>
  <c r="F77" i="18"/>
  <c r="F79" i="18" s="1"/>
  <c r="F66" i="21"/>
  <c r="I77" i="18"/>
  <c r="E105" i="22" s="1"/>
  <c r="H77" i="18"/>
  <c r="H79" i="18" s="1"/>
  <c r="E72" i="21"/>
  <c r="E71" i="21"/>
  <c r="I79" i="18" l="1"/>
  <c r="E120" i="22" s="1"/>
  <c r="E61" i="21"/>
  <c r="E114" i="22"/>
  <c r="E76" i="21" l="1"/>
  <c r="E66" i="21"/>
  <c r="G61" i="21" s="1"/>
  <c r="G66" i="21" s="1"/>
  <c r="H61" i="21" s="1"/>
  <c r="H66" i="21" s="1"/>
  <c r="I61" i="21" s="1"/>
  <c r="I66" i="21" s="1"/>
  <c r="J61" i="21" s="1"/>
  <c r="J66" i="21" s="1"/>
  <c r="E110" i="22"/>
  <c r="G105" i="22" s="1"/>
  <c r="G110" i="22" s="1"/>
  <c r="H105" i="22" s="1"/>
  <c r="H110" i="22" s="1"/>
  <c r="I105" i="22" s="1"/>
  <c r="I110" i="22" s="1"/>
  <c r="J105" i="22" s="1"/>
  <c r="J110" i="22" s="1"/>
</calcChain>
</file>

<file path=xl/comments1.xml><?xml version="1.0" encoding="utf-8"?>
<comments xmlns="http://schemas.openxmlformats.org/spreadsheetml/2006/main">
  <authors>
    <author>1235</author>
  </authors>
  <commentList>
    <comment ref="C19" authorId="0">
      <text>
        <r>
          <rPr>
            <b/>
            <sz val="18"/>
            <color indexed="81"/>
            <rFont val="Tahoma"/>
            <family val="2"/>
            <charset val="204"/>
          </rPr>
          <t xml:space="preserve">-251 по балансу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1235</author>
  </authors>
  <commentList>
    <comment ref="E38" authorId="0">
      <text>
        <r>
          <rPr>
            <b/>
            <sz val="16"/>
            <color indexed="81"/>
            <rFont val="Tahoma"/>
            <family val="2"/>
            <charset val="204"/>
          </rPr>
          <t>по балансу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2" authorId="0">
      <text>
        <r>
          <rPr>
            <b/>
            <sz val="16"/>
            <color indexed="81"/>
            <rFont val="Tahoma"/>
            <family val="2"/>
            <charset val="204"/>
          </rPr>
          <t>по балансу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2" authorId="0">
      <text>
        <r>
          <rPr>
            <b/>
            <sz val="22"/>
            <color indexed="81"/>
            <rFont val="Tahoma"/>
            <family val="2"/>
            <charset val="204"/>
          </rPr>
          <t>8795</t>
        </r>
        <r>
          <rPr>
            <sz val="22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<sst xmlns="http://schemas.openxmlformats.org/spreadsheetml/2006/main" count="1021" uniqueCount="623">
  <si>
    <t>Код рядка</t>
  </si>
  <si>
    <t>капітальне будівництво</t>
  </si>
  <si>
    <t>придбання (виготовлення) основних засобів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</si>
  <si>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</si>
  <si>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</si>
  <si>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</si>
  <si>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</si>
  <si>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</si>
  <si>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</si>
  <si>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</si>
  <si>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</si>
  <si>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</si>
  <si>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</si>
  <si>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</si>
  <si>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</si>
  <si>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</si>
  <si>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</si>
  <si>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</si>
  <si>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Додаток 1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</si>
  <si>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</si>
  <si>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</si>
  <si>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</si>
  <si>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</si>
  <si>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</si>
  <si>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</si>
  <si>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</si>
  <si>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</si>
  <si>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</si>
  <si>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</si>
  <si>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</si>
  <si>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</si>
  <si>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</si>
  <si>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</si>
  <si>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</si>
  <si>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</si>
  <si>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</si>
  <si>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</si>
  <si>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</si>
  <si>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</si>
  <si>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Фінансовий план поточного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</si>
  <si>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</si>
  <si>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</si>
  <si>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</si>
  <si>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</si>
  <si>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</si>
  <si>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</si>
  <si>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</si>
  <si>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</si>
  <si>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</si>
  <si>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</si>
  <si>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</si>
  <si>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</si>
  <si>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</si>
  <si>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</si>
  <si>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</si>
  <si>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</si>
  <si>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</si>
  <si>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</si>
  <si>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</si>
  <si>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</si>
  <si>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</si>
  <si>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</si>
  <si>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</si>
  <si>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</si>
  <si>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</si>
  <si>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</si>
  <si>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</si>
  <si>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План поточного року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</si>
  <si>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</si>
  <si>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</si>
  <si>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</si>
  <si>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</si>
  <si>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</si>
  <si>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</si>
  <si>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</si>
  <si>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за минулий рік</t>
  </si>
  <si>
    <t>за плановий рік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</si>
  <si>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</si>
  <si>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</si>
  <si>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</si>
  <si>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</si>
  <si>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</si>
  <si>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</si>
  <si>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рік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</si>
  <si>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</si>
  <si>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</si>
  <si>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</si>
  <si>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</si>
  <si>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</si>
  <si>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</si>
  <si>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</si>
  <si>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</si>
  <si>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</si>
  <si>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</si>
  <si>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</si>
  <si>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</si>
  <si>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</si>
  <si>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</si>
  <si>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</si>
  <si>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</si>
  <si>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</si>
  <si>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</si>
  <si>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</si>
  <si>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</si>
  <si>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</si>
  <si>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</si>
  <si>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</si>
  <si>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</si>
  <si>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Планові показники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</si>
  <si>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</si>
  <si>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</si>
  <si>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</si>
  <si>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</si>
  <si>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</si>
  <si>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</si>
  <si>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</si>
  <si>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</si>
  <si>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</si>
  <si>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</si>
  <si>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</si>
  <si>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</si>
  <si>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</si>
  <si>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</si>
  <si>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</si>
  <si>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</si>
  <si>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</si>
  <si>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</si>
  <si>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</si>
  <si>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</si>
  <si>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</si>
  <si>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</si>
  <si>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</si>
  <si>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</si>
  <si>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</si>
  <si>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</si>
  <si>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</si>
  <si>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</si>
  <si>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</si>
  <si>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</si>
  <si>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</si>
  <si>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</si>
  <si>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</si>
  <si>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</si>
  <si>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</si>
  <si>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______________________________________</t>
  </si>
  <si>
    <t>у тому числі за основними видами діяльності за КВЕД</t>
  </si>
  <si>
    <r>
      <t>Керівник</t>
    </r>
    <r>
      <rPr>
        <sz val="14"/>
        <rFont val="Times New Roman"/>
        <family val="1"/>
        <charset val="204"/>
      </rPr>
      <t xml:space="preserve">   _____________________________________</t>
    </r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</si>
  <si>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</si>
  <si>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</si>
  <si>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</si>
  <si>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Плановий рік</t>
  </si>
  <si>
    <t>Код за ЄДРПОУ</t>
  </si>
  <si>
    <t>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</si>
  <si>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</si>
  <si>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</si>
  <si>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</si>
  <si>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</si>
  <si>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</si>
  <si>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</si>
  <si>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</si>
  <si>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</si>
  <si>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</si>
  <si>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</si>
  <si>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</si>
  <si>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</si>
  <si>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</si>
  <si>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</si>
  <si>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</si>
  <si>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</si>
  <si>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</si>
  <si>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</si>
  <si>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</si>
  <si>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</si>
  <si>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</si>
  <si>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</si>
  <si>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</si>
  <si>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</si>
  <si>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</si>
  <si>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</si>
  <si>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</si>
  <si>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</si>
  <si>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</si>
  <si>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</si>
  <si>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Прогноз на поточний рік</t>
  </si>
  <si>
    <t>Розрахунок показника EBITDA</t>
  </si>
  <si>
    <t>Коефіцієнт рентабельності власного капіталу</t>
  </si>
  <si>
    <t>ФІНАНСОВИЙ ПЛАН ПІДПРИЄМСТВА НА ________ рік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</si>
  <si>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</si>
  <si>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</si>
  <si>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</si>
  <si>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</si>
  <si>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</si>
  <si>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</si>
  <si>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</si>
  <si>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</si>
  <si>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</si>
  <si>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</si>
  <si>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</si>
  <si>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</si>
  <si>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</si>
  <si>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</si>
  <si>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</si>
  <si>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</si>
  <si>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</si>
  <si>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</si>
  <si>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</si>
  <si>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</si>
  <si>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</si>
  <si>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</si>
  <si>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</si>
  <si>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</si>
  <si>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</si>
  <si>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</si>
  <si>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</si>
  <si>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</si>
  <si>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</si>
  <si>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</si>
  <si>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</si>
  <si>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</si>
  <si>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</si>
  <si>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</si>
  <si>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</si>
  <si>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</si>
  <si>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</si>
  <si>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</si>
  <si>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</si>
  <si>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</si>
  <si>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</si>
  <si>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</si>
  <si>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</si>
  <si>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</si>
  <si>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</si>
  <si>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</si>
  <si>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</si>
  <si>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</si>
  <si>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</si>
  <si>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</si>
  <si>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</si>
  <si>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</si>
  <si>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</si>
  <si>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</si>
  <si>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</si>
  <si>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</si>
  <si>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</si>
  <si>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</si>
  <si>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</si>
  <si>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</si>
  <si>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</si>
  <si>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</si>
  <si>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</si>
  <si>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</si>
  <si>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</si>
  <si>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</si>
  <si>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</si>
  <si>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</si>
  <si>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</si>
  <si>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</si>
  <si>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</si>
  <si>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</si>
  <si>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</si>
  <si>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</si>
  <si>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</si>
  <si>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</si>
  <si>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 xml:space="preserve">                                (посада)</t>
  </si>
  <si>
    <t>_________________________</t>
  </si>
  <si>
    <t>____________________________________________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</si>
  <si>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</si>
  <si>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</si>
  <si>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</si>
  <si>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</si>
  <si>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</si>
  <si>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</si>
  <si>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</si>
  <si>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</si>
  <si>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 xml:space="preserve">                (ініціали, прізвище)    </t>
  </si>
  <si>
    <t>директор</t>
  </si>
  <si>
    <t>працівники</t>
  </si>
  <si>
    <t>Найменування показника</t>
  </si>
  <si>
    <t>Інформація згідно із стратегічним планом розвитку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</si>
  <si>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</si>
  <si>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</si>
  <si>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</si>
  <si>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</si>
  <si>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</si>
  <si>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</si>
  <si>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</si>
  <si>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</si>
  <si>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</si>
  <si>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</si>
  <si>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</si>
  <si>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</si>
  <si>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</si>
  <si>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</si>
  <si>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</si>
  <si>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</si>
  <si>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</si>
  <si>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</si>
  <si>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</si>
  <si>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Плановий рік до плану поточного року, %</t>
  </si>
  <si>
    <t>Плановий рік до факту минулого року, %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</si>
  <si>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</si>
  <si>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</si>
  <si>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</si>
  <si>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</si>
  <si>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</si>
  <si>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</si>
  <si>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</si>
  <si>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                    (підпис)</t>
  </si>
  <si>
    <t xml:space="preserve">                                     (посада)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</si>
  <si>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</si>
  <si>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</si>
  <si>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</si>
  <si>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</si>
  <si>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</si>
  <si>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</si>
  <si>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</si>
  <si>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</si>
  <si>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</si>
  <si>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</si>
  <si>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</si>
  <si>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</si>
  <si>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</si>
  <si>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</si>
  <si>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</si>
  <si>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</si>
  <si>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</si>
  <si>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</si>
  <si>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</si>
  <si>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</si>
  <si>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</si>
  <si>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</si>
  <si>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</si>
  <si>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</si>
  <si>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</si>
  <si>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</si>
  <si>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</si>
  <si>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</si>
  <si>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</si>
  <si>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</si>
  <si>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</si>
  <si>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</si>
  <si>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 xml:space="preserve">               (підпис)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</si>
  <si>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</si>
  <si>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</si>
  <si>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</si>
  <si>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</si>
  <si>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</si>
  <si>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</si>
  <si>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</si>
  <si>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</si>
  <si>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 xml:space="preserve">      Загальна інформація про підприємство (резюме)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</si>
  <si>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</si>
  <si>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</si>
  <si>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</si>
  <si>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М. П.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</si>
  <si>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</si>
  <si>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</si>
  <si>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</si>
  <si>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</si>
  <si>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</si>
  <si>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</si>
  <si>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</si>
  <si>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плановий рік
+4 роки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</si>
  <si>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</si>
  <si>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</si>
  <si>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</si>
  <si>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</si>
  <si>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</si>
  <si>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</si>
  <si>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</si>
  <si>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</si>
  <si>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</si>
  <si>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План</t>
  </si>
  <si>
    <t>І   квартал</t>
  </si>
  <si>
    <t>півріччя</t>
  </si>
  <si>
    <t>9 місяців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</si>
  <si>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</si>
  <si>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</si>
  <si>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</si>
  <si>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</si>
  <si>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</si>
  <si>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t>І  квартал</t>
  </si>
  <si>
    <t>І квартал</t>
  </si>
  <si>
    <t xml:space="preserve">І квартал </t>
  </si>
  <si>
    <t>РОЗГЛЯНУТО __________________________________________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</si>
  <si>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</si>
  <si>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______________________________________________________</t>
  </si>
  <si>
    <t xml:space="preserve">(прізвище, ініціали та підпис керівника виконавчого органу міської ради відповідно до підпорядкованості, який розглянув фінансовий план) </t>
  </si>
  <si>
    <t>ЗАТВЕРДЖЕНО ______________________________</t>
  </si>
  <si>
    <t xml:space="preserve">(дата та номер рішення виконавчого </t>
  </si>
  <si>
    <t>комітету міської ради)</t>
  </si>
  <si>
    <t>ПОГОДЖЕНО ________________________________    (прізвище та ініціали та підпис заступника міського голови за напрямом діяльності  підприємства)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</si>
  <si>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</si>
  <si>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Одиниця виміру, тис. гривень без десяткових знаків</t>
  </si>
  <si>
    <t xml:space="preserve">                      (посада)</t>
  </si>
  <si>
    <t>військовий збір</t>
  </si>
  <si>
    <t>Ставка ЄСВ</t>
  </si>
  <si>
    <t>Ставка ЄСВ для інвалідів</t>
  </si>
  <si>
    <t>Відрахування</t>
  </si>
  <si>
    <t>Утримання</t>
  </si>
  <si>
    <t>ПДФО</t>
  </si>
  <si>
    <t>Військовий збір</t>
  </si>
  <si>
    <t>ФОП інвалідів</t>
  </si>
  <si>
    <t>ФОП (загальний)</t>
  </si>
  <si>
    <t>Податок на доходи фізичних осіб</t>
  </si>
  <si>
    <t>2147/1</t>
  </si>
  <si>
    <t>1000/1</t>
  </si>
  <si>
    <t>1076/1</t>
  </si>
  <si>
    <t>використання електроопор, електромонтажні роботи, випробування засобів захисту</t>
  </si>
  <si>
    <t>1000/2</t>
  </si>
  <si>
    <t>Послуги з поточного ремонту обєктів  вуличного освітлення міста (ДСТУ Б.Д.1.1-1:2013)</t>
  </si>
  <si>
    <t>Послуги з утримання та технічного обслуговування обєктів  вуличного освітлення міста (код 33.14.1)</t>
  </si>
  <si>
    <t>Зв'язок</t>
  </si>
  <si>
    <t>Вода, опалення, електроенергія на виробничі потреби</t>
  </si>
  <si>
    <t>Використання електромереж, технічна перевірка лічильників</t>
  </si>
  <si>
    <t>Послуги з приєднання до електричних мереж</t>
  </si>
  <si>
    <t>Підвищення кваліфікації</t>
  </si>
  <si>
    <t>Ремонт та обслуговування оргтехніки</t>
  </si>
  <si>
    <t>Інформаційні послуги</t>
  </si>
  <si>
    <t>Підписка службові відрядження, експлуатація приміщення, канцтовари</t>
  </si>
  <si>
    <t>Оплата за арендовані мережі</t>
  </si>
  <si>
    <t>Витрати на страхування транспортних засобів</t>
  </si>
  <si>
    <t>Визнані штрафи, пені, неустойки</t>
  </si>
  <si>
    <t>Нараховані податки (податок на землю, на воду, на радіочастоти)</t>
  </si>
  <si>
    <t>нараховані (сплачені) відсотки банком на РКО</t>
  </si>
  <si>
    <t>Послуги виготовлення та розміщення рекламної продукції</t>
  </si>
  <si>
    <t>Поточний ремонт, утримання та технічне обслуговування зовнішнього освітлення субпідрядником</t>
  </si>
  <si>
    <t>1018/1</t>
  </si>
  <si>
    <t>1018/2</t>
  </si>
  <si>
    <t>1018/3</t>
  </si>
  <si>
    <t>1018/4</t>
  </si>
  <si>
    <t>1018/5</t>
  </si>
  <si>
    <t>1018/6</t>
  </si>
  <si>
    <t>1018/7</t>
  </si>
  <si>
    <t>1018/8</t>
  </si>
  <si>
    <t>1018/9</t>
  </si>
  <si>
    <t>1018/10</t>
  </si>
  <si>
    <t>1018/11</t>
  </si>
  <si>
    <t>1018/12</t>
  </si>
  <si>
    <t>1018/13</t>
  </si>
  <si>
    <t>1018/14</t>
  </si>
  <si>
    <t>1018/15</t>
  </si>
  <si>
    <t>1018/16</t>
  </si>
  <si>
    <t>1018/17</t>
  </si>
  <si>
    <t>1018/18</t>
  </si>
  <si>
    <t>1018/19</t>
  </si>
  <si>
    <t>1018/20</t>
  </si>
  <si>
    <t>1018/21</t>
  </si>
  <si>
    <t>1018/22</t>
  </si>
  <si>
    <t>1018/23</t>
  </si>
  <si>
    <t>Повірка інструментів, експлуатація приміщення</t>
  </si>
  <si>
    <t>1030/1</t>
  </si>
  <si>
    <t>1030/2</t>
  </si>
  <si>
    <t>1030/3</t>
  </si>
  <si>
    <t>1030/4</t>
  </si>
  <si>
    <t>1030/5</t>
  </si>
  <si>
    <t>1030/6</t>
  </si>
  <si>
    <t>1030/7</t>
  </si>
  <si>
    <t>1030/8</t>
  </si>
  <si>
    <t>1030/9</t>
  </si>
  <si>
    <t>дохід від демонтажу матеріалів</t>
  </si>
  <si>
    <t>дохід від оренди активів</t>
  </si>
  <si>
    <t>дохід від списання кредиторської заборгованості</t>
  </si>
  <si>
    <t>визнані штрафи, пені , неустойки</t>
  </si>
  <si>
    <t>цільове фінансування на придбання необоротних активів</t>
  </si>
  <si>
    <t>собівартість реалізованих активів (металобрухт)</t>
  </si>
  <si>
    <t>Дохід залишків матеріальних цінностей при інвентарізації</t>
  </si>
  <si>
    <t>розрахункове касове обслуговування</t>
  </si>
  <si>
    <t>1062/1</t>
  </si>
  <si>
    <t>канцтовари</t>
  </si>
  <si>
    <t>1062/2</t>
  </si>
  <si>
    <t>податки(земля, вода, радіочастоти)</t>
  </si>
  <si>
    <t>1062/3</t>
  </si>
  <si>
    <t>1062/4</t>
  </si>
  <si>
    <t>1062/5</t>
  </si>
  <si>
    <t>судові витрати</t>
  </si>
  <si>
    <t>1085/1</t>
  </si>
  <si>
    <t>страхування транспортних засобів</t>
  </si>
  <si>
    <t>1085/2</t>
  </si>
  <si>
    <t>1085/3</t>
  </si>
  <si>
    <t>Собівартість реалізованих активів (провід, кабель)</t>
  </si>
  <si>
    <t>1085/4</t>
  </si>
  <si>
    <t>членські внески</t>
  </si>
  <si>
    <t>1085/5</t>
  </si>
  <si>
    <t>проведення мед. огляду</t>
  </si>
  <si>
    <t>1085/6</t>
  </si>
  <si>
    <t>нестачі і втрати від псування ціностей</t>
  </si>
  <si>
    <t>1085/7</t>
  </si>
  <si>
    <t>отримання витягів  та виписок  для участі у тендері</t>
  </si>
  <si>
    <t>1085/8</t>
  </si>
  <si>
    <t>списання дебіторської заборгованості</t>
  </si>
  <si>
    <t>1085/9</t>
  </si>
  <si>
    <t>1085/10</t>
  </si>
  <si>
    <t>перерахування в дохід бюджету за металобрухт від відчуждення майна</t>
  </si>
  <si>
    <t>1085/11</t>
  </si>
  <si>
    <t>1085/12</t>
  </si>
  <si>
    <t>амортизація транспортного засобу в оренді</t>
  </si>
  <si>
    <t>1085/13</t>
  </si>
  <si>
    <t>Ритуальні послуги</t>
  </si>
  <si>
    <t>1085/14</t>
  </si>
  <si>
    <t xml:space="preserve">Амортизація </t>
  </si>
  <si>
    <t>1085/15</t>
  </si>
  <si>
    <t>1085/16</t>
  </si>
  <si>
    <t>1160/1</t>
  </si>
  <si>
    <t>розробка технічної документації</t>
  </si>
  <si>
    <t>2060/1</t>
  </si>
  <si>
    <t>2060/2</t>
  </si>
  <si>
    <t>Відрахування до бюджету за металобрухт</t>
  </si>
  <si>
    <t>Податок на прибуток</t>
  </si>
  <si>
    <t>відстрочені податкові активи</t>
  </si>
  <si>
    <t>3030/1</t>
  </si>
  <si>
    <t>3030/2</t>
  </si>
  <si>
    <t>запаси</t>
  </si>
  <si>
    <t>3050/1</t>
  </si>
  <si>
    <t>дебіторська заборгованість</t>
  </si>
  <si>
    <t>3050/2</t>
  </si>
  <si>
    <t>витрати майбутнів періодів</t>
  </si>
  <si>
    <t>3050/3</t>
  </si>
  <si>
    <t>кредиторська заборгованість за товари, роботи, послуги</t>
  </si>
  <si>
    <t>3061/1</t>
  </si>
  <si>
    <t>інші поточні зобовязання</t>
  </si>
  <si>
    <t>3061/2</t>
  </si>
  <si>
    <t>3270/1</t>
  </si>
  <si>
    <t>транспортні засоби</t>
  </si>
  <si>
    <t>3270/2</t>
  </si>
  <si>
    <t xml:space="preserve">внески органів місцевого самоврядування до статутного капіталу </t>
  </si>
  <si>
    <t>3480/1</t>
  </si>
  <si>
    <t>програма обліку світлоточок</t>
  </si>
  <si>
    <t>3290/1</t>
  </si>
  <si>
    <t xml:space="preserve">      1. Дані про підприємство, персонал та фонд заробітної плати </t>
  </si>
  <si>
    <t>грн.</t>
  </si>
  <si>
    <t>Послуги з утримання та технічного обслуговування обєктів  вуличного освітлення міста( код 33.14.1)</t>
  </si>
  <si>
    <t>використання електропор,електромонтажні роботи,випробування засобів захисту</t>
  </si>
  <si>
    <t>Опель Вектра</t>
  </si>
  <si>
    <t>службові відрядження</t>
  </si>
  <si>
    <t>Придбання (виготовлення) основних засобів ( транспортні засоби)</t>
  </si>
  <si>
    <t>49107, м. Дніпро, вул. Шинна, 26</t>
  </si>
  <si>
    <t>(056) 792-17-19</t>
  </si>
  <si>
    <t>комунальна</t>
  </si>
  <si>
    <t>Міські, районні у містах ради та їх виконавчі органи</t>
  </si>
  <si>
    <t xml:space="preserve">ремот та технічне обслуговування транспортних засобів, інструментальний контроль, технічна діагностика,витрати на паливо </t>
  </si>
  <si>
    <t>організаційно-технічні послуги , обслуговування орг. техніки, періодичні видання</t>
  </si>
  <si>
    <t>Амортизація та знос мереж зовнішнього освітлення</t>
  </si>
  <si>
    <t>ремонт оргтехніки, заправка картриджів</t>
  </si>
  <si>
    <t>інші оборотні активи</t>
  </si>
  <si>
    <t>3050/4</t>
  </si>
  <si>
    <t>кількість продукції/             наданих послуг, одиниця виміру, світлоточок</t>
  </si>
  <si>
    <t>Автопослуги та ремонт транспортних засобів</t>
  </si>
  <si>
    <t>зп</t>
  </si>
  <si>
    <t>соц</t>
  </si>
  <si>
    <t>ам</t>
  </si>
  <si>
    <t>матеріали</t>
  </si>
  <si>
    <t>автомобіль</t>
  </si>
  <si>
    <t>Коригування на суму амортизації (зносу)</t>
  </si>
  <si>
    <t>Нараховані відсотки банком</t>
  </si>
  <si>
    <t>Надання послуг стороннім організаціям</t>
  </si>
  <si>
    <t>Придбання (виготовлення) основних засобів (мережі зовнішнього освітлення)</t>
  </si>
  <si>
    <t xml:space="preserve"> Комунальне підприємство "Міськсвітло" Дніпровської міської ради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</si>
  <si>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</t>
  </si>
  <si>
    <t>03341598</t>
  </si>
  <si>
    <t>профспілкові 2,5% культмасові роботи</t>
  </si>
  <si>
    <t>Спецодяг</t>
  </si>
  <si>
    <t>Утилізація ламп</t>
  </si>
  <si>
    <t>1018/24</t>
  </si>
  <si>
    <t>1018/25</t>
  </si>
  <si>
    <t>1018/26</t>
  </si>
  <si>
    <t>Ремонт обладнання</t>
  </si>
  <si>
    <t>Оцінка мереж зовнішнього освітлення</t>
  </si>
  <si>
    <t>Нарахування резерву відпусток (з відрахуванням на соціальні заходи)</t>
  </si>
  <si>
    <t>1062/6</t>
  </si>
  <si>
    <t>Списання необоротніх активів недоамортазиваної суми, ПММ</t>
  </si>
  <si>
    <t>компенсація витрат матеріалів та відпускних працівникам п-ва згідно кол.договора, службові відрядження</t>
  </si>
  <si>
    <t>електроенергія та водовідведення</t>
  </si>
  <si>
    <t>Культмасові роботи</t>
  </si>
  <si>
    <t>Комунальне підприємство "Міськсвітло" Дніпровської міської ради</t>
  </si>
  <si>
    <t>Нарахування резерв відпусток (з відрахуванням на соціальні заходи)</t>
  </si>
  <si>
    <t>витрати на поліпшення основних фондів</t>
  </si>
  <si>
    <t>1085/17</t>
  </si>
  <si>
    <t>1085/18</t>
  </si>
  <si>
    <t>Ремонт та технічне обслуговування транспортних засобів</t>
  </si>
  <si>
    <t>Інформаційні консультаційні послуги</t>
  </si>
  <si>
    <t>1000/3</t>
  </si>
  <si>
    <t>3290/2</t>
  </si>
  <si>
    <t>Охорона праці (дезинфекція, вивезення ТПВ, спецодяг)</t>
  </si>
  <si>
    <t>запрвка картриджів, ремонт оргтехніки</t>
  </si>
  <si>
    <t>фоп+єсв</t>
  </si>
  <si>
    <t>оклады</t>
  </si>
  <si>
    <t>оклады+надбавки</t>
  </si>
  <si>
    <t>Техніко економічного обгрунтування субпроекту «Програма розвитку муніципальної інфраструктури України – зовнішнє освітлення у м.Дніпро (модернізація зовнішнього освітлення у м.Дніпро)</t>
  </si>
  <si>
    <t>Придбання (створення) нематеріальних активів (Техніко економічного обгрунтування субпроекту «Програма розвитку муніципальної інфраструктури України – зовнішнє освітлення у м.Дніпро (модернізація зовнішнього освітлення у м.Дніпро))</t>
  </si>
  <si>
    <t xml:space="preserve">придбання (створення) нематеріальних активів </t>
  </si>
  <si>
    <t>збільшення за рахунок зміни вартості податку на землю</t>
  </si>
  <si>
    <t>семінарм, ліцензійне обслуговування програм М.E.doc, 1С-підприємство</t>
  </si>
  <si>
    <t>Ремонт та технічне обслуговування електричного устаткування</t>
  </si>
  <si>
    <t>33.14</t>
  </si>
  <si>
    <t>ФІНАНСОВИЙ ПЛАН ПІДПРИЄМСТВА НА 2020 рік</t>
  </si>
  <si>
    <t>Відшкодування ПФ пенсій</t>
  </si>
  <si>
    <t>1018/27</t>
  </si>
  <si>
    <t>1085/19</t>
  </si>
  <si>
    <t>Службові відрядження, маршрутні листи, транспортно-експедиторські послуги</t>
  </si>
  <si>
    <t>1085/20</t>
  </si>
  <si>
    <t>Відшодування пенсій у ПФ</t>
  </si>
  <si>
    <t>мережі зовнішнього освітлення (оцінка безхазяйних мереж)</t>
  </si>
  <si>
    <t>В. о. директора</t>
  </si>
  <si>
    <t>Січовий М. Ю.</t>
  </si>
  <si>
    <t>до фінансового плану на 2020 рік</t>
  </si>
  <si>
    <t>Фактичний показник за 2018 рік</t>
  </si>
  <si>
    <t>Плановий показник поточного 2019 року</t>
  </si>
  <si>
    <t>Фактичний показник поточного року за останній звітний період 2019 року</t>
  </si>
  <si>
    <t>Плановий 2020 рік</t>
  </si>
  <si>
    <t>1018/28</t>
  </si>
  <si>
    <t>Розробка ТЕО (техніко-економічного обгрунтування)</t>
  </si>
  <si>
    <t>1018/29</t>
  </si>
  <si>
    <t>Шкода Рапід</t>
  </si>
  <si>
    <t>Середньомісячна заробітна плата за 2019 рік складає</t>
  </si>
  <si>
    <t>Середньомісячна заробітна плата на 2020 рік складає</t>
  </si>
  <si>
    <t>Середньооблікова кількість штатних працівників   157  осіб</t>
  </si>
  <si>
    <t>КП "Міськсвітло" створено до наказу Міністра комунального господарства України від 13 грудня 1956р. № 276 та рішення виконавчого комітету Дніпропетровської міської ради від 3 листопада 1956 року та зареєстрованим № 515 від 16.06.1992 рр. (реєстраційний №2930 від 16.06.1992р.), ідентифікаційний код 03341598</t>
  </si>
  <si>
    <t>Рік 2020</t>
  </si>
  <si>
    <t>без ПДВ</t>
  </si>
  <si>
    <t>персонал факт 2018 ФОП 14678,0 тис. грн. (середньооблікова кількість 124 чол. у т.ч. АУП 36чол.), план 2019 ФОП - 19486 тис. грн. (середньооблікова чисельність 155 чол. у т.ч. АУП 37 чол.), план 2020 ФОП 24271,0 тис. грн. (середньооблікова чисельність 157 чол. у т.ч. АУП 37 чол.)</t>
  </si>
  <si>
    <t>3290/3</t>
  </si>
  <si>
    <t xml:space="preserve">Придбання та монтаж лазероного та світлового обладнання для встановлення на вул. Н. Перемога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</si>
</sst>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#,##0&quot;р.&quot;;[Red]\-#,##0&quot;р.&quot;"/>
    <numFmt numFmtId="7" formatCode="#,##0.00&quot;р.&quot;;\-#,##0.00&quot;р.&quot;"/>
    <numFmt numFmtId="43" formatCode="_-* #,##0.00_р_._-;\-* #,##0.00_р_._-;_-* &quot;-&quot;??_р_._-;_-@_-"/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0.0"/>
    <numFmt numFmtId="167" formatCode="#,##0.0"/>
    <numFmt numFmtId="168" formatCode="###\ ##0.000"/>
    <numFmt numFmtId="169" formatCode="_(&quot;$&quot;* #,##0.00_);_(&quot;$&quot;* \(#,##0.00\);_(&quot;$&quot;* &quot;-&quot;??_);_(@_)"/>
    <numFmt numFmtId="170" formatCode="_(* #,##0_);_(* \(#,##0\);_(* &quot;-&quot;_);_(@_)"/>
    <numFmt numFmtId="171" formatCode="_(* #,##0.00_);_(* \(#,##0.00\);_(* &quot;-&quot;??_);_(@_)"/>
    <numFmt numFmtId="172" formatCode="#,##0.0_ ;[Red]\-#,##0.0\ "/>
    <numFmt numFmtId="173" formatCode="0.0;\(0.0\);\ ;\-"/>
    <numFmt numFmtId="174" formatCode="dd\.mm\.yyyy;@"/>
    <numFmt numFmtId="175" formatCode="_(* #,##0_);_(* \(#,##0\);_(* &quot;-&quot;??_);_(@_)"/>
    <numFmt numFmtId="176" formatCode="0.000"/>
    <numFmt numFmtId="177" formatCode="0.0000"/>
  </numFmts>
  <fonts count="8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6"/>
      <name val="Times New Roman"/>
      <family val="1"/>
      <charset val="204"/>
    </font>
    <font>
      <sz val="16"/>
      <name val="Arial cy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7030A0"/>
      <name val="Times New Roman"/>
      <family val="1"/>
      <charset val="204"/>
    </font>
    <font>
      <b/>
      <sz val="18"/>
      <color indexed="81"/>
      <name val="Tahoma"/>
      <family val="2"/>
      <charset val="204"/>
    </font>
    <font>
      <b/>
      <sz val="22"/>
      <color indexed="81"/>
      <name val="Tahoma"/>
      <family val="2"/>
      <charset val="204"/>
    </font>
    <font>
      <sz val="22"/>
      <color indexed="81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3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5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68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69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84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0" fontId="66" fillId="0" borderId="0" applyFont="0" applyFill="0" applyBorder="0" applyAlignment="0" applyProtection="0"/>
    <xf numFmtId="171" fontId="6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3" fontId="68" fillId="22" borderId="12" applyFill="0" applyBorder="0">
      <alignment horizontal="center" vertical="center" wrapText="1"/>
      <protection locked="0"/>
    </xf>
    <xf numFmtId="168" fontId="69" fillId="0" borderId="0">
      <alignment wrapText="1"/>
    </xf>
    <xf numFmtId="168" fontId="36" fillId="0" borderId="0">
      <alignment wrapText="1"/>
    </xf>
  </cellStyleXfs>
  <cellXfs count="578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67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67" fontId="5" fillId="0" borderId="0" xfId="0" applyNumberFormat="1" applyFont="1" applyFill="1" applyAlignment="1">
      <alignment vertical="center"/>
    </xf>
    <xf numFmtId="0" fontId="12" fillId="0" borderId="0" xfId="0" applyFont="1" applyFill="1"/>
    <xf numFmtId="167" fontId="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/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/>
    <xf numFmtId="0" fontId="1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 shrinkToFit="1"/>
    </xf>
    <xf numFmtId="166" fontId="5" fillId="0" borderId="0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170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182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5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67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Alignment="1" applyProtection="1">
      <alignment vertical="top" wrapText="1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right" vertical="center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horizontal="right" vertical="center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vertical="center"/>
      <protection locked="0"/>
    </xf>
    <xf numFmtId="0" fontId="71" fillId="0" borderId="15" xfId="0" applyFont="1" applyFill="1" applyBorder="1" applyAlignment="1" applyProtection="1">
      <alignment vertical="center"/>
      <protection locked="0"/>
    </xf>
    <xf numFmtId="0" fontId="71" fillId="0" borderId="16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horizontal="left" vertical="center"/>
      <protection locked="0"/>
    </xf>
    <xf numFmtId="0" fontId="71" fillId="0" borderId="3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 wrapText="1"/>
      <protection locked="0"/>
    </xf>
    <xf numFmtId="0" fontId="71" fillId="0" borderId="16" xfId="0" applyFont="1" applyFill="1" applyBorder="1" applyAlignment="1" applyProtection="1">
      <alignment vertical="center" wrapText="1"/>
      <protection locked="0"/>
    </xf>
    <xf numFmtId="0" fontId="71" fillId="0" borderId="3" xfId="0" applyFont="1" applyFill="1" applyBorder="1" applyAlignment="1" applyProtection="1">
      <alignment vertical="center"/>
      <protection locked="0"/>
    </xf>
    <xf numFmtId="0" fontId="71" fillId="0" borderId="17" xfId="0" applyFont="1" applyFill="1" applyBorder="1" applyAlignment="1" applyProtection="1">
      <alignment vertical="center" wrapText="1"/>
      <protection locked="0"/>
    </xf>
    <xf numFmtId="0" fontId="71" fillId="0" borderId="18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vertical="center" wrapText="1"/>
      <protection locked="0"/>
    </xf>
    <xf numFmtId="167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7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67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 applyProtection="1">
      <alignment horizontal="center"/>
      <protection locked="0"/>
    </xf>
    <xf numFmtId="167" fontId="4" fillId="0" borderId="0" xfId="0" quotePrefix="1" applyNumberFormat="1" applyFont="1" applyFill="1" applyBorder="1" applyAlignment="1" applyProtection="1">
      <alignment horizontal="center"/>
      <protection locked="0"/>
    </xf>
    <xf numFmtId="167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245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center" vertical="center"/>
      <protection locked="0"/>
    </xf>
    <xf numFmtId="167" fontId="5" fillId="0" borderId="0" xfId="245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245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1" fontId="0" fillId="0" borderId="0" xfId="0" applyNumberFormat="1"/>
    <xf numFmtId="0" fontId="13" fillId="0" borderId="3" xfId="0" applyFont="1" applyFill="1" applyBorder="1" applyAlignment="1">
      <alignment horizontal="left" vertical="center" wrapText="1"/>
    </xf>
    <xf numFmtId="0" fontId="13" fillId="0" borderId="3" xfId="245" applyFont="1" applyFill="1" applyBorder="1" applyAlignment="1">
      <alignment horizontal="left" vertical="center" wrapText="1"/>
    </xf>
    <xf numFmtId="1" fontId="0" fillId="0" borderId="3" xfId="0" applyNumberFormat="1" applyBorder="1"/>
    <xf numFmtId="0" fontId="0" fillId="0" borderId="3" xfId="0" applyBorder="1"/>
    <xf numFmtId="0" fontId="75" fillId="0" borderId="3" xfId="0" applyFon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10" fontId="0" fillId="0" borderId="3" xfId="0" applyNumberForma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29" borderId="3" xfId="0" applyFont="1" applyFill="1" applyBorder="1" applyAlignment="1">
      <alignment horizontal="left" wrapText="1"/>
    </xf>
    <xf numFmtId="0" fontId="75" fillId="30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1" borderId="3" xfId="0" applyNumberFormat="1" applyFont="1" applyFill="1" applyBorder="1" applyAlignment="1" applyProtection="1">
      <alignment horizontal="center" vertical="center" wrapText="1"/>
    </xf>
    <xf numFmtId="2" fontId="5" fillId="31" borderId="3" xfId="0" applyNumberFormat="1" applyFont="1" applyFill="1" applyBorder="1" applyAlignment="1" applyProtection="1">
      <alignment horizontal="center" vertical="center" wrapText="1"/>
    </xf>
    <xf numFmtId="1" fontId="0" fillId="0" borderId="3" xfId="0" applyNumberFormat="1" applyFill="1" applyBorder="1"/>
    <xf numFmtId="0" fontId="0" fillId="0" borderId="3" xfId="0" applyFill="1" applyBorder="1" applyProtection="1">
      <protection locked="0"/>
    </xf>
    <xf numFmtId="10" fontId="76" fillId="29" borderId="3" xfId="0" applyNumberFormat="1" applyFont="1" applyFill="1" applyBorder="1" applyAlignment="1" applyProtection="1">
      <alignment horizontal="center" vertical="center" wrapText="1"/>
      <protection locked="0"/>
    </xf>
    <xf numFmtId="2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10" fontId="0" fillId="0" borderId="0" xfId="0" applyNumberFormat="1" applyBorder="1" applyAlignment="1">
      <alignment horizontal="center" vertical="center" wrapText="1"/>
    </xf>
    <xf numFmtId="0" fontId="75" fillId="22" borderId="0" xfId="0" applyFont="1" applyFill="1" applyBorder="1" applyAlignment="1">
      <alignment horizontal="left" wrapText="1"/>
    </xf>
    <xf numFmtId="0" fontId="0" fillId="0" borderId="0" xfId="0" applyFill="1" applyBorder="1" applyProtection="1">
      <protection locked="0"/>
    </xf>
    <xf numFmtId="10" fontId="76" fillId="3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3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1" fontId="5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left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0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 vertical="center"/>
    </xf>
    <xf numFmtId="175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167" fontId="5" fillId="0" borderId="0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2" fontId="4" fillId="0" borderId="0" xfId="0" quotePrefix="1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vertical="center"/>
    </xf>
    <xf numFmtId="1" fontId="71" fillId="0" borderId="0" xfId="0" applyNumberFormat="1" applyFont="1" applyFill="1" applyBorder="1" applyAlignment="1">
      <alignment horizontal="left" vertical="center" wrapText="1"/>
    </xf>
    <xf numFmtId="0" fontId="71" fillId="0" borderId="3" xfId="0" applyFont="1" applyFill="1" applyBorder="1" applyAlignment="1">
      <alignment horizontal="center" vertical="center" wrapText="1" shrinkToFit="1"/>
    </xf>
    <xf numFmtId="0" fontId="71" fillId="0" borderId="3" xfId="0" applyNumberFormat="1" applyFont="1" applyFill="1" applyBorder="1" applyAlignment="1">
      <alignment horizontal="center" vertical="center" wrapText="1" shrinkToFit="1"/>
    </xf>
    <xf numFmtId="0" fontId="5" fillId="32" borderId="3" xfId="0" applyFont="1" applyFill="1" applyBorder="1" applyAlignment="1" applyProtection="1">
      <alignment horizontal="center" vertical="center" wrapText="1"/>
    </xf>
    <xf numFmtId="0" fontId="5" fillId="32" borderId="3" xfId="0" applyFont="1" applyFill="1" applyBorder="1" applyAlignment="1" applyProtection="1">
      <alignment horizontal="center" vertical="center"/>
    </xf>
    <xf numFmtId="0" fontId="5" fillId="32" borderId="3" xfId="182" applyFont="1" applyFill="1" applyBorder="1" applyAlignment="1" applyProtection="1">
      <alignment vertical="center" wrapText="1"/>
    </xf>
    <xf numFmtId="1" fontId="5" fillId="32" borderId="3" xfId="0" applyNumberFormat="1" applyFont="1" applyFill="1" applyBorder="1" applyAlignment="1" applyProtection="1">
      <alignment horizontal="center" vertical="center" wrapText="1"/>
    </xf>
    <xf numFmtId="1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3" xfId="182" applyFont="1" applyFill="1" applyBorder="1" applyAlignment="1" applyProtection="1">
      <alignment vertical="center" wrapText="1"/>
    </xf>
    <xf numFmtId="0" fontId="4" fillId="32" borderId="3" xfId="0" applyFont="1" applyFill="1" applyBorder="1" applyAlignment="1" applyProtection="1">
      <alignment vertical="center" wrapText="1"/>
    </xf>
    <xf numFmtId="0" fontId="5" fillId="32" borderId="3" xfId="0" applyFont="1" applyFill="1" applyBorder="1" applyAlignment="1" applyProtection="1">
      <alignment vertical="center" wrapText="1"/>
    </xf>
    <xf numFmtId="176" fontId="5" fillId="32" borderId="3" xfId="0" applyNumberFormat="1" applyFont="1" applyFill="1" applyBorder="1" applyAlignment="1" applyProtection="1">
      <alignment horizontal="center" vertical="center" wrapText="1"/>
    </xf>
    <xf numFmtId="2" fontId="5" fillId="32" borderId="3" xfId="0" applyNumberFormat="1" applyFont="1" applyFill="1" applyBorder="1" applyAlignment="1" applyProtection="1">
      <alignment horizontal="center" vertical="center" wrapText="1"/>
    </xf>
    <xf numFmtId="2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3" xfId="0" applyFont="1" applyFill="1" applyBorder="1" applyAlignment="1" applyProtection="1">
      <alignment horizontal="left" vertical="center" wrapText="1"/>
    </xf>
    <xf numFmtId="0" fontId="5" fillId="32" borderId="3" xfId="245" applyFont="1" applyFill="1" applyBorder="1" applyAlignment="1" applyProtection="1">
      <alignment horizontal="left" vertical="center" wrapText="1"/>
    </xf>
    <xf numFmtId="0" fontId="4" fillId="32" borderId="3" xfId="0" applyFont="1" applyFill="1" applyBorder="1" applyAlignment="1" applyProtection="1">
      <alignment horizontal="left" vertical="center" wrapText="1"/>
    </xf>
    <xf numFmtId="177" fontId="5" fillId="32" borderId="3" xfId="0" applyNumberFormat="1" applyFont="1" applyFill="1" applyBorder="1" applyAlignment="1" applyProtection="1">
      <alignment horizontal="center" vertical="center" wrapText="1"/>
    </xf>
    <xf numFmtId="170" fontId="5" fillId="32" borderId="3" xfId="0" applyNumberFormat="1" applyFont="1" applyFill="1" applyBorder="1" applyAlignment="1" applyProtection="1">
      <alignment horizontal="center" vertical="center" wrapText="1"/>
    </xf>
    <xf numFmtId="167" fontId="5" fillId="32" borderId="3" xfId="0" applyNumberFormat="1" applyFont="1" applyFill="1" applyBorder="1" applyAlignment="1" applyProtection="1">
      <alignment horizontal="center" vertical="center" wrapText="1"/>
    </xf>
    <xf numFmtId="2" fontId="5" fillId="32" borderId="0" xfId="0" applyNumberFormat="1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2" fontId="5" fillId="32" borderId="3" xfId="0" applyNumberFormat="1" applyFont="1" applyFill="1" applyBorder="1" applyAlignment="1" applyProtection="1">
      <alignment horizontal="center" vertical="center" wrapText="1" shrinkToFit="1"/>
    </xf>
    <xf numFmtId="1" fontId="5" fillId="32" borderId="3" xfId="0" applyNumberFormat="1" applyFont="1" applyFill="1" applyBorder="1" applyAlignment="1" applyProtection="1">
      <alignment horizontal="center" vertical="center"/>
    </xf>
    <xf numFmtId="2" fontId="4" fillId="32" borderId="0" xfId="0" applyNumberFormat="1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2" fontId="5" fillId="32" borderId="3" xfId="0" applyNumberFormat="1" applyFont="1" applyFill="1" applyBorder="1" applyAlignment="1" applyProtection="1">
      <alignment horizontal="left" vertical="center" wrapText="1"/>
      <protection locked="0"/>
    </xf>
    <xf numFmtId="2" fontId="5" fillId="32" borderId="3" xfId="0" quotePrefix="1" applyNumberFormat="1" applyFont="1" applyFill="1" applyBorder="1" applyAlignment="1" applyProtection="1">
      <alignment horizontal="center" vertical="center"/>
      <protection locked="0"/>
    </xf>
    <xf numFmtId="2" fontId="4" fillId="32" borderId="3" xfId="0" applyNumberFormat="1" applyFont="1" applyFill="1" applyBorder="1" applyAlignment="1" applyProtection="1">
      <alignment horizontal="left" vertical="center" wrapText="1"/>
    </xf>
    <xf numFmtId="1" fontId="4" fillId="32" borderId="0" xfId="0" applyNumberFormat="1" applyFont="1" applyFill="1" applyBorder="1" applyAlignment="1">
      <alignment vertical="center"/>
    </xf>
    <xf numFmtId="2" fontId="5" fillId="32" borderId="3" xfId="0" applyNumberFormat="1" applyFont="1" applyFill="1" applyBorder="1" applyAlignment="1" applyProtection="1">
      <alignment horizontal="center" vertical="center"/>
      <protection locked="0"/>
    </xf>
    <xf numFmtId="2" fontId="4" fillId="32" borderId="3" xfId="0" applyNumberFormat="1" applyFont="1" applyFill="1" applyBorder="1" applyAlignment="1" applyProtection="1">
      <alignment horizontal="left" vertical="center" wrapText="1"/>
      <protection locked="0"/>
    </xf>
    <xf numFmtId="2" fontId="12" fillId="32" borderId="3" xfId="0" applyNumberFormat="1" applyFont="1" applyFill="1" applyBorder="1" applyAlignment="1" applyProtection="1">
      <alignment horizontal="left" vertical="center" wrapText="1"/>
      <protection locked="0"/>
    </xf>
    <xf numFmtId="2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1" fontId="5" fillId="32" borderId="0" xfId="0" applyNumberFormat="1" applyFont="1" applyFill="1" applyAlignment="1">
      <alignment vertical="center"/>
    </xf>
    <xf numFmtId="1" fontId="85" fillId="32" borderId="0" xfId="0" applyNumberFormat="1" applyFont="1" applyFill="1" applyAlignment="1">
      <alignment vertical="center"/>
    </xf>
    <xf numFmtId="2" fontId="79" fillId="32" borderId="3" xfId="0" applyNumberFormat="1" applyFont="1" applyFill="1" applyBorder="1" applyAlignment="1" applyProtection="1">
      <alignment horizontal="left" vertical="center" wrapText="1"/>
      <protection locked="0"/>
    </xf>
    <xf numFmtId="1" fontId="4" fillId="32" borderId="3" xfId="0" applyNumberFormat="1" applyFont="1" applyFill="1" applyBorder="1" applyAlignment="1" applyProtection="1">
      <alignment horizontal="center" vertical="center" wrapText="1"/>
    </xf>
    <xf numFmtId="2" fontId="80" fillId="32" borderId="3" xfId="0" applyNumberFormat="1" applyFont="1" applyFill="1" applyBorder="1" applyAlignment="1" applyProtection="1">
      <alignment horizontal="left" vertical="center" wrapText="1"/>
      <protection locked="0"/>
    </xf>
    <xf numFmtId="2" fontId="81" fillId="32" borderId="3" xfId="0" applyNumberFormat="1" applyFont="1" applyFill="1" applyBorder="1" applyAlignment="1" applyProtection="1">
      <alignment horizontal="center" vertical="center" wrapText="1"/>
      <protection locked="0"/>
    </xf>
    <xf numFmtId="2" fontId="5" fillId="32" borderId="3" xfId="0" applyNumberFormat="1" applyFont="1" applyFill="1" applyBorder="1" applyAlignment="1" applyProtection="1">
      <alignment horizontal="left" vertical="center" wrapText="1" shrinkToFit="1"/>
      <protection locked="0"/>
    </xf>
    <xf numFmtId="1" fontId="5" fillId="32" borderId="3" xfId="0" applyNumberFormat="1" applyFont="1" applyFill="1" applyBorder="1" applyAlignment="1">
      <alignment horizontal="center" vertical="center" wrapText="1"/>
    </xf>
    <xf numFmtId="2" fontId="5" fillId="32" borderId="3" xfId="182" applyNumberFormat="1" applyFont="1" applyFill="1" applyBorder="1" applyAlignment="1" applyProtection="1">
      <alignment horizontal="left" vertical="center" wrapText="1"/>
    </xf>
    <xf numFmtId="2" fontId="5" fillId="32" borderId="3" xfId="0" applyNumberFormat="1" applyFont="1" applyFill="1" applyBorder="1" applyAlignment="1" applyProtection="1">
      <alignment horizontal="left" vertical="center" wrapText="1"/>
    </xf>
    <xf numFmtId="2" fontId="5" fillId="32" borderId="3" xfId="0" applyNumberFormat="1" applyFont="1" applyFill="1" applyBorder="1" applyAlignment="1">
      <alignment horizontal="left" vertical="center" wrapText="1"/>
    </xf>
    <xf numFmtId="1" fontId="85" fillId="32" borderId="0" xfId="0" applyNumberFormat="1" applyFont="1" applyFill="1" applyBorder="1" applyAlignment="1">
      <alignment vertical="center"/>
    </xf>
    <xf numFmtId="1" fontId="5" fillId="32" borderId="0" xfId="0" applyNumberFormat="1" applyFont="1" applyFill="1" applyBorder="1" applyAlignment="1">
      <alignment vertical="center"/>
    </xf>
    <xf numFmtId="2" fontId="4" fillId="32" borderId="3" xfId="0" applyNumberFormat="1" applyFont="1" applyFill="1" applyBorder="1" applyAlignment="1">
      <alignment horizontal="left" vertical="center" wrapText="1"/>
    </xf>
    <xf numFmtId="1" fontId="4" fillId="32" borderId="3" xfId="0" applyNumberFormat="1" applyFont="1" applyFill="1" applyBorder="1" applyAlignment="1">
      <alignment horizontal="center" vertical="center" wrapText="1"/>
    </xf>
    <xf numFmtId="0" fontId="5" fillId="32" borderId="3" xfId="0" applyFont="1" applyFill="1" applyBorder="1" applyAlignment="1">
      <alignment horizontal="center" vertical="center" wrapText="1" shrinkToFit="1"/>
    </xf>
    <xf numFmtId="0" fontId="5" fillId="32" borderId="3" xfId="245" applyFont="1" applyFill="1" applyBorder="1" applyAlignment="1">
      <alignment horizontal="center" vertical="center"/>
    </xf>
    <xf numFmtId="0" fontId="5" fillId="32" borderId="3" xfId="245" applyFont="1" applyFill="1" applyBorder="1" applyAlignment="1">
      <alignment horizontal="center" vertical="center" wrapText="1"/>
    </xf>
    <xf numFmtId="0" fontId="5" fillId="32" borderId="3" xfId="0" applyFont="1" applyFill="1" applyBorder="1" applyAlignment="1">
      <alignment horizontal="center" vertical="center" wrapText="1"/>
    </xf>
    <xf numFmtId="0" fontId="4" fillId="32" borderId="3" xfId="245" applyFont="1" applyFill="1" applyBorder="1" applyAlignment="1">
      <alignment horizontal="left" vertical="center" wrapText="1"/>
    </xf>
    <xf numFmtId="0" fontId="5" fillId="32" borderId="3" xfId="245" applyFont="1" applyFill="1" applyBorder="1" applyAlignment="1">
      <alignment horizontal="left" vertical="center" wrapText="1"/>
    </xf>
    <xf numFmtId="0" fontId="5" fillId="32" borderId="3" xfId="0" applyFont="1" applyFill="1" applyBorder="1" applyAlignment="1">
      <alignment horizontal="left" vertical="center" wrapText="1"/>
    </xf>
    <xf numFmtId="0" fontId="5" fillId="32" borderId="3" xfId="245" applyFont="1" applyFill="1" applyBorder="1" applyAlignment="1" applyProtection="1">
      <alignment horizontal="left" vertical="center" wrapText="1"/>
      <protection locked="0"/>
    </xf>
    <xf numFmtId="0" fontId="4" fillId="32" borderId="3" xfId="0" applyFont="1" applyFill="1" applyBorder="1" applyAlignment="1">
      <alignment horizontal="center" vertical="center" wrapText="1"/>
    </xf>
    <xf numFmtId="0" fontId="5" fillId="32" borderId="3" xfId="0" applyFont="1" applyFill="1" applyBorder="1" applyAlignment="1" applyProtection="1">
      <alignment horizontal="center" vertical="center" wrapText="1"/>
      <protection locked="0"/>
    </xf>
    <xf numFmtId="0" fontId="5" fillId="32" borderId="3" xfId="0" applyFont="1" applyFill="1" applyBorder="1" applyAlignment="1" applyProtection="1">
      <alignment horizontal="left" vertical="center" wrapText="1"/>
      <protection locked="0"/>
    </xf>
    <xf numFmtId="0" fontId="5" fillId="32" borderId="3" xfId="245" applyFont="1" applyFill="1" applyBorder="1" applyAlignment="1" applyProtection="1">
      <alignment horizontal="center" vertical="center" wrapText="1"/>
      <protection locked="0"/>
    </xf>
    <xf numFmtId="0" fontId="4" fillId="32" borderId="3" xfId="245" applyFont="1" applyFill="1" applyBorder="1" applyAlignment="1" applyProtection="1">
      <alignment horizontal="left" vertical="center" wrapText="1"/>
      <protection locked="0"/>
    </xf>
    <xf numFmtId="0" fontId="4" fillId="32" borderId="3" xfId="245" applyFont="1" applyFill="1" applyBorder="1" applyAlignment="1" applyProtection="1">
      <alignment horizontal="center" vertical="center" wrapText="1"/>
      <protection locked="0"/>
    </xf>
    <xf numFmtId="0" fontId="5" fillId="32" borderId="0" xfId="245" applyFont="1" applyFill="1" applyBorder="1" applyAlignment="1" applyProtection="1">
      <alignment horizontal="left" vertical="center" wrapText="1"/>
      <protection locked="0"/>
    </xf>
    <xf numFmtId="0" fontId="5" fillId="32" borderId="0" xfId="245" applyFont="1" applyFill="1" applyBorder="1" applyAlignment="1" applyProtection="1">
      <alignment horizontal="center" vertical="center" wrapText="1"/>
      <protection locked="0"/>
    </xf>
    <xf numFmtId="0" fontId="15" fillId="32" borderId="0" xfId="245" applyFont="1" applyFill="1"/>
    <xf numFmtId="1" fontId="5" fillId="32" borderId="3" xfId="245" applyNumberFormat="1" applyFont="1" applyFill="1" applyBorder="1" applyAlignment="1" applyProtection="1">
      <alignment horizontal="center" vertical="center" wrapText="1"/>
      <protection locked="0"/>
    </xf>
    <xf numFmtId="1" fontId="5" fillId="32" borderId="3" xfId="245" applyNumberFormat="1" applyFont="1" applyFill="1" applyBorder="1" applyAlignment="1">
      <alignment horizontal="center" vertical="center" wrapText="1"/>
    </xf>
    <xf numFmtId="0" fontId="5" fillId="32" borderId="3" xfId="0" quotePrefix="1" applyFont="1" applyFill="1" applyBorder="1" applyAlignment="1" applyProtection="1">
      <alignment horizontal="center" vertical="center"/>
      <protection locked="0"/>
    </xf>
    <xf numFmtId="0" fontId="5" fillId="32" borderId="3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Alignment="1">
      <alignment vertical="center"/>
    </xf>
    <xf numFmtId="0" fontId="4" fillId="32" borderId="3" xfId="0" applyFont="1" applyFill="1" applyBorder="1" applyAlignment="1">
      <alignment horizontal="center" vertical="center"/>
    </xf>
    <xf numFmtId="0" fontId="5" fillId="32" borderId="3" xfId="0" applyFont="1" applyFill="1" applyBorder="1" applyAlignment="1">
      <alignment horizontal="center" vertical="center"/>
    </xf>
    <xf numFmtId="0" fontId="4" fillId="32" borderId="3" xfId="0" applyFont="1" applyFill="1" applyBorder="1" applyAlignment="1">
      <alignment horizontal="left" vertical="center" wrapText="1"/>
    </xf>
    <xf numFmtId="0" fontId="5" fillId="32" borderId="0" xfId="0" applyFont="1" applyFill="1" applyAlignment="1" applyProtection="1">
      <alignment vertical="center"/>
      <protection locked="0"/>
    </xf>
    <xf numFmtId="0" fontId="4" fillId="32" borderId="0" xfId="0" quotePrefix="1" applyFont="1" applyFill="1" applyBorder="1" applyAlignment="1" applyProtection="1">
      <alignment horizontal="center" vertical="center"/>
      <protection locked="0"/>
    </xf>
    <xf numFmtId="166" fontId="4" fillId="32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3" xfId="0" applyFont="1" applyFill="1" applyBorder="1" applyAlignment="1" applyProtection="1">
      <alignment horizontal="center" vertical="center" wrapText="1"/>
      <protection locked="0"/>
    </xf>
    <xf numFmtId="0" fontId="5" fillId="32" borderId="0" xfId="0" quotePrefix="1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5" fillId="32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Alignment="1">
      <alignment horizontal="center" vertical="center"/>
    </xf>
    <xf numFmtId="0" fontId="5" fillId="32" borderId="3" xfId="0" quotePrefix="1" applyNumberFormat="1" applyFont="1" applyFill="1" applyBorder="1" applyAlignment="1">
      <alignment horizontal="center" vertical="center" wrapText="1"/>
    </xf>
    <xf numFmtId="0" fontId="5" fillId="32" borderId="3" xfId="0" applyNumberFormat="1" applyFont="1" applyFill="1" applyBorder="1" applyAlignment="1">
      <alignment horizontal="center" vertical="center" wrapText="1"/>
    </xf>
    <xf numFmtId="0" fontId="5" fillId="32" borderId="3" xfId="237" applyFont="1" applyFill="1" applyBorder="1" applyAlignment="1">
      <alignment horizontal="center" vertical="center"/>
    </xf>
    <xf numFmtId="0" fontId="4" fillId="32" borderId="3" xfId="237" applyFont="1" applyFill="1" applyBorder="1" applyAlignment="1">
      <alignment horizontal="left" vertical="center" wrapText="1"/>
    </xf>
    <xf numFmtId="0" fontId="4" fillId="32" borderId="3" xfId="237" applyFont="1" applyFill="1" applyBorder="1" applyAlignment="1">
      <alignment horizontal="left" vertical="center"/>
    </xf>
    <xf numFmtId="0" fontId="5" fillId="32" borderId="3" xfId="237" applyNumberFormat="1" applyFont="1" applyFill="1" applyBorder="1" applyAlignment="1">
      <alignment horizontal="center" vertical="center" wrapText="1"/>
    </xf>
    <xf numFmtId="2" fontId="5" fillId="32" borderId="3" xfId="237" applyNumberFormat="1" applyFont="1" applyFill="1" applyBorder="1" applyAlignment="1">
      <alignment horizontal="center" vertical="center" wrapText="1"/>
    </xf>
    <xf numFmtId="49" fontId="5" fillId="32" borderId="3" xfId="237" applyNumberFormat="1" applyFont="1" applyFill="1" applyBorder="1" applyAlignment="1">
      <alignment horizontal="left" vertical="center" wrapText="1"/>
    </xf>
    <xf numFmtId="176" fontId="5" fillId="32" borderId="3" xfId="237" applyNumberFormat="1" applyFont="1" applyFill="1" applyBorder="1" applyAlignment="1">
      <alignment horizontal="center" vertical="center" wrapText="1"/>
    </xf>
    <xf numFmtId="0" fontId="5" fillId="32" borderId="3" xfId="237" applyNumberFormat="1" applyFont="1" applyFill="1" applyBorder="1" applyAlignment="1">
      <alignment horizontal="left" vertical="top" wrapText="1"/>
    </xf>
    <xf numFmtId="0" fontId="5" fillId="32" borderId="3" xfId="237" applyFont="1" applyFill="1" applyBorder="1" applyAlignment="1">
      <alignment horizontal="center" vertical="center" wrapText="1"/>
    </xf>
    <xf numFmtId="167" fontId="5" fillId="32" borderId="3" xfId="237" applyNumberFormat="1" applyFont="1" applyFill="1" applyBorder="1" applyAlignment="1">
      <alignment horizontal="center" vertical="center" wrapText="1"/>
    </xf>
    <xf numFmtId="167" fontId="5" fillId="32" borderId="3" xfId="237" applyNumberFormat="1" applyFont="1" applyFill="1" applyBorder="1" applyAlignment="1" applyProtection="1">
      <alignment horizontal="center" vertical="center" wrapText="1"/>
      <protection locked="0"/>
    </xf>
    <xf numFmtId="0" fontId="5" fillId="32" borderId="3" xfId="237" applyNumberFormat="1" applyFont="1" applyFill="1" applyBorder="1" applyAlignment="1">
      <alignment horizontal="left" vertical="center" wrapText="1"/>
    </xf>
    <xf numFmtId="2" fontId="5" fillId="32" borderId="3" xfId="237" applyNumberFormat="1" applyFont="1" applyFill="1" applyBorder="1" applyAlignment="1" applyProtection="1">
      <alignment horizontal="center" vertical="center" wrapText="1"/>
      <protection locked="0"/>
    </xf>
    <xf numFmtId="49" fontId="5" fillId="32" borderId="3" xfId="237" applyNumberFormat="1" applyFont="1" applyFill="1" applyBorder="1" applyAlignment="1" applyProtection="1">
      <alignment horizontal="left" vertical="center" wrapText="1"/>
      <protection locked="0"/>
    </xf>
    <xf numFmtId="0" fontId="10" fillId="32" borderId="3" xfId="0" applyFont="1" applyFill="1" applyBorder="1" applyAlignment="1">
      <alignment horizontal="left" vertical="center" wrapText="1"/>
    </xf>
    <xf numFmtId="166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3" xfId="0" applyNumberFormat="1" applyFont="1" applyFill="1" applyBorder="1" applyAlignment="1">
      <alignment horizontal="left" vertical="center" wrapText="1"/>
    </xf>
    <xf numFmtId="1" fontId="4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32" borderId="3" xfId="0" applyNumberFormat="1" applyFont="1" applyFill="1" applyBorder="1" applyAlignment="1">
      <alignment horizontal="center" vertical="center" wrapText="1"/>
    </xf>
    <xf numFmtId="1" fontId="5" fillId="32" borderId="3" xfId="0" quotePrefix="1" applyNumberFormat="1" applyFont="1" applyFill="1" applyBorder="1" applyAlignment="1" applyProtection="1">
      <alignment horizontal="center" vertical="center"/>
      <protection locked="0"/>
    </xf>
    <xf numFmtId="1" fontId="4" fillId="32" borderId="3" xfId="0" quotePrefix="1" applyNumberFormat="1" applyFont="1" applyFill="1" applyBorder="1" applyAlignment="1" applyProtection="1">
      <alignment horizontal="center" vertical="center"/>
      <protection locked="0"/>
    </xf>
    <xf numFmtId="1" fontId="5" fillId="32" borderId="3" xfId="0" applyNumberFormat="1" applyFont="1" applyFill="1" applyBorder="1" applyAlignment="1" applyProtection="1">
      <alignment horizontal="center" vertical="center"/>
      <protection locked="0"/>
    </xf>
    <xf numFmtId="1" fontId="5" fillId="32" borderId="3" xfId="0" quotePrefix="1" applyNumberFormat="1" applyFont="1" applyFill="1" applyBorder="1" applyAlignment="1" applyProtection="1">
      <alignment horizontal="center" vertical="center"/>
    </xf>
    <xf numFmtId="1" fontId="4" fillId="32" borderId="3" xfId="0" quotePrefix="1" applyNumberFormat="1" applyFont="1" applyFill="1" applyBorder="1" applyAlignment="1" applyProtection="1">
      <alignment horizontal="center" vertical="center" wrapText="1"/>
    </xf>
    <xf numFmtId="1" fontId="5" fillId="32" borderId="3" xfId="0" quotePrefix="1" applyNumberFormat="1" applyFont="1" applyFill="1" applyBorder="1" applyAlignment="1">
      <alignment horizontal="center" vertical="center" wrapText="1"/>
    </xf>
    <xf numFmtId="1" fontId="4" fillId="32" borderId="3" xfId="0" quotePrefix="1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vertical="center"/>
    </xf>
    <xf numFmtId="0" fontId="5" fillId="32" borderId="3" xfId="245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center" vertical="center" wrapText="1"/>
    </xf>
    <xf numFmtId="0" fontId="5" fillId="32" borderId="3" xfId="245" applyFont="1" applyFill="1" applyBorder="1" applyAlignment="1">
      <alignment horizontal="center" vertical="center" wrapText="1"/>
    </xf>
    <xf numFmtId="0" fontId="5" fillId="32" borderId="3" xfId="0" applyFont="1" applyFill="1" applyBorder="1" applyAlignment="1" applyProtection="1">
      <alignment horizontal="center" vertical="center" wrapText="1"/>
    </xf>
    <xf numFmtId="0" fontId="5" fillId="32" borderId="3" xfId="245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vertical="center"/>
    </xf>
    <xf numFmtId="0" fontId="5" fillId="32" borderId="3" xfId="245" applyFont="1" applyFill="1" applyBorder="1" applyAlignment="1">
      <alignment horizontal="center" vertical="center" wrapText="1"/>
    </xf>
    <xf numFmtId="1" fontId="5" fillId="33" borderId="3" xfId="0" applyNumberFormat="1" applyFont="1" applyFill="1" applyBorder="1" applyAlignment="1" applyProtection="1">
      <alignment horizontal="center" vertical="center" wrapText="1"/>
    </xf>
    <xf numFmtId="0" fontId="5" fillId="33" borderId="0" xfId="245" applyFont="1" applyFill="1" applyBorder="1" applyAlignment="1" applyProtection="1">
      <alignment horizontal="center" vertical="center" wrapText="1"/>
      <protection locked="0"/>
    </xf>
    <xf numFmtId="0" fontId="5" fillId="33" borderId="3" xfId="245" applyFont="1" applyFill="1" applyBorder="1" applyAlignment="1" applyProtection="1">
      <alignment horizontal="center" vertical="center" wrapText="1"/>
      <protection locked="0"/>
    </xf>
    <xf numFmtId="1" fontId="5" fillId="33" borderId="3" xfId="245" applyNumberFormat="1" applyFont="1" applyFill="1" applyBorder="1" applyAlignment="1" applyProtection="1">
      <alignment horizontal="center" vertical="center" wrapText="1"/>
      <protection locked="0"/>
    </xf>
    <xf numFmtId="1" fontId="5" fillId="33" borderId="3" xfId="245" applyNumberFormat="1" applyFont="1" applyFill="1" applyBorder="1" applyAlignment="1">
      <alignment horizontal="center" vertical="center" wrapText="1"/>
    </xf>
    <xf numFmtId="0" fontId="5" fillId="33" borderId="3" xfId="245" applyFont="1" applyFill="1" applyBorder="1" applyAlignment="1">
      <alignment horizontal="center" vertical="center" wrapText="1"/>
    </xf>
    <xf numFmtId="1" fontId="5" fillId="33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3" xfId="0" applyNumberFormat="1" applyFont="1" applyFill="1" applyBorder="1" applyAlignment="1">
      <alignment horizontal="center" vertical="center" wrapText="1"/>
    </xf>
    <xf numFmtId="1" fontId="4" fillId="33" borderId="3" xfId="0" applyNumberFormat="1" applyFont="1" applyFill="1" applyBorder="1" applyAlignment="1">
      <alignment horizontal="center" vertical="center" wrapText="1"/>
    </xf>
    <xf numFmtId="166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>
      <alignment horizontal="center" vertical="center"/>
    </xf>
    <xf numFmtId="0" fontId="75" fillId="0" borderId="3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2" fillId="0" borderId="0" xfId="0" applyFont="1" applyFill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4" fillId="0" borderId="15" xfId="0" applyFont="1" applyFill="1" applyBorder="1" applyAlignment="1" applyProtection="1">
      <alignment horizontal="left" vertical="center" wrapText="1"/>
      <protection locked="0"/>
    </xf>
    <xf numFmtId="0" fontId="74" fillId="0" borderId="16" xfId="0" applyFont="1" applyFill="1" applyBorder="1" applyAlignment="1" applyProtection="1">
      <alignment horizontal="left" vertical="center" wrapText="1"/>
      <protection locked="0"/>
    </xf>
    <xf numFmtId="0" fontId="71" fillId="0" borderId="16" xfId="0" applyFont="1" applyFill="1" applyBorder="1" applyAlignment="1" applyProtection="1">
      <alignment horizontal="left" vertical="center" wrapText="1"/>
      <protection locked="0"/>
    </xf>
    <xf numFmtId="0" fontId="4" fillId="32" borderId="14" xfId="0" applyFont="1" applyFill="1" applyBorder="1" applyAlignment="1" applyProtection="1">
      <alignment horizontal="center"/>
    </xf>
    <xf numFmtId="0" fontId="0" fillId="32" borderId="15" xfId="0" applyFill="1" applyBorder="1"/>
    <xf numFmtId="0" fontId="0" fillId="32" borderId="16" xfId="0" applyFill="1" applyBorder="1"/>
    <xf numFmtId="0" fontId="4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 applyProtection="1">
      <alignment horizontal="center" vertical="center"/>
      <protection locked="0"/>
    </xf>
    <xf numFmtId="0" fontId="4" fillId="32" borderId="14" xfId="237" applyNumberFormat="1" applyFont="1" applyFill="1" applyBorder="1" applyAlignment="1" applyProtection="1">
      <alignment horizontal="center" vertical="center" wrapText="1"/>
    </xf>
    <xf numFmtId="0" fontId="4" fillId="32" borderId="15" xfId="237" applyNumberFormat="1" applyFont="1" applyFill="1" applyBorder="1" applyAlignment="1" applyProtection="1">
      <alignment horizontal="center" vertical="center" wrapText="1"/>
    </xf>
    <xf numFmtId="0" fontId="4" fillId="32" borderId="16" xfId="237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32" borderId="18" xfId="0" applyFont="1" applyFill="1" applyBorder="1" applyAlignment="1" applyProtection="1">
      <alignment horizontal="center" vertical="center" wrapText="1" shrinkToFit="1"/>
    </xf>
    <xf numFmtId="0" fontId="5" fillId="32" borderId="19" xfId="0" applyFont="1" applyFill="1" applyBorder="1" applyAlignment="1" applyProtection="1">
      <alignment horizontal="center" vertical="center" wrapText="1" shrinkToFit="1"/>
    </xf>
    <xf numFmtId="0" fontId="5" fillId="32" borderId="14" xfId="0" applyFont="1" applyFill="1" applyBorder="1" applyAlignment="1" applyProtection="1">
      <alignment horizontal="center" vertical="center" wrapText="1"/>
    </xf>
    <xf numFmtId="0" fontId="5" fillId="32" borderId="15" xfId="0" applyFont="1" applyFill="1" applyBorder="1" applyAlignment="1" applyProtection="1">
      <alignment horizontal="center" vertical="center" wrapText="1"/>
    </xf>
    <xf numFmtId="0" fontId="5" fillId="32" borderId="16" xfId="0" applyFont="1" applyFill="1" applyBorder="1" applyAlignment="1" applyProtection="1">
      <alignment horizontal="center" vertical="center" wrapText="1"/>
    </xf>
    <xf numFmtId="0" fontId="4" fillId="32" borderId="14" xfId="0" applyFont="1" applyFill="1" applyBorder="1" applyAlignment="1" applyProtection="1">
      <alignment horizontal="center" vertical="center" wrapText="1"/>
    </xf>
    <xf numFmtId="0" fontId="4" fillId="32" borderId="15" xfId="0" applyFont="1" applyFill="1" applyBorder="1" applyAlignment="1" applyProtection="1">
      <alignment horizontal="center" vertical="center" wrapText="1"/>
    </xf>
    <xf numFmtId="0" fontId="4" fillId="32" borderId="16" xfId="0" applyFont="1" applyFill="1" applyBorder="1" applyAlignment="1" applyProtection="1">
      <alignment horizontal="center" vertical="center" wrapText="1"/>
    </xf>
    <xf numFmtId="0" fontId="4" fillId="32" borderId="14" xfId="0" applyFont="1" applyFill="1" applyBorder="1" applyAlignment="1" applyProtection="1">
      <alignment horizontal="center" vertical="center"/>
    </xf>
    <xf numFmtId="0" fontId="4" fillId="32" borderId="15" xfId="0" applyFont="1" applyFill="1" applyBorder="1" applyAlignment="1" applyProtection="1">
      <alignment horizontal="center" vertical="center"/>
    </xf>
    <xf numFmtId="0" fontId="4" fillId="32" borderId="16" xfId="0" applyFont="1" applyFill="1" applyBorder="1" applyAlignment="1" applyProtection="1">
      <alignment horizontal="center" vertical="center"/>
    </xf>
    <xf numFmtId="0" fontId="5" fillId="32" borderId="3" xfId="0" applyFont="1" applyFill="1" applyBorder="1" applyAlignment="1" applyProtection="1">
      <alignment horizontal="center" vertical="center"/>
    </xf>
    <xf numFmtId="0" fontId="5" fillId="32" borderId="3" xfId="0" applyFont="1" applyFill="1" applyBorder="1" applyAlignment="1" applyProtection="1">
      <alignment horizontal="center" vertical="center" wrapText="1"/>
    </xf>
    <xf numFmtId="0" fontId="5" fillId="32" borderId="18" xfId="0" applyFont="1" applyFill="1" applyBorder="1" applyAlignment="1" applyProtection="1">
      <alignment horizontal="center" vertical="center" wrapText="1"/>
    </xf>
    <xf numFmtId="0" fontId="5" fillId="32" borderId="19" xfId="0" applyFont="1" applyFill="1" applyBorder="1" applyAlignment="1" applyProtection="1">
      <alignment horizontal="center" vertical="center" wrapText="1"/>
    </xf>
    <xf numFmtId="167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2" fontId="5" fillId="32" borderId="3" xfId="0" applyNumberFormat="1" applyFont="1" applyFill="1" applyBorder="1" applyAlignment="1" applyProtection="1">
      <alignment horizontal="center" vertical="center" wrapText="1"/>
    </xf>
    <xf numFmtId="2" fontId="4" fillId="32" borderId="14" xfId="0" applyNumberFormat="1" applyFont="1" applyFill="1" applyBorder="1" applyAlignment="1" applyProtection="1">
      <alignment horizontal="center" vertical="center" wrapText="1"/>
    </xf>
    <xf numFmtId="2" fontId="4" fillId="32" borderId="15" xfId="0" applyNumberFormat="1" applyFont="1" applyFill="1" applyBorder="1" applyAlignment="1" applyProtection="1">
      <alignment horizontal="center" vertical="center" wrapText="1"/>
    </xf>
    <xf numFmtId="2" fontId="4" fillId="32" borderId="16" xfId="0" applyNumberFormat="1" applyFont="1" applyFill="1" applyBorder="1" applyAlignment="1" applyProtection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2" fontId="4" fillId="32" borderId="16" xfId="0" applyNumberFormat="1" applyFont="1" applyFill="1" applyBorder="1" applyAlignment="1">
      <alignment horizontal="center" vertical="center" wrapText="1"/>
    </xf>
    <xf numFmtId="2" fontId="5" fillId="32" borderId="3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left" vertical="center" wrapText="1"/>
      <protection locked="0"/>
    </xf>
    <xf numFmtId="2" fontId="5" fillId="32" borderId="3" xfId="0" applyNumberFormat="1" applyFont="1" applyFill="1" applyBorder="1" applyAlignment="1" applyProtection="1">
      <alignment horizontal="center" vertical="center" wrapText="1" shrinkToFit="1"/>
    </xf>
    <xf numFmtId="2" fontId="8" fillId="32" borderId="3" xfId="0" applyNumberFormat="1" applyFont="1" applyFill="1" applyBorder="1" applyAlignment="1" applyProtection="1">
      <alignment horizontal="center" vertical="center" wrapText="1"/>
    </xf>
    <xf numFmtId="0" fontId="4" fillId="32" borderId="14" xfId="245" applyFont="1" applyFill="1" applyBorder="1" applyAlignment="1">
      <alignment horizontal="center" vertical="center" wrapText="1"/>
    </xf>
    <xf numFmtId="0" fontId="4" fillId="32" borderId="15" xfId="245" applyFont="1" applyFill="1" applyBorder="1" applyAlignment="1">
      <alignment horizontal="center" vertical="center" wrapText="1"/>
    </xf>
    <xf numFmtId="0" fontId="4" fillId="32" borderId="16" xfId="245" applyFont="1" applyFill="1" applyBorder="1" applyAlignment="1">
      <alignment horizontal="center" vertical="center" wrapText="1"/>
    </xf>
    <xf numFmtId="167" fontId="5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245" applyFont="1" applyFill="1" applyBorder="1" applyAlignment="1">
      <alignment horizontal="center" vertical="center"/>
    </xf>
    <xf numFmtId="0" fontId="5" fillId="32" borderId="3" xfId="0" applyFont="1" applyFill="1" applyBorder="1" applyAlignment="1">
      <alignment horizontal="center" vertical="center"/>
    </xf>
    <xf numFmtId="0" fontId="5" fillId="32" borderId="3" xfId="245" applyFont="1" applyFill="1" applyBorder="1" applyAlignment="1">
      <alignment horizontal="center" vertical="center" wrapText="1"/>
    </xf>
    <xf numFmtId="0" fontId="5" fillId="32" borderId="3" xfId="0" applyFont="1" applyFill="1" applyBorder="1" applyAlignment="1">
      <alignment horizontal="center" vertical="center" wrapText="1" shrinkToFit="1"/>
    </xf>
    <xf numFmtId="0" fontId="5" fillId="32" borderId="3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 applyProtection="1">
      <alignment horizontal="center" vertical="center"/>
      <protection locked="0"/>
    </xf>
    <xf numFmtId="167" fontId="5" fillId="32" borderId="13" xfId="0" applyNumberFormat="1" applyFont="1" applyFill="1" applyBorder="1" applyAlignment="1" applyProtection="1">
      <alignment horizontal="center" vertical="center" wrapText="1"/>
      <protection locked="0"/>
    </xf>
    <xf numFmtId="167" fontId="5" fillId="32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32" borderId="13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>
      <alignment horizontal="center" vertical="center"/>
    </xf>
    <xf numFmtId="0" fontId="4" fillId="32" borderId="14" xfId="245" applyFont="1" applyFill="1" applyBorder="1" applyAlignment="1" applyProtection="1">
      <alignment horizontal="center" vertical="center" wrapText="1"/>
      <protection locked="0"/>
    </xf>
    <xf numFmtId="0" fontId="4" fillId="32" borderId="15" xfId="245" applyFont="1" applyFill="1" applyBorder="1" applyAlignment="1" applyProtection="1">
      <alignment horizontal="center" vertical="center" wrapText="1"/>
      <protection locked="0"/>
    </xf>
    <xf numFmtId="0" fontId="4" fillId="32" borderId="16" xfId="245" applyFont="1" applyFill="1" applyBorder="1" applyAlignment="1" applyProtection="1">
      <alignment horizontal="center" vertical="center" wrapText="1"/>
      <protection locked="0"/>
    </xf>
    <xf numFmtId="0" fontId="5" fillId="32" borderId="14" xfId="245" applyFont="1" applyFill="1" applyBorder="1" applyAlignment="1" applyProtection="1">
      <alignment horizontal="center" vertical="center" wrapText="1"/>
      <protection locked="0"/>
    </xf>
    <xf numFmtId="0" fontId="5" fillId="32" borderId="15" xfId="245" applyFont="1" applyFill="1" applyBorder="1" applyAlignment="1" applyProtection="1">
      <alignment horizontal="center" vertical="center" wrapText="1"/>
      <protection locked="0"/>
    </xf>
    <xf numFmtId="0" fontId="5" fillId="32" borderId="16" xfId="245" applyFont="1" applyFill="1" applyBorder="1" applyAlignment="1" applyProtection="1">
      <alignment horizontal="center" vertical="center" wrapText="1"/>
      <protection locked="0"/>
    </xf>
    <xf numFmtId="0" fontId="5" fillId="32" borderId="18" xfId="245" applyFont="1" applyFill="1" applyBorder="1" applyAlignment="1" applyProtection="1">
      <alignment horizontal="center" vertical="center" wrapText="1"/>
      <protection locked="0"/>
    </xf>
    <xf numFmtId="0" fontId="5" fillId="32" borderId="19" xfId="245" applyFont="1" applyFill="1" applyBorder="1" applyAlignment="1" applyProtection="1">
      <alignment horizontal="center" vertical="center" wrapText="1"/>
      <protection locked="0"/>
    </xf>
    <xf numFmtId="0" fontId="5" fillId="33" borderId="18" xfId="245" applyFont="1" applyFill="1" applyBorder="1" applyAlignment="1" applyProtection="1">
      <alignment horizontal="center" vertical="center" wrapText="1"/>
      <protection locked="0"/>
    </xf>
    <xf numFmtId="0" fontId="5" fillId="33" borderId="19" xfId="245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32" borderId="18" xfId="237" applyNumberFormat="1" applyFont="1" applyFill="1" applyBorder="1" applyAlignment="1">
      <alignment horizontal="center" vertical="center" wrapText="1"/>
    </xf>
    <xf numFmtId="0" fontId="5" fillId="32" borderId="19" xfId="237" applyNumberFormat="1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 shrinkToFit="1"/>
    </xf>
    <xf numFmtId="0" fontId="5" fillId="32" borderId="19" xfId="0" applyFont="1" applyFill="1" applyBorder="1" applyAlignment="1">
      <alignment horizontal="center" vertical="center" wrapText="1" shrinkToFit="1"/>
    </xf>
    <xf numFmtId="175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5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9" fontId="5" fillId="32" borderId="14" xfId="0" applyNumberFormat="1" applyFont="1" applyFill="1" applyBorder="1" applyAlignment="1" applyProtection="1">
      <alignment horizontal="center" vertical="center" wrapText="1"/>
    </xf>
    <xf numFmtId="9" fontId="5" fillId="32" borderId="16" xfId="0" applyNumberFormat="1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5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5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75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32" borderId="3" xfId="0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32" borderId="14" xfId="0" applyFont="1" applyFill="1" applyBorder="1" applyAlignment="1" applyProtection="1">
      <alignment horizontal="center" vertical="center" wrapText="1"/>
      <protection locked="0"/>
    </xf>
    <xf numFmtId="0" fontId="5" fillId="32" borderId="15" xfId="0" applyFont="1" applyFill="1" applyBorder="1" applyAlignment="1" applyProtection="1">
      <alignment horizontal="center" vertical="center" wrapText="1"/>
      <protection locked="0"/>
    </xf>
    <xf numFmtId="0" fontId="5" fillId="32" borderId="1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 shrinkToFi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75" fontId="5" fillId="32" borderId="14" xfId="0" applyNumberFormat="1" applyFont="1" applyFill="1" applyBorder="1" applyAlignment="1" applyProtection="1">
      <alignment horizontal="center" vertical="center" wrapText="1"/>
      <protection locked="0"/>
    </xf>
    <xf numFmtId="175" fontId="5" fillId="32" borderId="16" xfId="0" applyNumberFormat="1" applyFont="1" applyFill="1" applyBorder="1" applyAlignment="1" applyProtection="1">
      <alignment horizontal="center" vertical="center" wrapText="1"/>
      <protection locked="0"/>
    </xf>
    <xf numFmtId="10" fontId="5" fillId="32" borderId="14" xfId="0" applyNumberFormat="1" applyFont="1" applyFill="1" applyBorder="1" applyAlignment="1" applyProtection="1">
      <alignment horizontal="center" vertical="center" wrapText="1"/>
    </xf>
    <xf numFmtId="10" fontId="5" fillId="32" borderId="16" xfId="0" applyNumberFormat="1" applyFont="1" applyFill="1" applyBorder="1" applyAlignment="1" applyProtection="1">
      <alignment horizontal="center" vertical="center" wrapText="1"/>
    </xf>
    <xf numFmtId="0" fontId="5" fillId="32" borderId="3" xfId="0" applyFont="1" applyFill="1" applyBorder="1" applyAlignment="1" applyProtection="1">
      <alignment horizontal="left" vertical="center" wrapText="1"/>
    </xf>
    <xf numFmtId="0" fontId="71" fillId="0" borderId="0" xfId="0" applyFont="1" applyFill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7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49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14" fontId="71" fillId="0" borderId="14" xfId="0" applyNumberFormat="1" applyFont="1" applyFill="1" applyBorder="1" applyAlignment="1">
      <alignment horizontal="center" vertical="center" wrapText="1"/>
    </xf>
    <xf numFmtId="14" fontId="71" fillId="0" borderId="15" xfId="0" applyNumberFormat="1" applyFont="1" applyFill="1" applyBorder="1" applyAlignment="1">
      <alignment horizontal="center" vertical="center" wrapText="1"/>
    </xf>
    <xf numFmtId="14" fontId="71" fillId="0" borderId="16" xfId="0" applyNumberFormat="1" applyFont="1" applyFill="1" applyBorder="1" applyAlignment="1">
      <alignment horizontal="center" vertical="center" wrapText="1"/>
    </xf>
    <xf numFmtId="3" fontId="71" fillId="0" borderId="14" xfId="0" applyNumberFormat="1" applyFont="1" applyFill="1" applyBorder="1" applyAlignment="1">
      <alignment horizontal="center" vertical="center" wrapText="1"/>
    </xf>
    <xf numFmtId="0" fontId="78" fillId="0" borderId="15" xfId="0" applyFont="1" applyFill="1" applyBorder="1"/>
    <xf numFmtId="0" fontId="78" fillId="0" borderId="16" xfId="0" applyFont="1" applyFill="1" applyBorder="1"/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3" fontId="71" fillId="0" borderId="15" xfId="0" applyNumberFormat="1" applyFont="1" applyFill="1" applyBorder="1" applyAlignment="1">
      <alignment horizontal="center" vertical="center" wrapText="1"/>
    </xf>
    <xf numFmtId="3" fontId="71" fillId="0" borderId="1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4" fontId="71" fillId="0" borderId="3" xfId="0" applyNumberFormat="1" applyFont="1" applyFill="1" applyBorder="1" applyAlignment="1">
      <alignment horizontal="center" vertical="center" wrapText="1"/>
    </xf>
    <xf numFmtId="0" fontId="78" fillId="0" borderId="3" xfId="0" applyFont="1" applyFill="1" applyBorder="1"/>
    <xf numFmtId="3" fontId="5" fillId="32" borderId="14" xfId="0" applyNumberFormat="1" applyFont="1" applyFill="1" applyBorder="1" applyAlignment="1">
      <alignment horizontal="left" vertical="center" wrapText="1"/>
    </xf>
    <xf numFmtId="3" fontId="5" fillId="32" borderId="15" xfId="0" applyNumberFormat="1" applyFont="1" applyFill="1" applyBorder="1" applyAlignment="1">
      <alignment horizontal="left" vertical="center" wrapText="1"/>
    </xf>
    <xf numFmtId="3" fontId="5" fillId="32" borderId="16" xfId="0" applyNumberFormat="1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left" vertical="center" wrapText="1"/>
    </xf>
    <xf numFmtId="174" fontId="10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5" fillId="32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2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2" borderId="16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0" fillId="0" borderId="15" xfId="0" applyBorder="1"/>
    <xf numFmtId="0" fontId="0" fillId="0" borderId="16" xfId="0" applyBorder="1"/>
    <xf numFmtId="0" fontId="4" fillId="0" borderId="14" xfId="237" applyNumberFormat="1" applyFont="1" applyFill="1" applyBorder="1" applyAlignment="1" applyProtection="1">
      <alignment horizontal="center" vertical="center" wrapText="1"/>
    </xf>
    <xf numFmtId="0" fontId="4" fillId="0" borderId="15" xfId="237" applyNumberFormat="1" applyFont="1" applyFill="1" applyBorder="1" applyAlignment="1" applyProtection="1">
      <alignment horizontal="center" vertical="center" wrapText="1"/>
    </xf>
    <xf numFmtId="0" fontId="4" fillId="0" borderId="16" xfId="237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 wrapText="1" shrinkToFit="1"/>
    </xf>
    <xf numFmtId="0" fontId="5" fillId="0" borderId="19" xfId="0" applyFont="1" applyFill="1" applyBorder="1" applyAlignment="1" applyProtection="1">
      <alignment horizontal="center" vertical="center" wrapText="1" shrinkToFi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74" fillId="0" borderId="15" xfId="0" applyFont="1" applyBorder="1" applyAlignment="1" applyProtection="1">
      <alignment horizontal="left" vertical="center" wrapText="1"/>
      <protection locked="0"/>
    </xf>
    <xf numFmtId="0" fontId="74" fillId="0" borderId="16" xfId="0" applyFont="1" applyBorder="1" applyAlignment="1" applyProtection="1">
      <alignment horizontal="left" vertical="center" wrapText="1"/>
      <protection locked="0"/>
    </xf>
    <xf numFmtId="0" fontId="72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Alignment="1" applyProtection="1">
      <alignment horizontal="left" vertical="top" wrapText="1"/>
      <protection locked="0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BCD42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5:F20"/>
  <sheetViews>
    <sheetView topLeftCell="A7" workbookViewId="0">
      <selection activeCell="D12" sqref="D12"/>
    </sheetView>
  </sheetViews>
  <sheetFormatPr defaultRowHeight="12.75"/>
  <cols>
    <col min="1" max="1" width="17.5703125" customWidth="1"/>
    <col min="2" max="2" width="16" customWidth="1"/>
    <col min="3" max="3" width="13" customWidth="1"/>
    <col min="4" max="4" width="13.140625" customWidth="1"/>
    <col min="5" max="6" width="12.140625" customWidth="1"/>
  </cols>
  <sheetData>
    <row r="5" spans="1:6" ht="25.5">
      <c r="A5" s="345" t="s">
        <v>398</v>
      </c>
      <c r="B5" s="345"/>
      <c r="C5" s="346" t="s">
        <v>399</v>
      </c>
      <c r="D5" s="346"/>
      <c r="E5" s="128" t="s">
        <v>400</v>
      </c>
      <c r="F5" s="128" t="s">
        <v>401</v>
      </c>
    </row>
    <row r="6" spans="1:6" ht="18">
      <c r="A6" s="125" t="s">
        <v>396</v>
      </c>
      <c r="B6" s="137">
        <v>0.22</v>
      </c>
      <c r="C6" s="140"/>
      <c r="D6" s="141"/>
      <c r="E6" s="127">
        <v>0.18</v>
      </c>
      <c r="F6" s="126">
        <v>1.4999999999999999E-2</v>
      </c>
    </row>
    <row r="7" spans="1:6" ht="25.5">
      <c r="A7" s="125" t="s">
        <v>397</v>
      </c>
      <c r="B7" s="144">
        <v>8.4099999999999994E-2</v>
      </c>
      <c r="C7" s="140"/>
      <c r="D7" s="131"/>
      <c r="E7" s="131"/>
      <c r="F7" s="131"/>
    </row>
    <row r="8" spans="1:6" ht="72.75" customHeight="1">
      <c r="A8" s="140"/>
      <c r="B8" s="141"/>
      <c r="C8" s="140"/>
      <c r="D8" s="141"/>
      <c r="E8" s="131"/>
      <c r="F8" s="131"/>
    </row>
    <row r="10" spans="1:6" ht="24" customHeight="1">
      <c r="B10" s="123"/>
      <c r="C10" s="124" t="s">
        <v>382</v>
      </c>
      <c r="D10" s="124" t="s">
        <v>374</v>
      </c>
      <c r="E10" s="124" t="s">
        <v>375</v>
      </c>
      <c r="F10" s="124" t="s">
        <v>83</v>
      </c>
    </row>
    <row r="11" spans="1:6" ht="25.5">
      <c r="B11" s="129" t="s">
        <v>403</v>
      </c>
      <c r="C11" s="135">
        <f>'I. Фін результат'!F158</f>
        <v>6068</v>
      </c>
      <c r="D11" s="135">
        <f>'I. Фін результат'!G158</f>
        <v>12136</v>
      </c>
      <c r="E11" s="135">
        <f>'I. Фін результат'!H158</f>
        <v>18204</v>
      </c>
      <c r="F11" s="135">
        <f>'I. Фін результат'!I158</f>
        <v>24271</v>
      </c>
    </row>
    <row r="12" spans="1:6" ht="26.25" customHeight="1">
      <c r="B12" s="130" t="s">
        <v>402</v>
      </c>
      <c r="C12" s="136">
        <f>149+150</f>
        <v>299</v>
      </c>
      <c r="D12" s="136">
        <f>298+300</f>
        <v>598</v>
      </c>
      <c r="E12" s="136">
        <f>447+451</f>
        <v>898</v>
      </c>
      <c r="F12" s="136">
        <f>596+601</f>
        <v>1197</v>
      </c>
    </row>
    <row r="13" spans="1:6">
      <c r="B13" s="142"/>
      <c r="C13" s="143"/>
      <c r="D13" s="143"/>
      <c r="E13" s="143"/>
      <c r="F13" s="143"/>
    </row>
    <row r="17" spans="2:6" ht="25.5">
      <c r="B17" s="120" t="s">
        <v>5</v>
      </c>
      <c r="C17" s="122">
        <f>(C11-C12)*$B$6+C12*$B$7</f>
        <v>1294.3259</v>
      </c>
      <c r="D17" s="122">
        <f>(D11-D12)*$B$6+D12*$B$7</f>
        <v>2588.6518000000001</v>
      </c>
      <c r="E17" s="122">
        <f>(E11-E12)*$B$6+E12*$B$7</f>
        <v>3882.8418000000001</v>
      </c>
      <c r="F17" s="122">
        <f>(F11-F12)*$B$6+F12*$B$7</f>
        <v>5176.9476999999997</v>
      </c>
    </row>
    <row r="18" spans="2:6" ht="38.25">
      <c r="B18" s="121" t="s">
        <v>404</v>
      </c>
      <c r="C18" s="122">
        <f>C11*$E$6</f>
        <v>1092.24</v>
      </c>
      <c r="D18" s="122">
        <f>D11*$E$6</f>
        <v>2184.48</v>
      </c>
      <c r="E18" s="122">
        <f>E11*$E$6</f>
        <v>3276.72</v>
      </c>
      <c r="F18" s="122">
        <f>F11*$E$6</f>
        <v>4368.78</v>
      </c>
    </row>
    <row r="19" spans="2:6">
      <c r="B19" s="125" t="s">
        <v>401</v>
      </c>
      <c r="C19" s="122">
        <f>C11*$F$6</f>
        <v>91.02</v>
      </c>
      <c r="D19" s="122">
        <f>D11*$F$6</f>
        <v>182.04</v>
      </c>
      <c r="E19" s="122">
        <f>E11*$F$6</f>
        <v>273.06</v>
      </c>
      <c r="F19" s="122">
        <f>F11*$F$6</f>
        <v>364.065</v>
      </c>
    </row>
    <row r="20" spans="2:6">
      <c r="C20" s="119"/>
      <c r="D20" s="119"/>
      <c r="E20" s="119"/>
      <c r="F20" s="119"/>
    </row>
  </sheetData>
  <sheetProtection password="C6FB" sheet="1"/>
  <mergeCells count="2">
    <mergeCell ref="A5:B5"/>
    <mergeCell ref="C5:D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6"/>
  <sheetViews>
    <sheetView topLeftCell="A40" zoomScale="70" zoomScaleNormal="70" workbookViewId="0">
      <selection activeCell="L57" sqref="L57"/>
    </sheetView>
  </sheetViews>
  <sheetFormatPr defaultRowHeight="18.75"/>
  <cols>
    <col min="1" max="1" width="50.28515625" style="2" customWidth="1"/>
    <col min="2" max="2" width="16.85546875" style="16" customWidth="1"/>
    <col min="3" max="3" width="14.5703125" style="16" customWidth="1"/>
    <col min="4" max="5" width="15.5703125" style="16" customWidth="1"/>
    <col min="6" max="6" width="14.5703125" style="16" customWidth="1"/>
    <col min="7" max="7" width="13.7109375" style="2" customWidth="1"/>
    <col min="8" max="9" width="14.5703125" style="2" customWidth="1"/>
    <col min="10" max="10" width="15.140625" style="2" customWidth="1"/>
    <col min="11" max="11" width="10" style="2" customWidth="1"/>
    <col min="12" max="12" width="9.5703125" style="2" customWidth="1"/>
    <col min="13" max="14" width="9.140625" style="2"/>
    <col min="15" max="15" width="10.5703125" style="2" customWidth="1"/>
    <col min="16" max="16384" width="9.140625" style="2"/>
  </cols>
  <sheetData>
    <row r="1" spans="1:10">
      <c r="A1" s="72"/>
      <c r="B1" s="73"/>
      <c r="C1" s="73"/>
      <c r="D1" s="73"/>
      <c r="E1" s="73"/>
      <c r="F1" s="73" t="s">
        <v>18</v>
      </c>
      <c r="G1" s="72"/>
      <c r="H1" s="72"/>
      <c r="I1" s="72"/>
      <c r="J1" s="72"/>
    </row>
    <row r="2" spans="1:10" ht="18.75" customHeight="1">
      <c r="A2" s="577" t="s">
        <v>384</v>
      </c>
      <c r="B2" s="577"/>
      <c r="C2" s="75"/>
      <c r="D2" s="76"/>
      <c r="E2" s="76"/>
      <c r="F2" s="351" t="s">
        <v>385</v>
      </c>
      <c r="G2" s="351"/>
      <c r="H2" s="351"/>
      <c r="I2" s="351"/>
      <c r="J2" s="351"/>
    </row>
    <row r="3" spans="1:10" ht="18.75" customHeight="1">
      <c r="A3" s="576" t="s">
        <v>386</v>
      </c>
      <c r="B3" s="576"/>
      <c r="C3" s="75"/>
      <c r="D3" s="78"/>
      <c r="E3" s="78"/>
      <c r="F3" s="351"/>
      <c r="G3" s="351"/>
      <c r="H3" s="351"/>
      <c r="I3" s="351"/>
      <c r="J3" s="351"/>
    </row>
    <row r="4" spans="1:10" ht="18.75" customHeight="1">
      <c r="A4" s="576" t="s">
        <v>386</v>
      </c>
      <c r="B4" s="576"/>
      <c r="C4" s="75"/>
      <c r="D4" s="78"/>
      <c r="E4" s="78"/>
      <c r="F4" s="351"/>
      <c r="G4" s="351"/>
      <c r="H4" s="351"/>
      <c r="I4" s="351"/>
      <c r="J4" s="351"/>
    </row>
    <row r="5" spans="1:10" ht="18.75" customHeight="1">
      <c r="A5" s="576" t="s">
        <v>386</v>
      </c>
      <c r="B5" s="576"/>
      <c r="C5" s="75"/>
      <c r="D5" s="78"/>
      <c r="E5" s="78"/>
      <c r="F5" s="78"/>
      <c r="G5" s="348"/>
      <c r="H5" s="348"/>
      <c r="I5" s="79"/>
      <c r="J5" s="79"/>
    </row>
    <row r="6" spans="1:10" ht="18.75" customHeight="1">
      <c r="A6" s="577" t="s">
        <v>387</v>
      </c>
      <c r="B6" s="577"/>
      <c r="C6" s="75"/>
      <c r="D6" s="80"/>
      <c r="E6" s="80"/>
      <c r="F6" s="349" t="s">
        <v>388</v>
      </c>
      <c r="G6" s="349"/>
      <c r="H6" s="349"/>
      <c r="I6" s="349"/>
      <c r="J6" s="349"/>
    </row>
    <row r="7" spans="1:10" ht="63" customHeight="1">
      <c r="A7" s="577"/>
      <c r="B7" s="577"/>
      <c r="C7" s="75"/>
      <c r="D7" s="80"/>
      <c r="E7" s="80"/>
      <c r="F7" s="349" t="s">
        <v>265</v>
      </c>
      <c r="G7" s="349"/>
      <c r="H7" s="349"/>
      <c r="I7" s="349"/>
      <c r="J7" s="349"/>
    </row>
    <row r="8" spans="1:10" ht="18.75" customHeight="1">
      <c r="A8" s="81" t="s">
        <v>354</v>
      </c>
      <c r="B8" s="74"/>
      <c r="C8" s="75"/>
      <c r="D8" s="80"/>
      <c r="E8" s="80"/>
      <c r="F8" s="349" t="s">
        <v>389</v>
      </c>
      <c r="G8" s="349"/>
      <c r="H8" s="349"/>
      <c r="I8" s="349"/>
      <c r="J8" s="349"/>
    </row>
    <row r="9" spans="1:10" ht="18.75" customHeight="1">
      <c r="A9" s="74"/>
      <c r="B9" s="74"/>
      <c r="C9" s="75"/>
      <c r="D9" s="80"/>
      <c r="E9" s="80"/>
      <c r="F9" s="349" t="s">
        <v>390</v>
      </c>
      <c r="G9" s="349"/>
      <c r="H9" s="349"/>
      <c r="I9" s="349"/>
      <c r="J9" s="349"/>
    </row>
    <row r="10" spans="1:10" ht="20.25">
      <c r="A10" s="74"/>
      <c r="B10" s="74"/>
      <c r="C10" s="75"/>
      <c r="D10" s="80"/>
      <c r="E10" s="80"/>
      <c r="F10" s="76"/>
      <c r="G10" s="76"/>
      <c r="H10" s="76"/>
      <c r="I10" s="76"/>
      <c r="J10" s="76"/>
    </row>
    <row r="11" spans="1:10" ht="61.5" customHeight="1">
      <c r="A11" s="74"/>
      <c r="B11" s="74"/>
      <c r="C11" s="75"/>
      <c r="D11" s="80"/>
      <c r="E11" s="80"/>
      <c r="F11" s="349" t="s">
        <v>391</v>
      </c>
      <c r="G11" s="349"/>
      <c r="H11" s="349"/>
      <c r="I11" s="349"/>
      <c r="J11" s="349"/>
    </row>
    <row r="12" spans="1:10" ht="20.25" customHeight="1">
      <c r="A12" s="74"/>
      <c r="B12" s="74"/>
      <c r="C12" s="75"/>
      <c r="D12" s="80"/>
      <c r="E12" s="80"/>
      <c r="F12" s="81" t="s">
        <v>354</v>
      </c>
      <c r="G12" s="76"/>
      <c r="H12" s="76"/>
      <c r="I12" s="76"/>
      <c r="J12" s="76"/>
    </row>
    <row r="13" spans="1:10" ht="19.5" customHeight="1">
      <c r="A13" s="74"/>
      <c r="B13" s="74"/>
      <c r="C13" s="75"/>
      <c r="D13" s="80"/>
      <c r="E13" s="80"/>
      <c r="F13" s="76"/>
      <c r="G13" s="79"/>
      <c r="H13" s="81"/>
      <c r="I13" s="81"/>
      <c r="J13" s="81"/>
    </row>
    <row r="14" spans="1:10" ht="19.5" customHeight="1">
      <c r="A14" s="76"/>
      <c r="B14" s="82"/>
      <c r="C14" s="82"/>
      <c r="D14" s="82"/>
      <c r="E14" s="82"/>
      <c r="F14" s="82"/>
      <c r="G14" s="83"/>
      <c r="H14" s="83"/>
      <c r="I14" s="83"/>
      <c r="J14" s="83"/>
    </row>
    <row r="15" spans="1:10" ht="19.5" customHeight="1">
      <c r="A15" s="84"/>
      <c r="B15" s="353"/>
      <c r="C15" s="353"/>
      <c r="D15" s="353"/>
      <c r="E15" s="353"/>
      <c r="F15" s="353"/>
      <c r="G15" s="85"/>
      <c r="H15" s="86"/>
      <c r="I15" s="87" t="s">
        <v>152</v>
      </c>
      <c r="J15" s="88" t="s">
        <v>266</v>
      </c>
    </row>
    <row r="16" spans="1:10" ht="16.5" customHeight="1">
      <c r="A16" s="89" t="s">
        <v>13</v>
      </c>
      <c r="B16" s="353"/>
      <c r="C16" s="353"/>
      <c r="D16" s="353"/>
      <c r="E16" s="353"/>
      <c r="F16" s="353"/>
      <c r="G16" s="90"/>
      <c r="H16" s="91"/>
      <c r="I16" s="92" t="s">
        <v>143</v>
      </c>
      <c r="J16" s="88"/>
    </row>
    <row r="17" spans="1:10" ht="16.5" customHeight="1">
      <c r="A17" s="89" t="s">
        <v>14</v>
      </c>
      <c r="B17" s="353"/>
      <c r="C17" s="353"/>
      <c r="D17" s="353"/>
      <c r="E17" s="353"/>
      <c r="F17" s="353"/>
      <c r="G17" s="85"/>
      <c r="H17" s="86"/>
      <c r="I17" s="92" t="s">
        <v>142</v>
      </c>
      <c r="J17" s="88"/>
    </row>
    <row r="18" spans="1:10" ht="18.75" customHeight="1">
      <c r="A18" s="89" t="s">
        <v>19</v>
      </c>
      <c r="B18" s="353"/>
      <c r="C18" s="353"/>
      <c r="D18" s="353"/>
      <c r="E18" s="353"/>
      <c r="F18" s="353"/>
      <c r="G18" s="85"/>
      <c r="H18" s="86"/>
      <c r="I18" s="92" t="s">
        <v>141</v>
      </c>
      <c r="J18" s="88"/>
    </row>
    <row r="19" spans="1:10" ht="15.75" customHeight="1">
      <c r="A19" s="89" t="s">
        <v>392</v>
      </c>
      <c r="B19" s="353"/>
      <c r="C19" s="353"/>
      <c r="D19" s="353"/>
      <c r="E19" s="353"/>
      <c r="F19" s="353"/>
      <c r="G19" s="90"/>
      <c r="H19" s="91"/>
      <c r="I19" s="92" t="s">
        <v>8</v>
      </c>
      <c r="J19" s="88"/>
    </row>
    <row r="20" spans="1:10" ht="15.75" customHeight="1">
      <c r="A20" s="89" t="s">
        <v>16</v>
      </c>
      <c r="B20" s="353"/>
      <c r="C20" s="353"/>
      <c r="D20" s="353"/>
      <c r="E20" s="353"/>
      <c r="F20" s="353"/>
      <c r="G20" s="90"/>
      <c r="H20" s="91"/>
      <c r="I20" s="92" t="s">
        <v>7</v>
      </c>
      <c r="J20" s="88"/>
    </row>
    <row r="21" spans="1:10" ht="21" customHeight="1">
      <c r="A21" s="89" t="s">
        <v>15</v>
      </c>
      <c r="B21" s="353"/>
      <c r="C21" s="353"/>
      <c r="D21" s="353"/>
      <c r="E21" s="353"/>
      <c r="F21" s="353"/>
      <c r="G21" s="90"/>
      <c r="H21" s="93"/>
      <c r="I21" s="94" t="s">
        <v>9</v>
      </c>
      <c r="J21" s="88"/>
    </row>
    <row r="22" spans="1:10" ht="20.25" customHeight="1">
      <c r="A22" s="352" t="s">
        <v>393</v>
      </c>
      <c r="B22" s="353"/>
      <c r="C22" s="353"/>
      <c r="D22" s="353"/>
      <c r="E22" s="353"/>
      <c r="F22" s="353"/>
      <c r="G22" s="353" t="s">
        <v>209</v>
      </c>
      <c r="H22" s="574"/>
      <c r="I22" s="575"/>
      <c r="J22" s="95"/>
    </row>
    <row r="23" spans="1:10" ht="15.75" customHeight="1">
      <c r="A23" s="89" t="s">
        <v>20</v>
      </c>
      <c r="B23" s="353"/>
      <c r="C23" s="353"/>
      <c r="D23" s="353"/>
      <c r="E23" s="353"/>
      <c r="F23" s="353"/>
      <c r="G23" s="353" t="s">
        <v>210</v>
      </c>
      <c r="H23" s="574"/>
      <c r="I23" s="575"/>
      <c r="J23" s="95"/>
    </row>
    <row r="24" spans="1:10" ht="15.75" customHeight="1">
      <c r="A24" s="352" t="s">
        <v>116</v>
      </c>
      <c r="B24" s="353"/>
      <c r="C24" s="353"/>
      <c r="D24" s="353"/>
      <c r="E24" s="353"/>
      <c r="F24" s="353"/>
      <c r="G24" s="90"/>
      <c r="H24" s="90"/>
      <c r="I24" s="90"/>
      <c r="J24" s="91"/>
    </row>
    <row r="25" spans="1:10" ht="18.75" customHeight="1">
      <c r="A25" s="89" t="s">
        <v>10</v>
      </c>
      <c r="B25" s="353"/>
      <c r="C25" s="353"/>
      <c r="D25" s="353"/>
      <c r="E25" s="353"/>
      <c r="F25" s="353"/>
      <c r="G25" s="85"/>
      <c r="H25" s="85"/>
      <c r="I25" s="85"/>
      <c r="J25" s="86"/>
    </row>
    <row r="26" spans="1:10" ht="18" customHeight="1">
      <c r="A26" s="89" t="s">
        <v>11</v>
      </c>
      <c r="B26" s="353"/>
      <c r="C26" s="353"/>
      <c r="D26" s="353"/>
      <c r="E26" s="353"/>
      <c r="F26" s="353"/>
      <c r="G26" s="90"/>
      <c r="H26" s="90"/>
      <c r="I26" s="90"/>
      <c r="J26" s="91"/>
    </row>
    <row r="27" spans="1:10" ht="21" customHeight="1">
      <c r="A27" s="89" t="s">
        <v>12</v>
      </c>
      <c r="B27" s="353"/>
      <c r="C27" s="353"/>
      <c r="D27" s="353"/>
      <c r="E27" s="353"/>
      <c r="F27" s="353"/>
      <c r="G27" s="85"/>
      <c r="H27" s="85"/>
      <c r="I27" s="85"/>
      <c r="J27" s="86"/>
    </row>
    <row r="28" spans="1:10" ht="20.100000000000001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</row>
    <row r="29" spans="1:10" ht="19.5" customHeight="1">
      <c r="A29" s="60"/>
      <c r="B29" s="72"/>
      <c r="C29" s="73"/>
      <c r="D29" s="72"/>
      <c r="E29" s="72"/>
      <c r="F29" s="72"/>
      <c r="G29" s="72"/>
      <c r="H29" s="72"/>
      <c r="I29" s="72"/>
      <c r="J29" s="72"/>
    </row>
    <row r="30" spans="1:10">
      <c r="A30" s="568" t="s">
        <v>186</v>
      </c>
      <c r="B30" s="568"/>
      <c r="C30" s="568"/>
      <c r="D30" s="568"/>
      <c r="E30" s="568"/>
      <c r="F30" s="568"/>
      <c r="G30" s="568"/>
      <c r="H30" s="568"/>
      <c r="I30" s="568"/>
      <c r="J30" s="568"/>
    </row>
    <row r="31" spans="1:10" ht="9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>
      <c r="A32" s="360" t="s">
        <v>223</v>
      </c>
      <c r="B32" s="360"/>
      <c r="C32" s="360"/>
      <c r="D32" s="360"/>
      <c r="E32" s="360"/>
      <c r="F32" s="360"/>
      <c r="G32" s="360"/>
      <c r="H32" s="360"/>
      <c r="I32" s="360"/>
      <c r="J32" s="360"/>
    </row>
    <row r="33" spans="1:10" ht="12" customHeight="1">
      <c r="B33" s="18"/>
      <c r="C33" s="4"/>
      <c r="D33" s="18"/>
      <c r="E33" s="18"/>
      <c r="F33" s="18"/>
      <c r="G33" s="18"/>
      <c r="H33" s="18"/>
      <c r="I33" s="18"/>
      <c r="J33" s="18"/>
    </row>
    <row r="34" spans="1:10" ht="31.5" customHeight="1">
      <c r="A34" s="564" t="s">
        <v>277</v>
      </c>
      <c r="B34" s="565" t="s">
        <v>17</v>
      </c>
      <c r="C34" s="566" t="s">
        <v>31</v>
      </c>
      <c r="D34" s="566" t="s">
        <v>39</v>
      </c>
      <c r="E34" s="565" t="s">
        <v>150</v>
      </c>
      <c r="F34" s="569" t="s">
        <v>183</v>
      </c>
      <c r="G34" s="571" t="s">
        <v>278</v>
      </c>
      <c r="H34" s="572"/>
      <c r="I34" s="572"/>
      <c r="J34" s="573"/>
    </row>
    <row r="35" spans="1:10" ht="54.75" customHeight="1">
      <c r="A35" s="564"/>
      <c r="B35" s="565"/>
      <c r="C35" s="567"/>
      <c r="D35" s="567"/>
      <c r="E35" s="565"/>
      <c r="F35" s="570"/>
      <c r="G35" s="62" t="s">
        <v>270</v>
      </c>
      <c r="H35" s="62" t="s">
        <v>271</v>
      </c>
      <c r="I35" s="62" t="s">
        <v>272</v>
      </c>
      <c r="J35" s="62" t="s">
        <v>362</v>
      </c>
    </row>
    <row r="36" spans="1:10" ht="20.100000000000001" customHeight="1">
      <c r="A36" s="61">
        <v>1</v>
      </c>
      <c r="B36" s="62">
        <v>2</v>
      </c>
      <c r="C36" s="62">
        <v>3</v>
      </c>
      <c r="D36" s="62">
        <v>4</v>
      </c>
      <c r="E36" s="62">
        <v>5</v>
      </c>
      <c r="F36" s="62">
        <v>6</v>
      </c>
      <c r="G36" s="62">
        <v>7</v>
      </c>
      <c r="H36" s="62">
        <v>8</v>
      </c>
      <c r="I36" s="62">
        <v>9</v>
      </c>
      <c r="J36" s="62">
        <v>10</v>
      </c>
    </row>
    <row r="37" spans="1:10" ht="24.95" customHeight="1">
      <c r="A37" s="432" t="s">
        <v>104</v>
      </c>
      <c r="B37" s="433"/>
      <c r="C37" s="433"/>
      <c r="D37" s="433"/>
      <c r="E37" s="433"/>
      <c r="F37" s="433"/>
      <c r="G37" s="433"/>
      <c r="H37" s="433"/>
      <c r="I37" s="433"/>
      <c r="J37" s="434"/>
    </row>
    <row r="38" spans="1:10" ht="37.5">
      <c r="A38" s="63" t="s">
        <v>224</v>
      </c>
      <c r="B38" s="61">
        <f>'I. Фін результат'!B7</f>
        <v>1000</v>
      </c>
      <c r="C38" s="133">
        <f>'I. Фін результат'!C7</f>
        <v>74309</v>
      </c>
      <c r="D38" s="133">
        <f>'I. Фін результат'!D7</f>
        <v>110300</v>
      </c>
      <c r="E38" s="133">
        <f>'I. Фін результат'!I7</f>
        <v>115010</v>
      </c>
      <c r="F38" s="133">
        <f>'I. Фін результат'!E7</f>
        <v>125395.33333333333</v>
      </c>
      <c r="G38" s="132"/>
      <c r="H38" s="132"/>
      <c r="I38" s="132"/>
      <c r="J38" s="132"/>
    </row>
    <row r="39" spans="1:10" ht="37.5">
      <c r="A39" s="63" t="s">
        <v>192</v>
      </c>
      <c r="B39" s="61">
        <f>'I. Фін результат'!B11</f>
        <v>1010</v>
      </c>
      <c r="C39" s="133">
        <f>'I. Фін результат'!C11</f>
        <v>70285</v>
      </c>
      <c r="D39" s="133">
        <f>'I. Фін результат'!D11</f>
        <v>103527</v>
      </c>
      <c r="E39" s="133">
        <f>'I. Фін результат'!I11</f>
        <v>107838.15</v>
      </c>
      <c r="F39" s="133">
        <f>'I. Фін результат'!E11</f>
        <v>122204.33333333333</v>
      </c>
      <c r="G39" s="132"/>
      <c r="H39" s="132"/>
      <c r="I39" s="132"/>
      <c r="J39" s="132"/>
    </row>
    <row r="40" spans="1:10" ht="20.100000000000001" customHeight="1">
      <c r="A40" s="65" t="s">
        <v>311</v>
      </c>
      <c r="B40" s="61">
        <f>'I. Фін результат'!B49</f>
        <v>1020</v>
      </c>
      <c r="C40" s="133">
        <f>'I. Фін результат'!C49</f>
        <v>4024</v>
      </c>
      <c r="D40" s="133">
        <f>'I. Фін результат'!D49</f>
        <v>6773</v>
      </c>
      <c r="E40" s="133">
        <f>'I. Фін результат'!I49</f>
        <v>7171.8500000000058</v>
      </c>
      <c r="F40" s="133">
        <f>'I. Фін результат'!E49</f>
        <v>3191</v>
      </c>
      <c r="G40" s="133">
        <f>G38-G39</f>
        <v>0</v>
      </c>
      <c r="H40" s="133">
        <f>H38-H39</f>
        <v>0</v>
      </c>
      <c r="I40" s="133">
        <f>I38-I39</f>
        <v>0</v>
      </c>
      <c r="J40" s="133">
        <f>J38-J39</f>
        <v>0</v>
      </c>
    </row>
    <row r="41" spans="1:10" ht="20.100000000000001" customHeight="1">
      <c r="A41" s="63" t="s">
        <v>156</v>
      </c>
      <c r="B41" s="61">
        <f>'I. Фін результат'!B61</f>
        <v>1040</v>
      </c>
      <c r="C41" s="133">
        <f>'I. Фін результат'!C61</f>
        <v>4277</v>
      </c>
      <c r="D41" s="133">
        <f>'I. Фін результат'!D61</f>
        <v>6207</v>
      </c>
      <c r="E41" s="133">
        <f>'I. Фін результат'!I61</f>
        <v>7728</v>
      </c>
      <c r="F41" s="133">
        <f>'I. Фін результат'!E61</f>
        <v>5499.9999999999991</v>
      </c>
      <c r="G41" s="132"/>
      <c r="H41" s="132"/>
      <c r="I41" s="132"/>
      <c r="J41" s="132"/>
    </row>
    <row r="42" spans="1:10" ht="20.100000000000001" customHeight="1">
      <c r="A42" s="63" t="s">
        <v>153</v>
      </c>
      <c r="B42" s="61">
        <f>'I. Фін результат'!B90</f>
        <v>1070</v>
      </c>
      <c r="C42" s="133">
        <f>'I. Фін результат'!C90</f>
        <v>0</v>
      </c>
      <c r="D42" s="133">
        <f>'I. Фін результат'!D90</f>
        <v>0</v>
      </c>
      <c r="E42" s="133">
        <f>'I. Фін результат'!I90</f>
        <v>0</v>
      </c>
      <c r="F42" s="133">
        <f>'I. Фін результат'!E90</f>
        <v>0</v>
      </c>
      <c r="G42" s="132"/>
      <c r="H42" s="132"/>
      <c r="I42" s="132"/>
      <c r="J42" s="132"/>
    </row>
    <row r="43" spans="1:10" ht="20.100000000000001" customHeight="1">
      <c r="A43" s="63" t="s">
        <v>157</v>
      </c>
      <c r="B43" s="61">
        <f>'I. Фін результат'!B142</f>
        <v>1300</v>
      </c>
      <c r="C43" s="133">
        <f>'I. Фін результат'!C142</f>
        <v>1221</v>
      </c>
      <c r="D43" s="133">
        <f>'I. Фін результат'!D142</f>
        <v>588</v>
      </c>
      <c r="E43" s="133">
        <f>'I. Фін результат'!I142</f>
        <v>2220</v>
      </c>
      <c r="F43" s="133">
        <f>'I. Фін результат'!E142</f>
        <v>3111.6666666666679</v>
      </c>
      <c r="G43" s="132"/>
      <c r="H43" s="132"/>
      <c r="I43" s="132"/>
      <c r="J43" s="132"/>
    </row>
    <row r="44" spans="1:10" ht="37.5">
      <c r="A44" s="66" t="s">
        <v>3</v>
      </c>
      <c r="B44" s="61">
        <f>'I. Фін результат'!B124</f>
        <v>1100</v>
      </c>
      <c r="C44" s="133">
        <f>'I. Фін результат'!C124</f>
        <v>968</v>
      </c>
      <c r="D44" s="133">
        <f>'I. Фін результат'!D124</f>
        <v>1154</v>
      </c>
      <c r="E44" s="133">
        <f>'I. Фін результат'!I124</f>
        <v>1663.8500000000058</v>
      </c>
      <c r="F44" s="133">
        <f>'I. Фін результат'!E124</f>
        <v>802.66666666666788</v>
      </c>
      <c r="G44" s="133">
        <f>G40-G41-G42+G43</f>
        <v>0</v>
      </c>
      <c r="H44" s="133">
        <f>H40-H41-H42+H43</f>
        <v>0</v>
      </c>
      <c r="I44" s="133">
        <f>I40-I41-I42+I43</f>
        <v>0</v>
      </c>
      <c r="J44" s="133">
        <f>J40-J41-J42+J43</f>
        <v>0</v>
      </c>
    </row>
    <row r="45" spans="1:10" ht="20.100000000000001" customHeight="1">
      <c r="A45" s="66" t="s">
        <v>158</v>
      </c>
      <c r="B45" s="61">
        <f>'I. Фін результат'!B153</f>
        <v>1410</v>
      </c>
      <c r="C45" s="133">
        <f>'I. Фін результат'!C153</f>
        <v>17887</v>
      </c>
      <c r="D45" s="133">
        <f>'I. Фін результат'!D153</f>
        <v>19468</v>
      </c>
      <c r="E45" s="133">
        <f>'I. Фін результат'!I153</f>
        <v>31329.050000000007</v>
      </c>
      <c r="F45" s="133">
        <f>'I. Фін результат'!E153</f>
        <v>29744.666666666668</v>
      </c>
      <c r="G45" s="132"/>
      <c r="H45" s="132"/>
      <c r="I45" s="132"/>
      <c r="J45" s="132"/>
    </row>
    <row r="46" spans="1:10" ht="20.100000000000001" customHeight="1">
      <c r="A46" s="67" t="s">
        <v>246</v>
      </c>
      <c r="B46" s="61" t="e">
        <f>#REF!</f>
        <v>#REF!</v>
      </c>
      <c r="C46" s="134" t="e">
        <f>#REF!</f>
        <v>#REF!</v>
      </c>
      <c r="D46" s="134">
        <f>D45*100/D38</f>
        <v>17.650045330915685</v>
      </c>
      <c r="E46" s="134" t="e">
        <f>#REF!</f>
        <v>#REF!</v>
      </c>
      <c r="F46" s="134" t="e">
        <f>#REF!</f>
        <v>#REF!</v>
      </c>
      <c r="G46" s="138" t="e">
        <f>G45*100/G38</f>
        <v>#DIV/0!</v>
      </c>
      <c r="H46" s="138" t="e">
        <f>H45*100/H38</f>
        <v>#DIV/0!</v>
      </c>
      <c r="I46" s="138" t="e">
        <f>I45*100/I38</f>
        <v>#DIV/0!</v>
      </c>
      <c r="J46" s="138" t="e">
        <f>J45*100/J38</f>
        <v>#DIV/0!</v>
      </c>
    </row>
    <row r="47" spans="1:10" ht="37.5">
      <c r="A47" s="67" t="s">
        <v>159</v>
      </c>
      <c r="B47" s="61">
        <f>'I. Фін результат'!B143</f>
        <v>1310</v>
      </c>
      <c r="C47" s="133">
        <f>'I. Фін результат'!C143</f>
        <v>0</v>
      </c>
      <c r="D47" s="133">
        <f>'I. Фін результат'!D143</f>
        <v>0</v>
      </c>
      <c r="E47" s="133">
        <f>'I. Фін результат'!I143</f>
        <v>0</v>
      </c>
      <c r="F47" s="133">
        <f>'I. Фін результат'!E143</f>
        <v>0</v>
      </c>
      <c r="G47" s="132"/>
      <c r="H47" s="132"/>
      <c r="I47" s="132"/>
      <c r="J47" s="132"/>
    </row>
    <row r="48" spans="1:10" ht="20.100000000000001" customHeight="1">
      <c r="A48" s="63" t="s">
        <v>251</v>
      </c>
      <c r="B48" s="61">
        <f>'I. Фін результат'!B144</f>
        <v>1320</v>
      </c>
      <c r="C48" s="133">
        <f>'I. Фін результат'!C144</f>
        <v>-370</v>
      </c>
      <c r="D48" s="133">
        <f>'I. Фін результат'!D144</f>
        <v>-493</v>
      </c>
      <c r="E48" s="133">
        <f>'I. Фін результат'!I144</f>
        <v>-493</v>
      </c>
      <c r="F48" s="133">
        <f>'I. Фін результат'!E144</f>
        <v>-365.33333333333331</v>
      </c>
      <c r="G48" s="132"/>
      <c r="H48" s="132"/>
      <c r="I48" s="132"/>
      <c r="J48" s="132"/>
    </row>
    <row r="49" spans="1:10" ht="37.5">
      <c r="A49" s="66" t="s">
        <v>102</v>
      </c>
      <c r="B49" s="61">
        <f>'I. Фін результат'!B134</f>
        <v>1170</v>
      </c>
      <c r="C49" s="133">
        <f>'I. Фін результат'!C134</f>
        <v>598</v>
      </c>
      <c r="D49" s="133">
        <f>'I. Фін результат'!D134</f>
        <v>661</v>
      </c>
      <c r="E49" s="133">
        <f>'I. Фін результат'!I134</f>
        <v>1170.8500000000058</v>
      </c>
      <c r="F49" s="133">
        <f>'I. Фін результат'!E134</f>
        <v>437.33333333333456</v>
      </c>
      <c r="G49" s="133">
        <f>G44+G47+G48</f>
        <v>0</v>
      </c>
      <c r="H49" s="133">
        <f>H44+H47+H48</f>
        <v>0</v>
      </c>
      <c r="I49" s="133">
        <f>I44+I47+I48</f>
        <v>0</v>
      </c>
      <c r="J49" s="133">
        <f>J44+J47+J48</f>
        <v>0</v>
      </c>
    </row>
    <row r="50" spans="1:10" ht="20.100000000000001" customHeight="1">
      <c r="A50" s="67" t="s">
        <v>154</v>
      </c>
      <c r="B50" s="61">
        <f>'I. Фін результат'!B135</f>
        <v>1180</v>
      </c>
      <c r="C50" s="133">
        <f>'I. Фін результат'!C135</f>
        <v>108</v>
      </c>
      <c r="D50" s="133">
        <f>'I. Фін результат'!D135</f>
        <v>119</v>
      </c>
      <c r="E50" s="133">
        <f>'I. Фін результат'!I135</f>
        <v>211</v>
      </c>
      <c r="F50" s="133">
        <f>'I. Фін результат'!E135</f>
        <v>79</v>
      </c>
      <c r="G50" s="133">
        <f>G49*18%</f>
        <v>0</v>
      </c>
      <c r="H50" s="133">
        <f>H49*18%</f>
        <v>0</v>
      </c>
      <c r="I50" s="133">
        <f>I49*18%</f>
        <v>0</v>
      </c>
      <c r="J50" s="133">
        <f>J49*18%</f>
        <v>0</v>
      </c>
    </row>
    <row r="51" spans="1:10" ht="20.100000000000001" customHeight="1">
      <c r="A51" s="66" t="s">
        <v>247</v>
      </c>
      <c r="B51" s="61">
        <f>'I. Фін результат'!B137</f>
        <v>1200</v>
      </c>
      <c r="C51" s="133">
        <f>'I. Фін результат'!C137</f>
        <v>490</v>
      </c>
      <c r="D51" s="133">
        <f>'I. Фін результат'!D137</f>
        <v>542</v>
      </c>
      <c r="E51" s="133">
        <f>'I. Фін результат'!I137</f>
        <v>959.85000000000582</v>
      </c>
      <c r="F51" s="133">
        <f>'I. Фін результат'!E137</f>
        <v>358.33333333333456</v>
      </c>
      <c r="G51" s="133">
        <f>G49-G50</f>
        <v>0</v>
      </c>
      <c r="H51" s="133">
        <f>H49-H50</f>
        <v>0</v>
      </c>
      <c r="I51" s="133">
        <f>I49-I50</f>
        <v>0</v>
      </c>
      <c r="J51" s="133">
        <f>J49-J50</f>
        <v>0</v>
      </c>
    </row>
    <row r="52" spans="1:10" ht="20.100000000000001" customHeight="1">
      <c r="A52" s="67" t="s">
        <v>248</v>
      </c>
      <c r="B52" s="61" t="e">
        <f>#REF!</f>
        <v>#REF!</v>
      </c>
      <c r="C52" s="134" t="e">
        <f>#REF!</f>
        <v>#REF!</v>
      </c>
      <c r="D52" s="134">
        <f>D51/D38</f>
        <v>4.9138712601994559E-3</v>
      </c>
      <c r="E52" s="134" t="e">
        <f>#REF!</f>
        <v>#REF!</v>
      </c>
      <c r="F52" s="134" t="e">
        <f>#REF!</f>
        <v>#REF!</v>
      </c>
      <c r="G52" s="134" t="e">
        <f>G51/G38</f>
        <v>#DIV/0!</v>
      </c>
      <c r="H52" s="134" t="e">
        <f>H51/H38</f>
        <v>#DIV/0!</v>
      </c>
      <c r="I52" s="134" t="e">
        <f>I51/I38</f>
        <v>#DIV/0!</v>
      </c>
      <c r="J52" s="134" t="e">
        <f>J51/J38</f>
        <v>#DIV/0!</v>
      </c>
    </row>
    <row r="53" spans="1:10" ht="24.95" customHeight="1">
      <c r="A53" s="555" t="s">
        <v>171</v>
      </c>
      <c r="B53" s="556"/>
      <c r="C53" s="556"/>
      <c r="D53" s="556"/>
      <c r="E53" s="556"/>
      <c r="F53" s="556"/>
      <c r="G53" s="556"/>
      <c r="H53" s="556"/>
      <c r="I53" s="556"/>
      <c r="J53" s="557"/>
    </row>
    <row r="54" spans="1:10" ht="20.100000000000001" customHeight="1">
      <c r="A54" s="68" t="s">
        <v>367</v>
      </c>
      <c r="B54" s="61">
        <f>'ІІ. Розр. з бюджетом'!B21</f>
        <v>2100</v>
      </c>
      <c r="C54" s="133">
        <f>'ІІ. Розр. з бюджетом'!C21</f>
        <v>324</v>
      </c>
      <c r="D54" s="133">
        <f>'ІІ. Розр. з бюджетом'!D21</f>
        <v>358</v>
      </c>
      <c r="E54" s="133">
        <f>'ІІ. Розр. з бюджетом'!I21</f>
        <v>634</v>
      </c>
      <c r="F54" s="133">
        <f>'ІІ. Розр. з бюджетом'!E21</f>
        <v>237</v>
      </c>
      <c r="G54" s="132"/>
      <c r="H54" s="132"/>
      <c r="I54" s="132"/>
      <c r="J54" s="132"/>
    </row>
    <row r="55" spans="1:10" ht="20.100000000000001" customHeight="1">
      <c r="A55" s="69" t="s">
        <v>170</v>
      </c>
      <c r="B55" s="61">
        <f>'ІІ. Розр. з бюджетом'!B24</f>
        <v>2110</v>
      </c>
      <c r="C55" s="133">
        <f>'ІІ. Розр. з бюджетом'!C24</f>
        <v>108</v>
      </c>
      <c r="D55" s="133">
        <f>'ІІ. Розр. з бюджетом'!D24</f>
        <v>119</v>
      </c>
      <c r="E55" s="133">
        <f>'ІІ. Розр. з бюджетом'!I24</f>
        <v>211</v>
      </c>
      <c r="F55" s="133">
        <f>'ІІ. Розр. з бюджетом'!E24</f>
        <v>79</v>
      </c>
      <c r="G55" s="133">
        <f>G50</f>
        <v>0</v>
      </c>
      <c r="H55" s="133">
        <f>H50</f>
        <v>0</v>
      </c>
      <c r="I55" s="133">
        <f>I50</f>
        <v>0</v>
      </c>
      <c r="J55" s="133">
        <f>J50</f>
        <v>0</v>
      </c>
    </row>
    <row r="56" spans="1:10" ht="56.25">
      <c r="A56" s="69" t="s">
        <v>363</v>
      </c>
      <c r="B56" s="61" t="s">
        <v>249</v>
      </c>
      <c r="C56" s="133">
        <f>SUM('ІІ. Розр. з бюджетом'!C25,'ІІ. Розр. з бюджетом'!C26)</f>
        <v>2390</v>
      </c>
      <c r="D56" s="133">
        <f>SUM('ІІ. Розр. з бюджетом'!D25,'ІІ. Розр. з бюджетом'!D26)</f>
        <v>4000</v>
      </c>
      <c r="E56" s="133">
        <f>'ІІ. Розр. з бюджетом'!I25+'ІІ. Розр. з бюджетом'!I26</f>
        <v>4600</v>
      </c>
      <c r="F56" s="133">
        <f>SUM('ІІ. Розр. з бюджетом'!E25,'ІІ. Розр. з бюджетом'!E26)</f>
        <v>4502</v>
      </c>
      <c r="G56" s="132"/>
      <c r="H56" s="132"/>
      <c r="I56" s="132"/>
      <c r="J56" s="132"/>
    </row>
    <row r="57" spans="1:10" ht="56.25">
      <c r="A57" s="68" t="s">
        <v>368</v>
      </c>
      <c r="B57" s="61">
        <f>'ІІ. Розр. з бюджетом'!B27</f>
        <v>2140</v>
      </c>
      <c r="C57" s="133">
        <f>'ІІ. Розр. з бюджетом'!C27</f>
        <v>3105</v>
      </c>
      <c r="D57" s="133">
        <f>'ІІ. Розр. з бюджетом'!D27</f>
        <v>4089</v>
      </c>
      <c r="E57" s="133">
        <f>'ІІ. Розр. з бюджетом'!I27</f>
        <v>5023</v>
      </c>
      <c r="F57" s="133">
        <f>'ІІ. Розр. з бюджетом'!E27</f>
        <v>3966</v>
      </c>
      <c r="G57" s="132"/>
      <c r="H57" s="132"/>
      <c r="I57" s="132"/>
      <c r="J57" s="132"/>
    </row>
    <row r="58" spans="1:10" ht="39" customHeight="1">
      <c r="A58" s="68" t="s">
        <v>87</v>
      </c>
      <c r="B58" s="61">
        <f>'ІІ. Розр. з бюджетом'!B38</f>
        <v>2150</v>
      </c>
      <c r="C58" s="133">
        <f>'ІІ. Розр. з бюджетом'!C38</f>
        <v>3139</v>
      </c>
      <c r="D58" s="133">
        <f>'ІІ. Розр. з бюджетом'!D38</f>
        <v>4173</v>
      </c>
      <c r="E58" s="133">
        <f>'ІІ. Розр. з бюджетом'!I38</f>
        <v>5177</v>
      </c>
      <c r="F58" s="133">
        <f>'ІІ. Розр. з бюджетом'!E38</f>
        <v>4009</v>
      </c>
      <c r="G58" s="132"/>
      <c r="H58" s="132"/>
      <c r="I58" s="132"/>
      <c r="J58" s="132"/>
    </row>
    <row r="59" spans="1:10" ht="20.100000000000001" customHeight="1">
      <c r="A59" s="70" t="s">
        <v>369</v>
      </c>
      <c r="B59" s="61">
        <f>'ІІ. Розр. з бюджетом'!B39</f>
        <v>2200</v>
      </c>
      <c r="C59" s="133">
        <f>'ІІ. Розр. з бюджетом'!C39</f>
        <v>9066</v>
      </c>
      <c r="D59" s="133">
        <f>'ІІ. Розр. з бюджетом'!D39</f>
        <v>12739</v>
      </c>
      <c r="E59" s="133">
        <f>'ІІ. Розр. з бюджетом'!I39</f>
        <v>15645</v>
      </c>
      <c r="F59" s="133">
        <f>'ІІ. Розр. з бюджетом'!E39</f>
        <v>12793</v>
      </c>
      <c r="G59" s="133">
        <f>SUM(G54:G58)</f>
        <v>0</v>
      </c>
      <c r="H59" s="133">
        <f>SUM(H54:H58)</f>
        <v>0</v>
      </c>
      <c r="I59" s="133">
        <f>SUM(I54:I58)</f>
        <v>0</v>
      </c>
      <c r="J59" s="133">
        <f>SUM(J54:J58)</f>
        <v>0</v>
      </c>
    </row>
    <row r="60" spans="1:10" ht="24.95" customHeight="1">
      <c r="A60" s="555" t="s">
        <v>169</v>
      </c>
      <c r="B60" s="556"/>
      <c r="C60" s="556"/>
      <c r="D60" s="556"/>
      <c r="E60" s="556"/>
      <c r="F60" s="556"/>
      <c r="G60" s="556"/>
      <c r="H60" s="556"/>
      <c r="I60" s="556"/>
      <c r="J60" s="557"/>
    </row>
    <row r="61" spans="1:10" ht="20.100000000000001" customHeight="1">
      <c r="A61" s="70" t="s">
        <v>160</v>
      </c>
      <c r="B61" s="61">
        <f>'ІІІ. Рух грош. коштів'!B77</f>
        <v>3600</v>
      </c>
      <c r="C61" s="133">
        <f>'ІІІ. Рух грош. коштів'!C77</f>
        <v>23205</v>
      </c>
      <c r="D61" s="133">
        <f>'ІІІ. Рух грош. коштів'!D77</f>
        <v>5074</v>
      </c>
      <c r="E61" s="133">
        <f>'ІІІ. Рух грош. коштів'!I77</f>
        <v>8047.6666666666688</v>
      </c>
      <c r="F61" s="133">
        <f>'ІІІ. Рух грош. коштів'!E77</f>
        <v>7641</v>
      </c>
      <c r="G61" s="133">
        <f>E66</f>
        <v>12371.716666666674</v>
      </c>
      <c r="H61" s="133">
        <f>G66</f>
        <v>12371.716666666674</v>
      </c>
      <c r="I61" s="133">
        <f>H66</f>
        <v>12371.716666666674</v>
      </c>
      <c r="J61" s="133">
        <f>I66</f>
        <v>12371.716666666674</v>
      </c>
    </row>
    <row r="62" spans="1:10" ht="37.5">
      <c r="A62" s="68" t="s">
        <v>161</v>
      </c>
      <c r="B62" s="61">
        <f>'ІІІ. Рух грош. коштів'!B26</f>
        <v>3090</v>
      </c>
      <c r="C62" s="133">
        <f>'ІІІ. Рух грош. коштів'!C26</f>
        <v>632</v>
      </c>
      <c r="D62" s="133">
        <f>'ІІІ. Рух грош. коштів'!D26</f>
        <v>1856</v>
      </c>
      <c r="E62" s="133">
        <f>'ІІІ. Рух грош. коштів'!I26</f>
        <v>5625.0500000000065</v>
      </c>
      <c r="F62" s="133">
        <f>'ІІІ. Рух грош. коштів'!E26</f>
        <v>-156.33333333333121</v>
      </c>
      <c r="G62" s="132"/>
      <c r="H62" s="132"/>
      <c r="I62" s="132"/>
      <c r="J62" s="132"/>
    </row>
    <row r="63" spans="1:10" ht="37.5">
      <c r="A63" s="68" t="s">
        <v>252</v>
      </c>
      <c r="B63" s="61">
        <f>'ІІІ. Рух грош. коштів'!B48</f>
        <v>3320</v>
      </c>
      <c r="C63" s="133">
        <f>'ІІІ. Рух грош. коштів'!C48</f>
        <v>-15873</v>
      </c>
      <c r="D63" s="133">
        <f>'ІІІ. Рух грош. коштів'!D48</f>
        <v>-2500</v>
      </c>
      <c r="E63" s="133">
        <f>'ІІІ. Рух грош. коштів'!I48</f>
        <v>-9462</v>
      </c>
      <c r="F63" s="133">
        <f>'ІІІ. Рух грош. коштів'!E48</f>
        <v>-10161</v>
      </c>
      <c r="G63" s="132"/>
      <c r="H63" s="132"/>
      <c r="I63" s="132"/>
      <c r="J63" s="132"/>
    </row>
    <row r="64" spans="1:10" ht="37.5">
      <c r="A64" s="68" t="s">
        <v>162</v>
      </c>
      <c r="B64" s="61">
        <f>'ІІІ. Рух грош. коштів'!B75</f>
        <v>3580</v>
      </c>
      <c r="C64" s="133">
        <f>'ІІІ. Рух грош. коштів'!C75</f>
        <v>-323</v>
      </c>
      <c r="D64" s="133">
        <f>'ІІІ. Рух грош. коштів'!D75</f>
        <v>2142</v>
      </c>
      <c r="E64" s="133">
        <f>'ІІІ. Рух грош. коштів'!I75</f>
        <v>8161</v>
      </c>
      <c r="F64" s="133">
        <f>'ІІІ. Рух грош. коштів'!E75</f>
        <v>10724</v>
      </c>
      <c r="G64" s="132"/>
      <c r="H64" s="132"/>
      <c r="I64" s="132"/>
      <c r="J64" s="132"/>
    </row>
    <row r="65" spans="1:10" ht="37.5">
      <c r="A65" s="68" t="s">
        <v>187</v>
      </c>
      <c r="B65" s="61">
        <f>'ІІІ. Рух грош. коштів'!B78</f>
        <v>3610</v>
      </c>
      <c r="C65" s="133">
        <f>'ІІІ. Рух грош. коштів'!C78</f>
        <v>0</v>
      </c>
      <c r="D65" s="133">
        <f>'ІІІ. Рух грош. коштів'!D78</f>
        <v>0</v>
      </c>
      <c r="E65" s="133">
        <f>'ІІІ. Рух грош. коштів'!I78</f>
        <v>0</v>
      </c>
      <c r="F65" s="133">
        <f>'ІІІ. Рух грош. коштів'!E78</f>
        <v>0</v>
      </c>
      <c r="G65" s="132"/>
      <c r="H65" s="132"/>
      <c r="I65" s="132"/>
      <c r="J65" s="132"/>
    </row>
    <row r="66" spans="1:10" ht="20.100000000000001" customHeight="1">
      <c r="A66" s="70" t="s">
        <v>163</v>
      </c>
      <c r="B66" s="61">
        <f>'ІІІ. Рух грош. коштів'!B79</f>
        <v>3620</v>
      </c>
      <c r="C66" s="133">
        <f>'ІІІ. Рух грош. коштів'!C79</f>
        <v>7641</v>
      </c>
      <c r="D66" s="133">
        <f>'ІІІ. Рух грош. коштів'!D79</f>
        <v>6572</v>
      </c>
      <c r="E66" s="133">
        <f>'ІІІ. Рух грош. коштів'!I79</f>
        <v>12371.716666666674</v>
      </c>
      <c r="F66" s="133">
        <f>'ІІІ. Рух грош. коштів'!E79</f>
        <v>8047.6666666666688</v>
      </c>
      <c r="G66" s="133">
        <f>SUM(G61:G65)</f>
        <v>12371.716666666674</v>
      </c>
      <c r="H66" s="133">
        <f>SUM(H61:H65)</f>
        <v>12371.716666666674</v>
      </c>
      <c r="I66" s="133">
        <f>SUM(I61:I65)</f>
        <v>12371.716666666674</v>
      </c>
      <c r="J66" s="133">
        <f>SUM(J61:J65)</f>
        <v>12371.716666666674</v>
      </c>
    </row>
    <row r="67" spans="1:10" ht="24.95" customHeight="1">
      <c r="A67" s="558" t="s">
        <v>231</v>
      </c>
      <c r="B67" s="559"/>
      <c r="C67" s="559"/>
      <c r="D67" s="559"/>
      <c r="E67" s="559"/>
      <c r="F67" s="559"/>
      <c r="G67" s="559"/>
      <c r="H67" s="559"/>
      <c r="I67" s="559"/>
      <c r="J67" s="560"/>
    </row>
    <row r="68" spans="1:10" ht="20.100000000000001" customHeight="1">
      <c r="A68" s="68" t="s">
        <v>230</v>
      </c>
      <c r="B68" s="61" t="e">
        <f>#REF!</f>
        <v>#REF!</v>
      </c>
      <c r="C68" s="133" t="e">
        <f>#REF!</f>
        <v>#REF!</v>
      </c>
      <c r="D68" s="133" t="e">
        <f>#REF!</f>
        <v>#REF!</v>
      </c>
      <c r="E68" s="133" t="e">
        <f>#REF!</f>
        <v>#REF!</v>
      </c>
      <c r="F68" s="133" t="e">
        <f>#REF!</f>
        <v>#REF!</v>
      </c>
      <c r="G68" s="132"/>
      <c r="H68" s="132"/>
      <c r="I68" s="132"/>
      <c r="J68" s="132"/>
    </row>
    <row r="69" spans="1:10" ht="24.95" customHeight="1">
      <c r="A69" s="561" t="s">
        <v>234</v>
      </c>
      <c r="B69" s="562"/>
      <c r="C69" s="562"/>
      <c r="D69" s="562"/>
      <c r="E69" s="562"/>
      <c r="F69" s="562"/>
      <c r="G69" s="562"/>
      <c r="H69" s="562"/>
      <c r="I69" s="562"/>
      <c r="J69" s="563"/>
    </row>
    <row r="70" spans="1:10" ht="20.100000000000001" customHeight="1">
      <c r="A70" s="68" t="s">
        <v>190</v>
      </c>
      <c r="B70" s="61" t="e">
        <f>#REF!</f>
        <v>#REF!</v>
      </c>
      <c r="C70" s="134" t="e">
        <f>#REF!</f>
        <v>#REF!</v>
      </c>
      <c r="D70" s="134" t="e">
        <f>D51/D77</f>
        <v>#DIV/0!</v>
      </c>
      <c r="E70" s="134" t="e">
        <f>#REF!</f>
        <v>#REF!</v>
      </c>
      <c r="F70" s="134" t="e">
        <f>#REF!</f>
        <v>#REF!</v>
      </c>
      <c r="G70" s="64" t="s">
        <v>243</v>
      </c>
      <c r="H70" s="64" t="s">
        <v>243</v>
      </c>
      <c r="I70" s="64" t="s">
        <v>243</v>
      </c>
      <c r="J70" s="64" t="s">
        <v>243</v>
      </c>
    </row>
    <row r="71" spans="1:10" ht="37.5">
      <c r="A71" s="68" t="s">
        <v>185</v>
      </c>
      <c r="B71" s="61" t="e">
        <f>#REF!</f>
        <v>#REF!</v>
      </c>
      <c r="C71" s="134" t="e">
        <f>#REF!</f>
        <v>#REF!</v>
      </c>
      <c r="D71" s="134" t="e">
        <f>D51/D83</f>
        <v>#DIV/0!</v>
      </c>
      <c r="E71" s="134" t="e">
        <f>#REF!</f>
        <v>#REF!</v>
      </c>
      <c r="F71" s="134" t="e">
        <f>#REF!</f>
        <v>#REF!</v>
      </c>
      <c r="G71" s="64" t="s">
        <v>243</v>
      </c>
      <c r="H71" s="64" t="s">
        <v>243</v>
      </c>
      <c r="I71" s="64" t="s">
        <v>243</v>
      </c>
      <c r="J71" s="64" t="s">
        <v>243</v>
      </c>
    </row>
    <row r="72" spans="1:10" ht="20.100000000000001" customHeight="1">
      <c r="A72" s="68" t="s">
        <v>250</v>
      </c>
      <c r="B72" s="61" t="e">
        <f>#REF!</f>
        <v>#REF!</v>
      </c>
      <c r="C72" s="134" t="e">
        <f>#REF!</f>
        <v>#REF!</v>
      </c>
      <c r="D72" s="134" t="e">
        <f>D83/(D78+D79)</f>
        <v>#DIV/0!</v>
      </c>
      <c r="E72" s="134" t="e">
        <f>#REF!</f>
        <v>#REF!</v>
      </c>
      <c r="F72" s="134" t="e">
        <f>#REF!</f>
        <v>#REF!</v>
      </c>
      <c r="G72" s="64" t="s">
        <v>243</v>
      </c>
      <c r="H72" s="64" t="s">
        <v>243</v>
      </c>
      <c r="I72" s="64" t="s">
        <v>243</v>
      </c>
      <c r="J72" s="64" t="s">
        <v>243</v>
      </c>
    </row>
    <row r="73" spans="1:10" ht="24.95" customHeight="1">
      <c r="A73" s="555" t="s">
        <v>233</v>
      </c>
      <c r="B73" s="556"/>
      <c r="C73" s="556"/>
      <c r="D73" s="556"/>
      <c r="E73" s="556"/>
      <c r="F73" s="556"/>
      <c r="G73" s="556"/>
      <c r="H73" s="556"/>
      <c r="I73" s="556"/>
      <c r="J73" s="557"/>
    </row>
    <row r="74" spans="1:10" ht="20.100000000000001" customHeight="1">
      <c r="A74" s="68" t="s">
        <v>164</v>
      </c>
      <c r="B74" s="61">
        <v>6000</v>
      </c>
      <c r="C74" s="132"/>
      <c r="D74" s="132"/>
      <c r="E74" s="133" t="e">
        <f>F74+E68-'I. Фін результат'!I160</f>
        <v>#REF!</v>
      </c>
      <c r="F74" s="132"/>
      <c r="G74" s="71" t="s">
        <v>243</v>
      </c>
      <c r="H74" s="71" t="s">
        <v>243</v>
      </c>
      <c r="I74" s="71" t="s">
        <v>243</v>
      </c>
      <c r="J74" s="71" t="s">
        <v>243</v>
      </c>
    </row>
    <row r="75" spans="1:10" ht="20.100000000000001" customHeight="1">
      <c r="A75" s="68" t="s">
        <v>165</v>
      </c>
      <c r="B75" s="61">
        <v>6010</v>
      </c>
      <c r="C75" s="132"/>
      <c r="D75" s="132"/>
      <c r="E75" s="132"/>
      <c r="F75" s="132"/>
      <c r="G75" s="71" t="s">
        <v>243</v>
      </c>
      <c r="H75" s="71" t="s">
        <v>243</v>
      </c>
      <c r="I75" s="71" t="s">
        <v>243</v>
      </c>
      <c r="J75" s="71" t="s">
        <v>243</v>
      </c>
    </row>
    <row r="76" spans="1:10" ht="37.5">
      <c r="A76" s="68" t="s">
        <v>279</v>
      </c>
      <c r="B76" s="61">
        <v>6020</v>
      </c>
      <c r="C76" s="132">
        <f>'ІІІ. Рух грош. коштів'!C79</f>
        <v>7641</v>
      </c>
      <c r="D76" s="132">
        <f>'ІІІ. Рух грош. коштів'!D79</f>
        <v>6572</v>
      </c>
      <c r="E76" s="132">
        <f>'ІІІ. Рух грош. коштів'!I79</f>
        <v>12371.716666666674</v>
      </c>
      <c r="F76" s="132">
        <f>'ІІІ. Рух грош. коштів'!E79</f>
        <v>8047.6666666666688</v>
      </c>
      <c r="G76" s="71" t="s">
        <v>243</v>
      </c>
      <c r="H76" s="71" t="s">
        <v>243</v>
      </c>
      <c r="I76" s="71" t="s">
        <v>243</v>
      </c>
      <c r="J76" s="71" t="s">
        <v>243</v>
      </c>
    </row>
    <row r="77" spans="1:10" s="5" customFormat="1" ht="20.100000000000001" customHeight="1">
      <c r="A77" s="70" t="s">
        <v>283</v>
      </c>
      <c r="B77" s="61">
        <v>6030</v>
      </c>
      <c r="C77" s="132">
        <f>C74+C75</f>
        <v>0</v>
      </c>
      <c r="D77" s="132">
        <f>D74+D75</f>
        <v>0</v>
      </c>
      <c r="E77" s="132" t="e">
        <f>E74+E75</f>
        <v>#REF!</v>
      </c>
      <c r="F77" s="132">
        <f>F74+F75</f>
        <v>0</v>
      </c>
      <c r="G77" s="71" t="s">
        <v>243</v>
      </c>
      <c r="H77" s="71" t="s">
        <v>243</v>
      </c>
      <c r="I77" s="71" t="s">
        <v>243</v>
      </c>
      <c r="J77" s="71" t="s">
        <v>243</v>
      </c>
    </row>
    <row r="78" spans="1:10" ht="20.100000000000001" customHeight="1">
      <c r="A78" s="68" t="s">
        <v>188</v>
      </c>
      <c r="B78" s="61">
        <v>6040</v>
      </c>
      <c r="C78" s="132"/>
      <c r="D78" s="132"/>
      <c r="E78" s="132"/>
      <c r="F78" s="132"/>
      <c r="G78" s="71" t="s">
        <v>243</v>
      </c>
      <c r="H78" s="71" t="s">
        <v>243</v>
      </c>
      <c r="I78" s="71" t="s">
        <v>243</v>
      </c>
      <c r="J78" s="71" t="s">
        <v>243</v>
      </c>
    </row>
    <row r="79" spans="1:10" ht="20.100000000000001" customHeight="1">
      <c r="A79" s="68" t="s">
        <v>189</v>
      </c>
      <c r="B79" s="61">
        <v>6050</v>
      </c>
      <c r="C79" s="132"/>
      <c r="D79" s="132"/>
      <c r="E79" s="132"/>
      <c r="F79" s="132"/>
      <c r="G79" s="71" t="s">
        <v>243</v>
      </c>
      <c r="H79" s="71" t="s">
        <v>243</v>
      </c>
      <c r="I79" s="71" t="s">
        <v>243</v>
      </c>
      <c r="J79" s="71" t="s">
        <v>243</v>
      </c>
    </row>
    <row r="80" spans="1:10" s="5" customFormat="1" ht="20.100000000000001" customHeight="1">
      <c r="A80" s="70" t="s">
        <v>282</v>
      </c>
      <c r="B80" s="61">
        <v>6060</v>
      </c>
      <c r="C80" s="133">
        <f>SUM(C78:C79)</f>
        <v>0</v>
      </c>
      <c r="D80" s="133">
        <f>SUM(D78:D79)</f>
        <v>0</v>
      </c>
      <c r="E80" s="133">
        <f>SUM(E78:E79)</f>
        <v>0</v>
      </c>
      <c r="F80" s="133">
        <f>SUM(F78:F79)</f>
        <v>0</v>
      </c>
      <c r="G80" s="71" t="s">
        <v>243</v>
      </c>
      <c r="H80" s="71" t="s">
        <v>243</v>
      </c>
      <c r="I80" s="71" t="s">
        <v>243</v>
      </c>
      <c r="J80" s="71" t="s">
        <v>243</v>
      </c>
    </row>
    <row r="81" spans="1:10" ht="20.100000000000001" customHeight="1">
      <c r="A81" s="68" t="s">
        <v>280</v>
      </c>
      <c r="B81" s="61">
        <v>6070</v>
      </c>
      <c r="C81" s="132"/>
      <c r="D81" s="132"/>
      <c r="E81" s="132"/>
      <c r="F81" s="132"/>
      <c r="G81" s="71" t="s">
        <v>243</v>
      </c>
      <c r="H81" s="71" t="s">
        <v>243</v>
      </c>
      <c r="I81" s="71" t="s">
        <v>243</v>
      </c>
      <c r="J81" s="71" t="s">
        <v>243</v>
      </c>
    </row>
    <row r="82" spans="1:10" ht="20.100000000000001" customHeight="1">
      <c r="A82" s="68" t="s">
        <v>281</v>
      </c>
      <c r="B82" s="61">
        <v>6080</v>
      </c>
      <c r="C82" s="132"/>
      <c r="D82" s="132"/>
      <c r="E82" s="132"/>
      <c r="F82" s="132"/>
      <c r="G82" s="71" t="s">
        <v>243</v>
      </c>
      <c r="H82" s="71" t="s">
        <v>243</v>
      </c>
      <c r="I82" s="71" t="s">
        <v>243</v>
      </c>
      <c r="J82" s="71" t="s">
        <v>243</v>
      </c>
    </row>
    <row r="83" spans="1:10" s="5" customFormat="1" ht="20.100000000000001" customHeight="1">
      <c r="A83" s="70" t="s">
        <v>166</v>
      </c>
      <c r="B83" s="61">
        <v>6090</v>
      </c>
      <c r="C83" s="132"/>
      <c r="D83" s="132"/>
      <c r="E83" s="133">
        <f>F83+E51-E54</f>
        <v>325.85000000000582</v>
      </c>
      <c r="F83" s="132"/>
      <c r="G83" s="71" t="s">
        <v>243</v>
      </c>
      <c r="H83" s="71" t="s">
        <v>243</v>
      </c>
      <c r="I83" s="71" t="s">
        <v>243</v>
      </c>
      <c r="J83" s="71" t="s">
        <v>243</v>
      </c>
    </row>
    <row r="84" spans="1:10" s="5" customFormat="1" ht="24.95" customHeight="1">
      <c r="A84" s="49"/>
      <c r="B84" s="73"/>
      <c r="C84" s="96"/>
      <c r="D84" s="97"/>
      <c r="E84" s="97"/>
      <c r="F84" s="97"/>
      <c r="G84" s="98"/>
      <c r="H84" s="98"/>
      <c r="I84" s="98"/>
      <c r="J84" s="98"/>
    </row>
    <row r="85" spans="1:10" ht="24.95" customHeight="1">
      <c r="A85" s="77"/>
      <c r="B85" s="73"/>
      <c r="C85" s="98"/>
      <c r="D85" s="99"/>
      <c r="E85" s="99"/>
      <c r="F85" s="99"/>
      <c r="G85" s="99"/>
      <c r="H85" s="99"/>
      <c r="I85" s="99"/>
      <c r="J85" s="99"/>
    </row>
    <row r="86" spans="1:10" ht="56.25">
      <c r="A86" s="100" t="s">
        <v>146</v>
      </c>
      <c r="B86" s="101"/>
      <c r="C86" s="382" t="s">
        <v>115</v>
      </c>
      <c r="D86" s="383"/>
      <c r="E86" s="383"/>
      <c r="F86" s="383"/>
      <c r="G86" s="102"/>
      <c r="H86" s="554" t="s">
        <v>144</v>
      </c>
      <c r="I86" s="554"/>
      <c r="J86" s="554"/>
    </row>
    <row r="87" spans="1:10" s="1" customFormat="1" ht="21" customHeight="1">
      <c r="A87" s="73" t="s">
        <v>80</v>
      </c>
      <c r="B87" s="72"/>
      <c r="C87" s="365" t="s">
        <v>81</v>
      </c>
      <c r="D87" s="365"/>
      <c r="E87" s="365"/>
      <c r="F87" s="365"/>
      <c r="G87" s="103"/>
      <c r="H87" s="366" t="s">
        <v>111</v>
      </c>
      <c r="I87" s="366"/>
      <c r="J87" s="366"/>
    </row>
    <row r="89" spans="1:10">
      <c r="A89" s="39"/>
    </row>
    <row r="90" spans="1:10">
      <c r="A90" s="39"/>
    </row>
    <row r="91" spans="1:10">
      <c r="A91" s="39"/>
    </row>
    <row r="92" spans="1:10" s="16" customFormat="1">
      <c r="A92" s="39"/>
      <c r="G92" s="2"/>
      <c r="H92" s="2"/>
      <c r="I92" s="2"/>
      <c r="J92" s="2"/>
    </row>
    <row r="93" spans="1:10" s="16" customFormat="1">
      <c r="A93" s="39"/>
      <c r="G93" s="2"/>
      <c r="H93" s="2"/>
      <c r="I93" s="2"/>
      <c r="J93" s="2"/>
    </row>
    <row r="94" spans="1:10" s="16" customFormat="1">
      <c r="A94" s="39"/>
      <c r="G94" s="2"/>
      <c r="H94" s="2"/>
      <c r="I94" s="2"/>
      <c r="J94" s="2"/>
    </row>
    <row r="95" spans="1:10" s="16" customFormat="1">
      <c r="A95" s="39"/>
      <c r="G95" s="2"/>
      <c r="H95" s="2"/>
      <c r="I95" s="2"/>
      <c r="J95" s="2"/>
    </row>
    <row r="96" spans="1:10" s="16" customFormat="1">
      <c r="A96" s="39"/>
      <c r="G96" s="2"/>
      <c r="H96" s="2"/>
      <c r="I96" s="2"/>
      <c r="J96" s="2"/>
    </row>
    <row r="97" spans="1:10" s="16" customFormat="1">
      <c r="A97" s="39"/>
      <c r="G97" s="2"/>
      <c r="H97" s="2"/>
      <c r="I97" s="2"/>
      <c r="J97" s="2"/>
    </row>
    <row r="98" spans="1:10" s="16" customFormat="1">
      <c r="A98" s="39"/>
      <c r="G98" s="2"/>
      <c r="H98" s="2"/>
      <c r="I98" s="2"/>
      <c r="J98" s="2"/>
    </row>
    <row r="99" spans="1:10" s="16" customFormat="1">
      <c r="A99" s="39"/>
      <c r="G99" s="2"/>
      <c r="H99" s="2"/>
      <c r="I99" s="2"/>
      <c r="J99" s="2"/>
    </row>
    <row r="100" spans="1:10" s="16" customFormat="1">
      <c r="A100" s="39"/>
      <c r="G100" s="2"/>
      <c r="H100" s="2"/>
      <c r="I100" s="2"/>
      <c r="J100" s="2"/>
    </row>
    <row r="101" spans="1:10" s="16" customFormat="1">
      <c r="A101" s="39"/>
      <c r="G101" s="2"/>
      <c r="H101" s="2"/>
      <c r="I101" s="2"/>
      <c r="J101" s="2"/>
    </row>
    <row r="102" spans="1:10" s="16" customFormat="1">
      <c r="A102" s="39"/>
      <c r="G102" s="2"/>
      <c r="H102" s="2"/>
      <c r="I102" s="2"/>
      <c r="J102" s="2"/>
    </row>
    <row r="103" spans="1:10" s="16" customFormat="1">
      <c r="A103" s="39"/>
      <c r="G103" s="2"/>
      <c r="H103" s="2"/>
      <c r="I103" s="2"/>
      <c r="J103" s="2"/>
    </row>
    <row r="104" spans="1:10" s="16" customFormat="1">
      <c r="A104" s="39"/>
      <c r="G104" s="2"/>
      <c r="H104" s="2"/>
      <c r="I104" s="2"/>
      <c r="J104" s="2"/>
    </row>
    <row r="105" spans="1:10" s="16" customFormat="1">
      <c r="A105" s="39"/>
      <c r="G105" s="2"/>
      <c r="H105" s="2"/>
      <c r="I105" s="2"/>
      <c r="J105" s="2"/>
    </row>
    <row r="106" spans="1:10" s="16" customFormat="1">
      <c r="A106" s="39"/>
      <c r="G106" s="2"/>
      <c r="H106" s="2"/>
      <c r="I106" s="2"/>
      <c r="J106" s="2"/>
    </row>
    <row r="107" spans="1:10" s="16" customFormat="1">
      <c r="A107" s="39"/>
      <c r="G107" s="2"/>
      <c r="H107" s="2"/>
      <c r="I107" s="2"/>
      <c r="J107" s="2"/>
    </row>
    <row r="108" spans="1:10" s="16" customFormat="1">
      <c r="A108" s="39"/>
      <c r="G108" s="2"/>
      <c r="H108" s="2"/>
      <c r="I108" s="2"/>
      <c r="J108" s="2"/>
    </row>
    <row r="109" spans="1:10" s="16" customFormat="1">
      <c r="A109" s="39"/>
      <c r="G109" s="2"/>
      <c r="H109" s="2"/>
      <c r="I109" s="2"/>
      <c r="J109" s="2"/>
    </row>
    <row r="110" spans="1:10" s="16" customFormat="1">
      <c r="A110" s="39"/>
      <c r="G110" s="2"/>
      <c r="H110" s="2"/>
      <c r="I110" s="2"/>
      <c r="J110" s="2"/>
    </row>
    <row r="111" spans="1:10" s="16" customFormat="1">
      <c r="A111" s="39"/>
      <c r="G111" s="2"/>
      <c r="H111" s="2"/>
      <c r="I111" s="2"/>
      <c r="J111" s="2"/>
    </row>
    <row r="112" spans="1:10" s="16" customFormat="1">
      <c r="A112" s="39"/>
      <c r="G112" s="2"/>
      <c r="H112" s="2"/>
      <c r="I112" s="2"/>
      <c r="J112" s="2"/>
    </row>
    <row r="113" spans="1:10" s="16" customFormat="1">
      <c r="A113" s="39"/>
      <c r="G113" s="2"/>
      <c r="H113" s="2"/>
      <c r="I113" s="2"/>
      <c r="J113" s="2"/>
    </row>
    <row r="114" spans="1:10" s="16" customFormat="1">
      <c r="A114" s="39"/>
      <c r="G114" s="2"/>
      <c r="H114" s="2"/>
      <c r="I114" s="2"/>
      <c r="J114" s="2"/>
    </row>
    <row r="115" spans="1:10" s="16" customFormat="1">
      <c r="A115" s="39"/>
      <c r="G115" s="2"/>
      <c r="H115" s="2"/>
      <c r="I115" s="2"/>
      <c r="J115" s="2"/>
    </row>
    <row r="116" spans="1:10" s="16" customFormat="1">
      <c r="A116" s="39"/>
      <c r="G116" s="2"/>
      <c r="H116" s="2"/>
      <c r="I116" s="2"/>
      <c r="J116" s="2"/>
    </row>
    <row r="117" spans="1:10" s="16" customFormat="1">
      <c r="A117" s="39"/>
      <c r="G117" s="2"/>
      <c r="H117" s="2"/>
      <c r="I117" s="2"/>
      <c r="J117" s="2"/>
    </row>
    <row r="118" spans="1:10" s="16" customFormat="1">
      <c r="A118" s="39"/>
      <c r="G118" s="2"/>
      <c r="H118" s="2"/>
      <c r="I118" s="2"/>
      <c r="J118" s="2"/>
    </row>
    <row r="119" spans="1:10" s="16" customFormat="1">
      <c r="A119" s="39"/>
      <c r="G119" s="2"/>
      <c r="H119" s="2"/>
      <c r="I119" s="2"/>
      <c r="J119" s="2"/>
    </row>
    <row r="120" spans="1:10" s="16" customFormat="1">
      <c r="A120" s="39"/>
      <c r="G120" s="2"/>
      <c r="H120" s="2"/>
      <c r="I120" s="2"/>
      <c r="J120" s="2"/>
    </row>
    <row r="121" spans="1:10" s="16" customFormat="1">
      <c r="A121" s="39"/>
      <c r="G121" s="2"/>
      <c r="H121" s="2"/>
      <c r="I121" s="2"/>
      <c r="J121" s="2"/>
    </row>
    <row r="122" spans="1:10" s="16" customFormat="1">
      <c r="A122" s="39"/>
      <c r="G122" s="2"/>
      <c r="H122" s="2"/>
      <c r="I122" s="2"/>
      <c r="J122" s="2"/>
    </row>
    <row r="123" spans="1:10" s="16" customFormat="1">
      <c r="A123" s="39"/>
      <c r="G123" s="2"/>
      <c r="H123" s="2"/>
      <c r="I123" s="2"/>
      <c r="J123" s="2"/>
    </row>
    <row r="124" spans="1:10" s="16" customFormat="1">
      <c r="A124" s="39"/>
      <c r="G124" s="2"/>
      <c r="H124" s="2"/>
      <c r="I124" s="2"/>
      <c r="J124" s="2"/>
    </row>
    <row r="125" spans="1:10" s="16" customFormat="1">
      <c r="A125" s="39"/>
      <c r="G125" s="2"/>
      <c r="H125" s="2"/>
      <c r="I125" s="2"/>
      <c r="J125" s="2"/>
    </row>
    <row r="126" spans="1:10" s="16" customFormat="1">
      <c r="A126" s="39"/>
      <c r="G126" s="2"/>
      <c r="H126" s="2"/>
      <c r="I126" s="2"/>
      <c r="J126" s="2"/>
    </row>
    <row r="127" spans="1:10" s="16" customFormat="1">
      <c r="A127" s="39"/>
      <c r="G127" s="2"/>
      <c r="H127" s="2"/>
      <c r="I127" s="2"/>
      <c r="J127" s="2"/>
    </row>
    <row r="128" spans="1:10" s="16" customFormat="1">
      <c r="A128" s="39"/>
      <c r="G128" s="2"/>
      <c r="H128" s="2"/>
      <c r="I128" s="2"/>
      <c r="J128" s="2"/>
    </row>
    <row r="129" spans="1:10" s="16" customFormat="1">
      <c r="A129" s="39"/>
      <c r="G129" s="2"/>
      <c r="H129" s="2"/>
      <c r="I129" s="2"/>
      <c r="J129" s="2"/>
    </row>
    <row r="130" spans="1:10" s="16" customFormat="1">
      <c r="A130" s="39"/>
      <c r="G130" s="2"/>
      <c r="H130" s="2"/>
      <c r="I130" s="2"/>
      <c r="J130" s="2"/>
    </row>
    <row r="131" spans="1:10" s="16" customFormat="1">
      <c r="A131" s="39"/>
      <c r="G131" s="2"/>
      <c r="H131" s="2"/>
      <c r="I131" s="2"/>
      <c r="J131" s="2"/>
    </row>
    <row r="132" spans="1:10" s="16" customFormat="1">
      <c r="A132" s="39"/>
      <c r="G132" s="2"/>
      <c r="H132" s="2"/>
      <c r="I132" s="2"/>
      <c r="J132" s="2"/>
    </row>
    <row r="133" spans="1:10" s="16" customFormat="1">
      <c r="A133" s="39"/>
      <c r="G133" s="2"/>
      <c r="H133" s="2"/>
      <c r="I133" s="2"/>
      <c r="J133" s="2"/>
    </row>
    <row r="134" spans="1:10" s="16" customFormat="1">
      <c r="A134" s="39"/>
      <c r="G134" s="2"/>
      <c r="H134" s="2"/>
      <c r="I134" s="2"/>
      <c r="J134" s="2"/>
    </row>
    <row r="135" spans="1:10" s="16" customFormat="1">
      <c r="A135" s="39"/>
      <c r="G135" s="2"/>
      <c r="H135" s="2"/>
      <c r="I135" s="2"/>
      <c r="J135" s="2"/>
    </row>
    <row r="136" spans="1:10" s="16" customFormat="1">
      <c r="A136" s="39"/>
      <c r="G136" s="2"/>
      <c r="H136" s="2"/>
      <c r="I136" s="2"/>
      <c r="J136" s="2"/>
    </row>
    <row r="137" spans="1:10" s="16" customFormat="1">
      <c r="A137" s="39"/>
      <c r="G137" s="2"/>
      <c r="H137" s="2"/>
      <c r="I137" s="2"/>
      <c r="J137" s="2"/>
    </row>
    <row r="138" spans="1:10" s="16" customFormat="1">
      <c r="A138" s="39"/>
      <c r="G138" s="2"/>
      <c r="H138" s="2"/>
      <c r="I138" s="2"/>
      <c r="J138" s="2"/>
    </row>
    <row r="139" spans="1:10" s="16" customFormat="1">
      <c r="A139" s="39"/>
      <c r="G139" s="2"/>
      <c r="H139" s="2"/>
      <c r="I139" s="2"/>
      <c r="J139" s="2"/>
    </row>
    <row r="140" spans="1:10" s="16" customFormat="1">
      <c r="A140" s="39"/>
      <c r="G140" s="2"/>
      <c r="H140" s="2"/>
      <c r="I140" s="2"/>
      <c r="J140" s="2"/>
    </row>
    <row r="141" spans="1:10" s="16" customFormat="1">
      <c r="A141" s="39"/>
      <c r="G141" s="2"/>
      <c r="H141" s="2"/>
      <c r="I141" s="2"/>
      <c r="J141" s="2"/>
    </row>
    <row r="142" spans="1:10" s="16" customFormat="1">
      <c r="A142" s="39"/>
      <c r="G142" s="2"/>
      <c r="H142" s="2"/>
      <c r="I142" s="2"/>
      <c r="J142" s="2"/>
    </row>
    <row r="143" spans="1:10" s="16" customFormat="1">
      <c r="A143" s="39"/>
      <c r="G143" s="2"/>
      <c r="H143" s="2"/>
      <c r="I143" s="2"/>
      <c r="J143" s="2"/>
    </row>
    <row r="144" spans="1:10" s="16" customFormat="1">
      <c r="A144" s="39"/>
      <c r="G144" s="2"/>
      <c r="H144" s="2"/>
      <c r="I144" s="2"/>
      <c r="J144" s="2"/>
    </row>
    <row r="145" spans="1:10" s="16" customFormat="1">
      <c r="A145" s="39"/>
      <c r="G145" s="2"/>
      <c r="H145" s="2"/>
      <c r="I145" s="2"/>
      <c r="J145" s="2"/>
    </row>
    <row r="146" spans="1:10" s="16" customFormat="1">
      <c r="A146" s="39"/>
      <c r="G146" s="2"/>
      <c r="H146" s="2"/>
      <c r="I146" s="2"/>
      <c r="J146" s="2"/>
    </row>
    <row r="147" spans="1:10" s="16" customFormat="1">
      <c r="A147" s="39"/>
      <c r="G147" s="2"/>
      <c r="H147" s="2"/>
      <c r="I147" s="2"/>
      <c r="J147" s="2"/>
    </row>
    <row r="148" spans="1:10" s="16" customFormat="1">
      <c r="A148" s="39"/>
      <c r="G148" s="2"/>
      <c r="H148" s="2"/>
      <c r="I148" s="2"/>
      <c r="J148" s="2"/>
    </row>
    <row r="149" spans="1:10" s="16" customFormat="1">
      <c r="A149" s="39"/>
      <c r="G149" s="2"/>
      <c r="H149" s="2"/>
      <c r="I149" s="2"/>
      <c r="J149" s="2"/>
    </row>
    <row r="150" spans="1:10" s="16" customFormat="1">
      <c r="A150" s="39"/>
      <c r="G150" s="2"/>
      <c r="H150" s="2"/>
      <c r="I150" s="2"/>
      <c r="J150" s="2"/>
    </row>
    <row r="151" spans="1:10" s="16" customFormat="1">
      <c r="A151" s="39"/>
      <c r="G151" s="2"/>
      <c r="H151" s="2"/>
      <c r="I151" s="2"/>
      <c r="J151" s="2"/>
    </row>
    <row r="152" spans="1:10" s="16" customFormat="1">
      <c r="A152" s="39"/>
      <c r="G152" s="2"/>
      <c r="H152" s="2"/>
      <c r="I152" s="2"/>
      <c r="J152" s="2"/>
    </row>
    <row r="153" spans="1:10" s="16" customFormat="1">
      <c r="A153" s="39"/>
      <c r="G153" s="2"/>
      <c r="H153" s="2"/>
      <c r="I153" s="2"/>
      <c r="J153" s="2"/>
    </row>
    <row r="154" spans="1:10" s="16" customFormat="1">
      <c r="A154" s="39"/>
      <c r="G154" s="2"/>
      <c r="H154" s="2"/>
      <c r="I154" s="2"/>
      <c r="J154" s="2"/>
    </row>
    <row r="155" spans="1:10" s="16" customFormat="1">
      <c r="A155" s="39"/>
      <c r="G155" s="2"/>
      <c r="H155" s="2"/>
      <c r="I155" s="2"/>
      <c r="J155" s="2"/>
    </row>
    <row r="156" spans="1:10" s="16" customFormat="1">
      <c r="A156" s="39"/>
      <c r="G156" s="2"/>
      <c r="H156" s="2"/>
      <c r="I156" s="2"/>
      <c r="J156" s="2"/>
    </row>
    <row r="157" spans="1:10" s="16" customFormat="1">
      <c r="A157" s="39"/>
      <c r="G157" s="2"/>
      <c r="H157" s="2"/>
      <c r="I157" s="2"/>
      <c r="J157" s="2"/>
    </row>
    <row r="158" spans="1:10" s="16" customFormat="1">
      <c r="A158" s="39"/>
      <c r="G158" s="2"/>
      <c r="H158" s="2"/>
      <c r="I158" s="2"/>
      <c r="J158" s="2"/>
    </row>
    <row r="159" spans="1:10" s="16" customFormat="1">
      <c r="A159" s="39"/>
      <c r="G159" s="2"/>
      <c r="H159" s="2"/>
      <c r="I159" s="2"/>
      <c r="J159" s="2"/>
    </row>
    <row r="160" spans="1:10" s="16" customFormat="1">
      <c r="A160" s="39"/>
      <c r="G160" s="2"/>
      <c r="H160" s="2"/>
      <c r="I160" s="2"/>
      <c r="J160" s="2"/>
    </row>
    <row r="161" spans="1:10" s="16" customFormat="1">
      <c r="A161" s="39"/>
      <c r="G161" s="2"/>
      <c r="H161" s="2"/>
      <c r="I161" s="2"/>
      <c r="J161" s="2"/>
    </row>
    <row r="162" spans="1:10" s="16" customFormat="1">
      <c r="A162" s="39"/>
      <c r="G162" s="2"/>
      <c r="H162" s="2"/>
      <c r="I162" s="2"/>
      <c r="J162" s="2"/>
    </row>
    <row r="163" spans="1:10" s="16" customFormat="1">
      <c r="A163" s="39"/>
      <c r="G163" s="2"/>
      <c r="H163" s="2"/>
      <c r="I163" s="2"/>
      <c r="J163" s="2"/>
    </row>
    <row r="164" spans="1:10" s="16" customFormat="1">
      <c r="A164" s="39"/>
      <c r="G164" s="2"/>
      <c r="H164" s="2"/>
      <c r="I164" s="2"/>
      <c r="J164" s="2"/>
    </row>
    <row r="165" spans="1:10" s="16" customFormat="1">
      <c r="A165" s="39"/>
      <c r="G165" s="2"/>
      <c r="H165" s="2"/>
      <c r="I165" s="2"/>
      <c r="J165" s="2"/>
    </row>
    <row r="166" spans="1:10" s="16" customFormat="1">
      <c r="A166" s="39"/>
      <c r="G166" s="2"/>
      <c r="H166" s="2"/>
      <c r="I166" s="2"/>
      <c r="J166" s="2"/>
    </row>
    <row r="167" spans="1:10" s="16" customFormat="1">
      <c r="A167" s="39"/>
      <c r="G167" s="2"/>
      <c r="H167" s="2"/>
      <c r="I167" s="2"/>
      <c r="J167" s="2"/>
    </row>
    <row r="168" spans="1:10" s="16" customFormat="1">
      <c r="A168" s="39"/>
      <c r="G168" s="2"/>
      <c r="H168" s="2"/>
      <c r="I168" s="2"/>
      <c r="J168" s="2"/>
    </row>
    <row r="169" spans="1:10" s="16" customFormat="1">
      <c r="A169" s="39"/>
      <c r="G169" s="2"/>
      <c r="H169" s="2"/>
      <c r="I169" s="2"/>
      <c r="J169" s="2"/>
    </row>
    <row r="170" spans="1:10" s="16" customFormat="1">
      <c r="A170" s="39"/>
      <c r="G170" s="2"/>
      <c r="H170" s="2"/>
      <c r="I170" s="2"/>
      <c r="J170" s="2"/>
    </row>
    <row r="171" spans="1:10" s="16" customFormat="1">
      <c r="A171" s="39"/>
      <c r="G171" s="2"/>
      <c r="H171" s="2"/>
      <c r="I171" s="2"/>
      <c r="J171" s="2"/>
    </row>
    <row r="172" spans="1:10" s="16" customFormat="1">
      <c r="A172" s="39"/>
      <c r="G172" s="2"/>
      <c r="H172" s="2"/>
      <c r="I172" s="2"/>
      <c r="J172" s="2"/>
    </row>
    <row r="173" spans="1:10" s="16" customFormat="1">
      <c r="A173" s="39"/>
      <c r="G173" s="2"/>
      <c r="H173" s="2"/>
      <c r="I173" s="2"/>
      <c r="J173" s="2"/>
    </row>
    <row r="174" spans="1:10" s="16" customFormat="1">
      <c r="A174" s="39"/>
      <c r="G174" s="2"/>
      <c r="H174" s="2"/>
      <c r="I174" s="2"/>
      <c r="J174" s="2"/>
    </row>
    <row r="175" spans="1:10" s="16" customFormat="1">
      <c r="A175" s="39"/>
      <c r="G175" s="2"/>
      <c r="H175" s="2"/>
      <c r="I175" s="2"/>
      <c r="J175" s="2"/>
    </row>
    <row r="176" spans="1:10" s="16" customFormat="1">
      <c r="A176" s="39"/>
      <c r="G176" s="2"/>
      <c r="H176" s="2"/>
      <c r="I176" s="2"/>
      <c r="J176" s="2"/>
    </row>
    <row r="177" spans="1:10" s="16" customFormat="1">
      <c r="A177" s="39"/>
      <c r="G177" s="2"/>
      <c r="H177" s="2"/>
      <c r="I177" s="2"/>
      <c r="J177" s="2"/>
    </row>
    <row r="178" spans="1:10" s="16" customFormat="1">
      <c r="A178" s="39"/>
      <c r="G178" s="2"/>
      <c r="H178" s="2"/>
      <c r="I178" s="2"/>
      <c r="J178" s="2"/>
    </row>
    <row r="179" spans="1:10" s="16" customFormat="1">
      <c r="A179" s="39"/>
      <c r="G179" s="2"/>
      <c r="H179" s="2"/>
      <c r="I179" s="2"/>
      <c r="J179" s="2"/>
    </row>
    <row r="180" spans="1:10" s="16" customFormat="1">
      <c r="A180" s="39"/>
      <c r="G180" s="2"/>
      <c r="H180" s="2"/>
      <c r="I180" s="2"/>
      <c r="J180" s="2"/>
    </row>
    <row r="181" spans="1:10" s="16" customFormat="1">
      <c r="A181" s="39"/>
      <c r="G181" s="2"/>
      <c r="H181" s="2"/>
      <c r="I181" s="2"/>
      <c r="J181" s="2"/>
    </row>
    <row r="182" spans="1:10" s="16" customFormat="1">
      <c r="A182" s="39"/>
      <c r="G182" s="2"/>
      <c r="H182" s="2"/>
      <c r="I182" s="2"/>
      <c r="J182" s="2"/>
    </row>
    <row r="183" spans="1:10" s="16" customFormat="1">
      <c r="A183" s="39"/>
      <c r="G183" s="2"/>
      <c r="H183" s="2"/>
      <c r="I183" s="2"/>
      <c r="J183" s="2"/>
    </row>
    <row r="184" spans="1:10" s="16" customFormat="1">
      <c r="A184" s="39"/>
      <c r="G184" s="2"/>
      <c r="H184" s="2"/>
      <c r="I184" s="2"/>
      <c r="J184" s="2"/>
    </row>
    <row r="185" spans="1:10" s="16" customFormat="1">
      <c r="A185" s="39"/>
      <c r="G185" s="2"/>
      <c r="H185" s="2"/>
      <c r="I185" s="2"/>
      <c r="J185" s="2"/>
    </row>
    <row r="186" spans="1:10" s="16" customFormat="1">
      <c r="A186" s="39"/>
      <c r="G186" s="2"/>
      <c r="H186" s="2"/>
      <c r="I186" s="2"/>
      <c r="J186" s="2"/>
    </row>
    <row r="187" spans="1:10" s="16" customFormat="1">
      <c r="A187" s="39"/>
      <c r="G187" s="2"/>
      <c r="H187" s="2"/>
      <c r="I187" s="2"/>
      <c r="J187" s="2"/>
    </row>
    <row r="188" spans="1:10" s="16" customFormat="1">
      <c r="A188" s="39"/>
      <c r="G188" s="2"/>
      <c r="H188" s="2"/>
      <c r="I188" s="2"/>
      <c r="J188" s="2"/>
    </row>
    <row r="189" spans="1:10" s="16" customFormat="1">
      <c r="A189" s="39"/>
      <c r="G189" s="2"/>
      <c r="H189" s="2"/>
      <c r="I189" s="2"/>
      <c r="J189" s="2"/>
    </row>
    <row r="190" spans="1:10" s="16" customFormat="1">
      <c r="A190" s="39"/>
      <c r="G190" s="2"/>
      <c r="H190" s="2"/>
      <c r="I190" s="2"/>
      <c r="J190" s="2"/>
    </row>
    <row r="191" spans="1:10" s="16" customFormat="1">
      <c r="A191" s="39"/>
      <c r="G191" s="2"/>
      <c r="H191" s="2"/>
      <c r="I191" s="2"/>
      <c r="J191" s="2"/>
    </row>
    <row r="192" spans="1:10" s="16" customFormat="1">
      <c r="A192" s="39"/>
      <c r="G192" s="2"/>
      <c r="H192" s="2"/>
      <c r="I192" s="2"/>
      <c r="J192" s="2"/>
    </row>
    <row r="193" spans="1:10" s="16" customFormat="1">
      <c r="A193" s="39"/>
      <c r="G193" s="2"/>
      <c r="H193" s="2"/>
      <c r="I193" s="2"/>
      <c r="J193" s="2"/>
    </row>
    <row r="194" spans="1:10" s="16" customFormat="1">
      <c r="A194" s="39"/>
      <c r="G194" s="2"/>
      <c r="H194" s="2"/>
      <c r="I194" s="2"/>
      <c r="J194" s="2"/>
    </row>
    <row r="195" spans="1:10" s="16" customFormat="1">
      <c r="A195" s="39"/>
      <c r="G195" s="2"/>
      <c r="H195" s="2"/>
      <c r="I195" s="2"/>
      <c r="J195" s="2"/>
    </row>
    <row r="196" spans="1:10" s="16" customFormat="1">
      <c r="A196" s="39"/>
      <c r="G196" s="2"/>
      <c r="H196" s="2"/>
      <c r="I196" s="2"/>
      <c r="J196" s="2"/>
    </row>
    <row r="197" spans="1:10" s="16" customFormat="1">
      <c r="A197" s="39"/>
      <c r="G197" s="2"/>
      <c r="H197" s="2"/>
      <c r="I197" s="2"/>
      <c r="J197" s="2"/>
    </row>
    <row r="198" spans="1:10" s="16" customFormat="1">
      <c r="A198" s="39"/>
      <c r="G198" s="2"/>
      <c r="H198" s="2"/>
      <c r="I198" s="2"/>
      <c r="J198" s="2"/>
    </row>
    <row r="199" spans="1:10" s="16" customFormat="1">
      <c r="A199" s="39"/>
      <c r="G199" s="2"/>
      <c r="H199" s="2"/>
      <c r="I199" s="2"/>
      <c r="J199" s="2"/>
    </row>
    <row r="200" spans="1:10" s="16" customFormat="1">
      <c r="A200" s="39"/>
      <c r="G200" s="2"/>
      <c r="H200" s="2"/>
      <c r="I200" s="2"/>
      <c r="J200" s="2"/>
    </row>
    <row r="201" spans="1:10" s="16" customFormat="1">
      <c r="A201" s="39"/>
      <c r="G201" s="2"/>
      <c r="H201" s="2"/>
      <c r="I201" s="2"/>
      <c r="J201" s="2"/>
    </row>
    <row r="202" spans="1:10" s="16" customFormat="1">
      <c r="A202" s="39"/>
      <c r="G202" s="2"/>
      <c r="H202" s="2"/>
      <c r="I202" s="2"/>
      <c r="J202" s="2"/>
    </row>
    <row r="203" spans="1:10" s="16" customFormat="1">
      <c r="A203" s="39"/>
      <c r="G203" s="2"/>
      <c r="H203" s="2"/>
      <c r="I203" s="2"/>
      <c r="J203" s="2"/>
    </row>
    <row r="204" spans="1:10" s="16" customFormat="1">
      <c r="A204" s="39"/>
      <c r="G204" s="2"/>
      <c r="H204" s="2"/>
      <c r="I204" s="2"/>
      <c r="J204" s="2"/>
    </row>
    <row r="205" spans="1:10" s="16" customFormat="1">
      <c r="A205" s="39"/>
      <c r="G205" s="2"/>
      <c r="H205" s="2"/>
      <c r="I205" s="2"/>
      <c r="J205" s="2"/>
    </row>
    <row r="206" spans="1:10" s="16" customFormat="1">
      <c r="A206" s="39"/>
      <c r="G206" s="2"/>
      <c r="H206" s="2"/>
      <c r="I206" s="2"/>
      <c r="J206" s="2"/>
    </row>
    <row r="207" spans="1:10" s="16" customFormat="1">
      <c r="A207" s="39"/>
      <c r="G207" s="2"/>
      <c r="H207" s="2"/>
      <c r="I207" s="2"/>
      <c r="J207" s="2"/>
    </row>
    <row r="208" spans="1:10" s="16" customFormat="1">
      <c r="A208" s="39"/>
      <c r="G208" s="2"/>
      <c r="H208" s="2"/>
      <c r="I208" s="2"/>
      <c r="J208" s="2"/>
    </row>
    <row r="209" spans="1:10" s="16" customFormat="1">
      <c r="A209" s="39"/>
      <c r="G209" s="2"/>
      <c r="H209" s="2"/>
      <c r="I209" s="2"/>
      <c r="J209" s="2"/>
    </row>
    <row r="210" spans="1:10" s="16" customFormat="1">
      <c r="A210" s="39"/>
      <c r="G210" s="2"/>
      <c r="H210" s="2"/>
      <c r="I210" s="2"/>
      <c r="J210" s="2"/>
    </row>
    <row r="211" spans="1:10" s="16" customFormat="1">
      <c r="A211" s="39"/>
      <c r="G211" s="2"/>
      <c r="H211" s="2"/>
      <c r="I211" s="2"/>
      <c r="J211" s="2"/>
    </row>
    <row r="212" spans="1:10" s="16" customFormat="1">
      <c r="A212" s="39"/>
      <c r="G212" s="2"/>
      <c r="H212" s="2"/>
      <c r="I212" s="2"/>
      <c r="J212" s="2"/>
    </row>
    <row r="213" spans="1:10" s="16" customFormat="1">
      <c r="A213" s="39"/>
      <c r="G213" s="2"/>
      <c r="H213" s="2"/>
      <c r="I213" s="2"/>
      <c r="J213" s="2"/>
    </row>
    <row r="214" spans="1:10" s="16" customFormat="1">
      <c r="A214" s="39"/>
      <c r="G214" s="2"/>
      <c r="H214" s="2"/>
      <c r="I214" s="2"/>
      <c r="J214" s="2"/>
    </row>
    <row r="215" spans="1:10" s="16" customFormat="1">
      <c r="A215" s="39"/>
      <c r="G215" s="2"/>
      <c r="H215" s="2"/>
      <c r="I215" s="2"/>
      <c r="J215" s="2"/>
    </row>
    <row r="216" spans="1:10" s="16" customFormat="1">
      <c r="A216" s="39"/>
      <c r="G216" s="2"/>
      <c r="H216" s="2"/>
      <c r="I216" s="2"/>
      <c r="J216" s="2"/>
    </row>
    <row r="217" spans="1:10" s="16" customFormat="1">
      <c r="A217" s="39"/>
      <c r="G217" s="2"/>
      <c r="H217" s="2"/>
      <c r="I217" s="2"/>
      <c r="J217" s="2"/>
    </row>
    <row r="218" spans="1:10" s="16" customFormat="1">
      <c r="A218" s="39"/>
      <c r="G218" s="2"/>
      <c r="H218" s="2"/>
      <c r="I218" s="2"/>
      <c r="J218" s="2"/>
    </row>
    <row r="219" spans="1:10" s="16" customFormat="1">
      <c r="A219" s="39"/>
      <c r="G219" s="2"/>
      <c r="H219" s="2"/>
      <c r="I219" s="2"/>
      <c r="J219" s="2"/>
    </row>
    <row r="220" spans="1:10" s="16" customFormat="1">
      <c r="A220" s="39"/>
      <c r="G220" s="2"/>
      <c r="H220" s="2"/>
      <c r="I220" s="2"/>
      <c r="J220" s="2"/>
    </row>
    <row r="221" spans="1:10" s="16" customFormat="1">
      <c r="A221" s="39"/>
      <c r="G221" s="2"/>
      <c r="H221" s="2"/>
      <c r="I221" s="2"/>
      <c r="J221" s="2"/>
    </row>
    <row r="222" spans="1:10" s="16" customFormat="1">
      <c r="A222" s="39"/>
      <c r="G222" s="2"/>
      <c r="H222" s="2"/>
      <c r="I222" s="2"/>
      <c r="J222" s="2"/>
    </row>
    <row r="223" spans="1:10" s="16" customFormat="1">
      <c r="A223" s="39"/>
      <c r="G223" s="2"/>
      <c r="H223" s="2"/>
      <c r="I223" s="2"/>
      <c r="J223" s="2"/>
    </row>
    <row r="224" spans="1:10" s="16" customFormat="1">
      <c r="A224" s="39"/>
      <c r="G224" s="2"/>
      <c r="H224" s="2"/>
      <c r="I224" s="2"/>
      <c r="J224" s="2"/>
    </row>
    <row r="225" spans="1:10" s="16" customFormat="1">
      <c r="A225" s="39"/>
      <c r="G225" s="2"/>
      <c r="H225" s="2"/>
      <c r="I225" s="2"/>
      <c r="J225" s="2"/>
    </row>
    <row r="226" spans="1:10" s="16" customFormat="1">
      <c r="A226" s="39"/>
      <c r="G226" s="2"/>
      <c r="H226" s="2"/>
      <c r="I226" s="2"/>
      <c r="J226" s="2"/>
    </row>
    <row r="227" spans="1:10" s="16" customFormat="1">
      <c r="A227" s="39"/>
      <c r="G227" s="2"/>
      <c r="H227" s="2"/>
      <c r="I227" s="2"/>
      <c r="J227" s="2"/>
    </row>
    <row r="228" spans="1:10" s="16" customFormat="1">
      <c r="A228" s="39"/>
      <c r="G228" s="2"/>
      <c r="H228" s="2"/>
      <c r="I228" s="2"/>
      <c r="J228" s="2"/>
    </row>
    <row r="229" spans="1:10" s="16" customFormat="1">
      <c r="A229" s="39"/>
      <c r="G229" s="2"/>
      <c r="H229" s="2"/>
      <c r="I229" s="2"/>
      <c r="J229" s="2"/>
    </row>
    <row r="230" spans="1:10" s="16" customFormat="1">
      <c r="A230" s="39"/>
      <c r="G230" s="2"/>
      <c r="H230" s="2"/>
      <c r="I230" s="2"/>
      <c r="J230" s="2"/>
    </row>
    <row r="231" spans="1:10" s="16" customFormat="1">
      <c r="A231" s="39"/>
      <c r="G231" s="2"/>
      <c r="H231" s="2"/>
      <c r="I231" s="2"/>
      <c r="J231" s="2"/>
    </row>
    <row r="232" spans="1:10" s="16" customFormat="1">
      <c r="A232" s="39"/>
      <c r="G232" s="2"/>
      <c r="H232" s="2"/>
      <c r="I232" s="2"/>
      <c r="J232" s="2"/>
    </row>
    <row r="233" spans="1:10" s="16" customFormat="1">
      <c r="A233" s="39"/>
      <c r="G233" s="2"/>
      <c r="H233" s="2"/>
      <c r="I233" s="2"/>
      <c r="J233" s="2"/>
    </row>
    <row r="234" spans="1:10" s="16" customFormat="1">
      <c r="A234" s="39"/>
      <c r="G234" s="2"/>
      <c r="H234" s="2"/>
      <c r="I234" s="2"/>
      <c r="J234" s="2"/>
    </row>
    <row r="235" spans="1:10" s="16" customFormat="1">
      <c r="A235" s="39"/>
      <c r="G235" s="2"/>
      <c r="H235" s="2"/>
      <c r="I235" s="2"/>
      <c r="J235" s="2"/>
    </row>
    <row r="236" spans="1:10" s="16" customFormat="1">
      <c r="A236" s="39"/>
      <c r="G236" s="2"/>
      <c r="H236" s="2"/>
      <c r="I236" s="2"/>
      <c r="J236" s="2"/>
    </row>
    <row r="237" spans="1:10" s="16" customFormat="1">
      <c r="A237" s="39"/>
      <c r="G237" s="2"/>
      <c r="H237" s="2"/>
      <c r="I237" s="2"/>
      <c r="J237" s="2"/>
    </row>
    <row r="238" spans="1:10" s="16" customFormat="1">
      <c r="A238" s="39"/>
      <c r="G238" s="2"/>
      <c r="H238" s="2"/>
      <c r="I238" s="2"/>
      <c r="J238" s="2"/>
    </row>
    <row r="239" spans="1:10" s="16" customFormat="1">
      <c r="A239" s="39"/>
      <c r="G239" s="2"/>
      <c r="H239" s="2"/>
      <c r="I239" s="2"/>
      <c r="J239" s="2"/>
    </row>
    <row r="240" spans="1:10" s="16" customFormat="1">
      <c r="A240" s="39"/>
      <c r="G240" s="2"/>
      <c r="H240" s="2"/>
      <c r="I240" s="2"/>
      <c r="J240" s="2"/>
    </row>
    <row r="241" spans="1:10" s="16" customFormat="1">
      <c r="A241" s="39"/>
      <c r="G241" s="2"/>
      <c r="H241" s="2"/>
      <c r="I241" s="2"/>
      <c r="J241" s="2"/>
    </row>
    <row r="242" spans="1:10" s="16" customFormat="1">
      <c r="A242" s="39"/>
      <c r="G242" s="2"/>
      <c r="H242" s="2"/>
      <c r="I242" s="2"/>
      <c r="J242" s="2"/>
    </row>
    <row r="243" spans="1:10" s="16" customFormat="1">
      <c r="A243" s="39"/>
      <c r="G243" s="2"/>
      <c r="H243" s="2"/>
      <c r="I243" s="2"/>
      <c r="J243" s="2"/>
    </row>
    <row r="244" spans="1:10" s="16" customFormat="1">
      <c r="A244" s="39"/>
      <c r="G244" s="2"/>
      <c r="H244" s="2"/>
      <c r="I244" s="2"/>
      <c r="J244" s="2"/>
    </row>
    <row r="245" spans="1:10" s="16" customFormat="1">
      <c r="A245" s="39"/>
      <c r="G245" s="2"/>
      <c r="H245" s="2"/>
      <c r="I245" s="2"/>
      <c r="J245" s="2"/>
    </row>
    <row r="246" spans="1:10" s="16" customFormat="1">
      <c r="A246" s="39"/>
      <c r="G246" s="2"/>
      <c r="H246" s="2"/>
      <c r="I246" s="2"/>
      <c r="J246" s="2"/>
    </row>
    <row r="247" spans="1:10" s="16" customFormat="1">
      <c r="A247" s="39"/>
      <c r="G247" s="2"/>
      <c r="H247" s="2"/>
      <c r="I247" s="2"/>
      <c r="J247" s="2"/>
    </row>
    <row r="248" spans="1:10" s="16" customFormat="1">
      <c r="A248" s="39"/>
      <c r="G248" s="2"/>
      <c r="H248" s="2"/>
      <c r="I248" s="2"/>
      <c r="J248" s="2"/>
    </row>
    <row r="249" spans="1:10" s="16" customFormat="1">
      <c r="A249" s="39"/>
      <c r="G249" s="2"/>
      <c r="H249" s="2"/>
      <c r="I249" s="2"/>
      <c r="J249" s="2"/>
    </row>
    <row r="250" spans="1:10" s="16" customFormat="1">
      <c r="A250" s="39"/>
      <c r="G250" s="2"/>
      <c r="H250" s="2"/>
      <c r="I250" s="2"/>
      <c r="J250" s="2"/>
    </row>
    <row r="251" spans="1:10" s="16" customFormat="1">
      <c r="A251" s="39"/>
      <c r="G251" s="2"/>
      <c r="H251" s="2"/>
      <c r="I251" s="2"/>
      <c r="J251" s="2"/>
    </row>
    <row r="252" spans="1:10" s="16" customFormat="1">
      <c r="A252" s="39"/>
      <c r="G252" s="2"/>
      <c r="H252" s="2"/>
      <c r="I252" s="2"/>
      <c r="J252" s="2"/>
    </row>
    <row r="253" spans="1:10" s="16" customFormat="1">
      <c r="A253" s="39"/>
      <c r="G253" s="2"/>
      <c r="H253" s="2"/>
      <c r="I253" s="2"/>
      <c r="J253" s="2"/>
    </row>
    <row r="254" spans="1:10" s="16" customFormat="1">
      <c r="A254" s="39"/>
      <c r="G254" s="2"/>
      <c r="H254" s="2"/>
      <c r="I254" s="2"/>
      <c r="J254" s="2"/>
    </row>
    <row r="255" spans="1:10" s="16" customFormat="1">
      <c r="A255" s="39"/>
      <c r="G255" s="2"/>
      <c r="H255" s="2"/>
      <c r="I255" s="2"/>
      <c r="J255" s="2"/>
    </row>
    <row r="256" spans="1:10" s="16" customFormat="1">
      <c r="A256" s="39"/>
      <c r="G256" s="2"/>
      <c r="H256" s="2"/>
      <c r="I256" s="2"/>
      <c r="J256" s="2"/>
    </row>
  </sheetData>
  <mergeCells count="46">
    <mergeCell ref="A2:B2"/>
    <mergeCell ref="F2:J4"/>
    <mergeCell ref="A3:B3"/>
    <mergeCell ref="A4:B4"/>
    <mergeCell ref="F9:J9"/>
    <mergeCell ref="B21:F21"/>
    <mergeCell ref="A22:F22"/>
    <mergeCell ref="B15:F15"/>
    <mergeCell ref="A5:B5"/>
    <mergeCell ref="G5:H5"/>
    <mergeCell ref="A6:B7"/>
    <mergeCell ref="F6:J6"/>
    <mergeCell ref="F7:J7"/>
    <mergeCell ref="F8:J8"/>
    <mergeCell ref="F11:J11"/>
    <mergeCell ref="B16:F16"/>
    <mergeCell ref="B17:F17"/>
    <mergeCell ref="B18:F18"/>
    <mergeCell ref="B19:F19"/>
    <mergeCell ref="B20:F20"/>
    <mergeCell ref="G22:I22"/>
    <mergeCell ref="B23:F23"/>
    <mergeCell ref="G23:I23"/>
    <mergeCell ref="A24:F24"/>
    <mergeCell ref="B26:F26"/>
    <mergeCell ref="B25:F25"/>
    <mergeCell ref="B27:F27"/>
    <mergeCell ref="A30:J30"/>
    <mergeCell ref="A32:J32"/>
    <mergeCell ref="E34:E35"/>
    <mergeCell ref="F34:F35"/>
    <mergeCell ref="G34:J34"/>
    <mergeCell ref="A37:J37"/>
    <mergeCell ref="A34:A35"/>
    <mergeCell ref="B34:B35"/>
    <mergeCell ref="C34:C35"/>
    <mergeCell ref="D34:D35"/>
    <mergeCell ref="C86:F86"/>
    <mergeCell ref="H86:J86"/>
    <mergeCell ref="C87:F87"/>
    <mergeCell ref="H87:J87"/>
    <mergeCell ref="A53:J53"/>
    <mergeCell ref="A60:J60"/>
    <mergeCell ref="A67:J67"/>
    <mergeCell ref="A69:J69"/>
    <mergeCell ref="A73:J73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302"/>
  <sheetViews>
    <sheetView tabSelected="1" topLeftCell="A106" zoomScale="80" zoomScaleNormal="80" workbookViewId="0">
      <selection activeCell="L111" sqref="L111"/>
    </sheetView>
  </sheetViews>
  <sheetFormatPr defaultRowHeight="18.75"/>
  <cols>
    <col min="1" max="1" width="50.28515625" style="186" customWidth="1"/>
    <col min="2" max="2" width="16.85546875" style="16" customWidth="1"/>
    <col min="3" max="3" width="14.5703125" style="16" customWidth="1"/>
    <col min="4" max="5" width="15.5703125" style="16" customWidth="1"/>
    <col min="6" max="6" width="14.5703125" style="16" customWidth="1"/>
    <col min="7" max="7" width="13.7109375" style="186" customWidth="1"/>
    <col min="8" max="8" width="14.5703125" style="186" customWidth="1"/>
    <col min="9" max="9" width="16.140625" style="186" customWidth="1"/>
    <col min="10" max="10" width="18.5703125" style="186" customWidth="1"/>
    <col min="11" max="11" width="10" style="186" customWidth="1"/>
    <col min="12" max="12" width="9.5703125" style="186" customWidth="1"/>
    <col min="13" max="14" width="9.140625" style="186"/>
    <col min="15" max="15" width="10.5703125" style="186" customWidth="1"/>
    <col min="16" max="16384" width="9.140625" style="186"/>
  </cols>
  <sheetData>
    <row r="1" spans="1:10">
      <c r="A1" s="196"/>
      <c r="B1" s="175"/>
      <c r="C1" s="175"/>
      <c r="D1" s="175"/>
      <c r="E1" s="175"/>
      <c r="F1" s="175" t="s">
        <v>18</v>
      </c>
      <c r="G1" s="196"/>
      <c r="H1" s="196"/>
      <c r="I1" s="196"/>
      <c r="J1" s="196"/>
    </row>
    <row r="2" spans="1:10" ht="18.75" customHeight="1">
      <c r="A2" s="350" t="s">
        <v>384</v>
      </c>
      <c r="B2" s="350"/>
      <c r="C2" s="168"/>
      <c r="D2" s="76"/>
      <c r="E2" s="76"/>
      <c r="F2" s="351" t="s">
        <v>558</v>
      </c>
      <c r="G2" s="351"/>
      <c r="H2" s="351"/>
      <c r="I2" s="351"/>
      <c r="J2" s="351"/>
    </row>
    <row r="3" spans="1:10" ht="18.75" customHeight="1">
      <c r="A3" s="347" t="s">
        <v>386</v>
      </c>
      <c r="B3" s="347"/>
      <c r="C3" s="168"/>
      <c r="D3" s="78"/>
      <c r="E3" s="78"/>
      <c r="F3" s="351"/>
      <c r="G3" s="351"/>
      <c r="H3" s="351"/>
      <c r="I3" s="351"/>
      <c r="J3" s="351"/>
    </row>
    <row r="4" spans="1:10" ht="18.75" customHeight="1">
      <c r="A4" s="347" t="s">
        <v>386</v>
      </c>
      <c r="B4" s="347"/>
      <c r="C4" s="168"/>
      <c r="D4" s="78"/>
      <c r="E4" s="78"/>
      <c r="F4" s="351"/>
      <c r="G4" s="351"/>
      <c r="H4" s="351"/>
      <c r="I4" s="351"/>
      <c r="J4" s="351"/>
    </row>
    <row r="5" spans="1:10" ht="18.75" customHeight="1">
      <c r="A5" s="347" t="s">
        <v>386</v>
      </c>
      <c r="B5" s="347"/>
      <c r="C5" s="168"/>
      <c r="D5" s="78"/>
      <c r="E5" s="78"/>
      <c r="F5" s="78"/>
      <c r="G5" s="348"/>
      <c r="H5" s="348"/>
      <c r="I5" s="181"/>
      <c r="J5" s="181"/>
    </row>
    <row r="6" spans="1:10" ht="18.75" customHeight="1">
      <c r="A6" s="350" t="s">
        <v>387</v>
      </c>
      <c r="B6" s="350"/>
      <c r="C6" s="168"/>
      <c r="D6" s="80"/>
      <c r="E6" s="80"/>
      <c r="F6" s="349" t="s">
        <v>388</v>
      </c>
      <c r="G6" s="349"/>
      <c r="H6" s="349"/>
      <c r="I6" s="349"/>
      <c r="J6" s="349"/>
    </row>
    <row r="7" spans="1:10" ht="63" customHeight="1">
      <c r="A7" s="350"/>
      <c r="B7" s="350"/>
      <c r="C7" s="168"/>
      <c r="D7" s="80"/>
      <c r="E7" s="80"/>
      <c r="F7" s="349" t="s">
        <v>265</v>
      </c>
      <c r="G7" s="349"/>
      <c r="H7" s="349"/>
      <c r="I7" s="349"/>
      <c r="J7" s="349"/>
    </row>
    <row r="8" spans="1:10" ht="18.75" customHeight="1">
      <c r="A8" s="179" t="s">
        <v>354</v>
      </c>
      <c r="B8" s="180"/>
      <c r="C8" s="168"/>
      <c r="D8" s="80"/>
      <c r="E8" s="80"/>
      <c r="F8" s="349" t="s">
        <v>389</v>
      </c>
      <c r="G8" s="349"/>
      <c r="H8" s="349"/>
      <c r="I8" s="349"/>
      <c r="J8" s="349"/>
    </row>
    <row r="9" spans="1:10" ht="18.75" customHeight="1">
      <c r="A9" s="180"/>
      <c r="B9" s="180"/>
      <c r="C9" s="168"/>
      <c r="D9" s="80"/>
      <c r="E9" s="80"/>
      <c r="F9" s="349" t="s">
        <v>390</v>
      </c>
      <c r="G9" s="349"/>
      <c r="H9" s="349"/>
      <c r="I9" s="349"/>
      <c r="J9" s="349"/>
    </row>
    <row r="10" spans="1:10" ht="20.25">
      <c r="A10" s="180"/>
      <c r="B10" s="180"/>
      <c r="C10" s="168"/>
      <c r="D10" s="80"/>
      <c r="E10" s="80"/>
      <c r="F10" s="76"/>
      <c r="G10" s="76"/>
      <c r="H10" s="76"/>
      <c r="I10" s="76"/>
      <c r="J10" s="76"/>
    </row>
    <row r="11" spans="1:10" ht="61.5" customHeight="1">
      <c r="A11" s="180"/>
      <c r="B11" s="180"/>
      <c r="C11" s="168"/>
      <c r="D11" s="80"/>
      <c r="E11" s="80"/>
      <c r="F11" s="349" t="s">
        <v>391</v>
      </c>
      <c r="G11" s="349"/>
      <c r="H11" s="349"/>
      <c r="I11" s="349"/>
      <c r="J11" s="349"/>
    </row>
    <row r="12" spans="1:10" ht="20.25" customHeight="1">
      <c r="A12" s="180"/>
      <c r="B12" s="180"/>
      <c r="C12" s="168"/>
      <c r="D12" s="80"/>
      <c r="E12" s="80"/>
      <c r="F12" s="179" t="s">
        <v>354</v>
      </c>
      <c r="G12" s="76"/>
      <c r="H12" s="76"/>
      <c r="I12" s="76"/>
      <c r="J12" s="76"/>
    </row>
    <row r="13" spans="1:10" ht="19.5" customHeight="1">
      <c r="A13" s="180"/>
      <c r="B13" s="180"/>
      <c r="C13" s="168"/>
      <c r="D13" s="80"/>
      <c r="E13" s="80"/>
      <c r="F13" s="76"/>
      <c r="G13" s="181"/>
      <c r="H13" s="179"/>
      <c r="I13" s="179"/>
      <c r="J13" s="179"/>
    </row>
    <row r="14" spans="1:10" ht="19.5" customHeight="1">
      <c r="A14" s="76"/>
      <c r="B14" s="82"/>
      <c r="C14" s="82"/>
      <c r="D14" s="82"/>
      <c r="E14" s="82"/>
      <c r="F14" s="82"/>
      <c r="G14" s="83"/>
      <c r="H14" s="83"/>
      <c r="I14" s="83"/>
      <c r="J14" s="83"/>
    </row>
    <row r="15" spans="1:10" ht="19.5" customHeight="1">
      <c r="A15" s="84"/>
      <c r="B15" s="353"/>
      <c r="C15" s="353"/>
      <c r="D15" s="353"/>
      <c r="E15" s="353"/>
      <c r="F15" s="353"/>
      <c r="G15" s="85"/>
      <c r="H15" s="86"/>
      <c r="I15" s="87" t="s">
        <v>618</v>
      </c>
      <c r="J15" s="88" t="s">
        <v>266</v>
      </c>
    </row>
    <row r="16" spans="1:10" ht="16.5" customHeight="1">
      <c r="A16" s="178" t="s">
        <v>13</v>
      </c>
      <c r="B16" s="353" t="s">
        <v>574</v>
      </c>
      <c r="C16" s="353"/>
      <c r="D16" s="353"/>
      <c r="E16" s="353"/>
      <c r="F16" s="353"/>
      <c r="G16" s="353"/>
      <c r="H16" s="356"/>
      <c r="I16" s="92" t="s">
        <v>143</v>
      </c>
      <c r="J16" s="156" t="s">
        <v>559</v>
      </c>
    </row>
    <row r="17" spans="1:10" ht="24" customHeight="1">
      <c r="A17" s="178" t="s">
        <v>14</v>
      </c>
      <c r="B17" s="353" t="s">
        <v>538</v>
      </c>
      <c r="C17" s="353"/>
      <c r="D17" s="353"/>
      <c r="E17" s="353"/>
      <c r="F17" s="353"/>
      <c r="G17" s="85"/>
      <c r="H17" s="86"/>
      <c r="I17" s="92" t="s">
        <v>142</v>
      </c>
      <c r="J17" s="88"/>
    </row>
    <row r="18" spans="1:10" ht="18.75" customHeight="1">
      <c r="A18" s="178" t="s">
        <v>19</v>
      </c>
      <c r="B18" s="353"/>
      <c r="C18" s="353"/>
      <c r="D18" s="353"/>
      <c r="E18" s="353"/>
      <c r="F18" s="353"/>
      <c r="G18" s="85"/>
      <c r="H18" s="86"/>
      <c r="I18" s="92" t="s">
        <v>141</v>
      </c>
      <c r="J18" s="149">
        <v>1210136600</v>
      </c>
    </row>
    <row r="19" spans="1:10" ht="18.75" customHeight="1">
      <c r="A19" s="178" t="s">
        <v>392</v>
      </c>
      <c r="B19" s="353" t="s">
        <v>539</v>
      </c>
      <c r="C19" s="353"/>
      <c r="D19" s="353"/>
      <c r="E19" s="353"/>
      <c r="F19" s="353"/>
      <c r="G19" s="90"/>
      <c r="H19" s="91"/>
      <c r="I19" s="92" t="s">
        <v>8</v>
      </c>
      <c r="J19" s="88">
        <v>1009</v>
      </c>
    </row>
    <row r="20" spans="1:10" ht="15.75" customHeight="1">
      <c r="A20" s="178" t="s">
        <v>16</v>
      </c>
      <c r="B20" s="353"/>
      <c r="C20" s="353"/>
      <c r="D20" s="353"/>
      <c r="E20" s="353"/>
      <c r="F20" s="353"/>
      <c r="G20" s="90"/>
      <c r="H20" s="91"/>
      <c r="I20" s="92" t="s">
        <v>7</v>
      </c>
      <c r="J20" s="88">
        <v>90219</v>
      </c>
    </row>
    <row r="21" spans="1:10" ht="42" customHeight="1">
      <c r="A21" s="178" t="s">
        <v>15</v>
      </c>
      <c r="B21" s="353" t="s">
        <v>593</v>
      </c>
      <c r="C21" s="353"/>
      <c r="D21" s="353"/>
      <c r="E21" s="353"/>
      <c r="F21" s="353"/>
      <c r="G21" s="90"/>
      <c r="H21" s="93"/>
      <c r="I21" s="94" t="s">
        <v>9</v>
      </c>
      <c r="J21" s="88" t="s">
        <v>594</v>
      </c>
    </row>
    <row r="22" spans="1:10" ht="20.25" customHeight="1">
      <c r="A22" s="352" t="s">
        <v>393</v>
      </c>
      <c r="B22" s="353"/>
      <c r="C22" s="353"/>
      <c r="D22" s="353"/>
      <c r="E22" s="353"/>
      <c r="F22" s="353"/>
      <c r="G22" s="353" t="s">
        <v>209</v>
      </c>
      <c r="H22" s="354"/>
      <c r="I22" s="355"/>
      <c r="J22" s="95"/>
    </row>
    <row r="23" spans="1:10" ht="21.75" customHeight="1">
      <c r="A23" s="178" t="s">
        <v>20</v>
      </c>
      <c r="B23" s="353" t="s">
        <v>538</v>
      </c>
      <c r="C23" s="353"/>
      <c r="D23" s="353"/>
      <c r="E23" s="353"/>
      <c r="F23" s="353"/>
      <c r="G23" s="353" t="s">
        <v>210</v>
      </c>
      <c r="H23" s="354"/>
      <c r="I23" s="355"/>
      <c r="J23" s="95"/>
    </row>
    <row r="24" spans="1:10" ht="18" customHeight="1">
      <c r="A24" s="352" t="s">
        <v>616</v>
      </c>
      <c r="B24" s="353"/>
      <c r="C24" s="353"/>
      <c r="D24" s="353"/>
      <c r="E24" s="353"/>
      <c r="F24" s="353"/>
      <c r="G24" s="90"/>
      <c r="H24" s="90"/>
      <c r="I24" s="90"/>
      <c r="J24" s="91"/>
    </row>
    <row r="25" spans="1:10" ht="21.75" customHeight="1">
      <c r="A25" s="178" t="s">
        <v>10</v>
      </c>
      <c r="B25" s="353" t="s">
        <v>536</v>
      </c>
      <c r="C25" s="353"/>
      <c r="D25" s="353"/>
      <c r="E25" s="353"/>
      <c r="F25" s="353"/>
      <c r="G25" s="85"/>
      <c r="H25" s="85"/>
      <c r="I25" s="85"/>
      <c r="J25" s="86"/>
    </row>
    <row r="26" spans="1:10" ht="22.5" customHeight="1">
      <c r="A26" s="178" t="s">
        <v>11</v>
      </c>
      <c r="B26" s="353" t="s">
        <v>537</v>
      </c>
      <c r="C26" s="353"/>
      <c r="D26" s="353"/>
      <c r="E26" s="353"/>
      <c r="F26" s="353"/>
      <c r="G26" s="90"/>
      <c r="H26" s="90"/>
      <c r="I26" s="90"/>
      <c r="J26" s="91"/>
    </row>
    <row r="27" spans="1:10" ht="21" customHeight="1">
      <c r="A27" s="178" t="s">
        <v>12</v>
      </c>
      <c r="B27" s="353" t="s">
        <v>604</v>
      </c>
      <c r="C27" s="353"/>
      <c r="D27" s="353"/>
      <c r="E27" s="353"/>
      <c r="F27" s="353"/>
      <c r="G27" s="85"/>
      <c r="H27" s="85"/>
      <c r="I27" s="85"/>
      <c r="J27" s="86"/>
    </row>
    <row r="28" spans="1:10" s="209" customFormat="1" ht="21" customHeight="1">
      <c r="A28" s="208"/>
      <c r="B28" s="208"/>
      <c r="C28" s="208"/>
      <c r="D28" s="208"/>
      <c r="E28" s="208"/>
      <c r="F28" s="208"/>
      <c r="G28" s="76"/>
      <c r="H28" s="76"/>
      <c r="I28" s="76"/>
      <c r="J28" s="76"/>
    </row>
    <row r="29" spans="1:10" s="209" customFormat="1" ht="21" customHeight="1">
      <c r="A29" s="208"/>
      <c r="B29" s="208"/>
      <c r="C29" s="208"/>
      <c r="D29" s="208"/>
      <c r="E29" s="208"/>
      <c r="F29" s="208"/>
      <c r="G29" s="76"/>
      <c r="H29" s="76"/>
      <c r="I29" s="76"/>
      <c r="J29" s="76"/>
    </row>
    <row r="30" spans="1:10" s="209" customFormat="1" ht="21" customHeight="1">
      <c r="A30" s="208"/>
      <c r="B30" s="208"/>
      <c r="C30" s="208"/>
      <c r="D30" s="208"/>
      <c r="E30" s="208"/>
      <c r="F30" s="208"/>
      <c r="G30" s="76"/>
      <c r="H30" s="76"/>
      <c r="I30" s="76"/>
      <c r="J30" s="76"/>
    </row>
    <row r="31" spans="1:10" s="209" customFormat="1" ht="21" customHeight="1">
      <c r="A31" s="208"/>
      <c r="B31" s="208"/>
      <c r="C31" s="208"/>
      <c r="D31" s="208"/>
      <c r="E31" s="208"/>
      <c r="F31" s="208"/>
      <c r="G31" s="76"/>
      <c r="H31" s="76"/>
      <c r="I31" s="76"/>
      <c r="J31" s="76"/>
    </row>
    <row r="32" spans="1:10" s="209" customFormat="1" ht="21" customHeight="1">
      <c r="A32" s="208"/>
      <c r="B32" s="208"/>
      <c r="C32" s="208"/>
      <c r="D32" s="208"/>
      <c r="E32" s="208"/>
      <c r="F32" s="208"/>
      <c r="G32" s="76"/>
      <c r="H32" s="76"/>
      <c r="I32" s="76"/>
      <c r="J32" s="76"/>
    </row>
    <row r="33" spans="1:10" s="209" customFormat="1" ht="21" customHeight="1">
      <c r="A33" s="208"/>
      <c r="B33" s="208"/>
      <c r="C33" s="208"/>
      <c r="D33" s="208"/>
      <c r="E33" s="208"/>
      <c r="F33" s="208"/>
      <c r="G33" s="76"/>
      <c r="H33" s="76"/>
      <c r="I33" s="76"/>
      <c r="J33" s="76"/>
    </row>
    <row r="34" spans="1:10" s="209" customFormat="1" ht="21" customHeight="1">
      <c r="A34" s="208"/>
      <c r="B34" s="208"/>
      <c r="C34" s="208"/>
      <c r="D34" s="208"/>
      <c r="E34" s="208"/>
      <c r="F34" s="208"/>
      <c r="G34" s="76"/>
      <c r="H34" s="76"/>
      <c r="I34" s="76"/>
      <c r="J34" s="76"/>
    </row>
    <row r="35" spans="1:10" s="209" customFormat="1" ht="21" customHeight="1">
      <c r="A35" s="208"/>
      <c r="B35" s="208"/>
      <c r="C35" s="208"/>
      <c r="D35" s="208"/>
      <c r="E35" s="208"/>
      <c r="F35" s="208"/>
      <c r="G35" s="76"/>
      <c r="H35" s="76"/>
      <c r="I35" s="76"/>
      <c r="J35" s="76"/>
    </row>
    <row r="36" spans="1:10" s="209" customFormat="1" ht="21" customHeight="1">
      <c r="A36" s="208"/>
      <c r="B36" s="208"/>
      <c r="C36" s="208"/>
      <c r="D36" s="208"/>
      <c r="E36" s="208"/>
      <c r="F36" s="208"/>
      <c r="G36" s="76"/>
      <c r="H36" s="76"/>
      <c r="I36" s="76"/>
      <c r="J36" s="76"/>
    </row>
    <row r="37" spans="1:10" s="209" customFormat="1" ht="21" customHeight="1">
      <c r="A37" s="208"/>
      <c r="B37" s="208"/>
      <c r="C37" s="208"/>
      <c r="D37" s="208"/>
      <c r="E37" s="208"/>
      <c r="F37" s="208"/>
      <c r="G37" s="76"/>
      <c r="H37" s="76"/>
      <c r="I37" s="76"/>
      <c r="J37" s="76"/>
    </row>
    <row r="38" spans="1:10" s="209" customFormat="1" ht="21" customHeight="1">
      <c r="A38" s="208"/>
      <c r="B38" s="208"/>
      <c r="C38" s="208"/>
      <c r="D38" s="208"/>
      <c r="E38" s="208"/>
      <c r="F38" s="208"/>
      <c r="G38" s="76"/>
      <c r="H38" s="76"/>
      <c r="I38" s="76"/>
      <c r="J38" s="76"/>
    </row>
    <row r="39" spans="1:10" s="209" customFormat="1" ht="21" customHeight="1">
      <c r="A39" s="208"/>
      <c r="B39" s="208"/>
      <c r="C39" s="208"/>
      <c r="D39" s="208"/>
      <c r="E39" s="208"/>
      <c r="F39" s="208"/>
      <c r="G39" s="76"/>
      <c r="H39" s="76"/>
      <c r="I39" s="76"/>
      <c r="J39" s="76"/>
    </row>
    <row r="40" spans="1:10" s="209" customFormat="1" ht="21" customHeight="1">
      <c r="A40" s="208"/>
      <c r="B40" s="208"/>
      <c r="C40" s="208"/>
      <c r="D40" s="208"/>
      <c r="E40" s="208"/>
      <c r="F40" s="208"/>
      <c r="G40" s="76"/>
      <c r="H40" s="76"/>
      <c r="I40" s="76"/>
      <c r="J40" s="76"/>
    </row>
    <row r="41" spans="1:10" s="209" customFormat="1" ht="21" customHeight="1">
      <c r="A41" s="208"/>
      <c r="B41" s="208"/>
      <c r="C41" s="208"/>
      <c r="D41" s="208"/>
      <c r="E41" s="208"/>
      <c r="F41" s="208"/>
      <c r="G41" s="76"/>
      <c r="H41" s="76"/>
      <c r="I41" s="76"/>
      <c r="J41" s="76"/>
    </row>
    <row r="42" spans="1:10" s="209" customFormat="1" ht="21" customHeight="1">
      <c r="A42" s="208"/>
      <c r="B42" s="208"/>
      <c r="C42" s="208"/>
      <c r="D42" s="208"/>
      <c r="E42" s="208"/>
      <c r="F42" s="208"/>
      <c r="G42" s="76"/>
      <c r="H42" s="76"/>
      <c r="I42" s="76"/>
      <c r="J42" s="76"/>
    </row>
    <row r="43" spans="1:10" s="209" customFormat="1" ht="21" customHeight="1">
      <c r="A43" s="208"/>
      <c r="B43" s="208"/>
      <c r="C43" s="208"/>
      <c r="D43" s="208"/>
      <c r="E43" s="208"/>
      <c r="F43" s="208"/>
      <c r="G43" s="76"/>
      <c r="H43" s="76"/>
      <c r="I43" s="76"/>
      <c r="J43" s="76"/>
    </row>
    <row r="44" spans="1:10" s="209" customFormat="1" ht="21" customHeight="1">
      <c r="A44" s="208"/>
      <c r="B44" s="208"/>
      <c r="C44" s="208"/>
      <c r="D44" s="208"/>
      <c r="E44" s="208"/>
      <c r="F44" s="208"/>
      <c r="G44" s="76"/>
      <c r="H44" s="76"/>
      <c r="I44" s="76"/>
      <c r="J44" s="76"/>
    </row>
    <row r="45" spans="1:10" s="209" customFormat="1" ht="21" customHeight="1">
      <c r="A45" s="208"/>
      <c r="B45" s="208"/>
      <c r="C45" s="208"/>
      <c r="D45" s="208"/>
      <c r="E45" s="208"/>
      <c r="F45" s="208"/>
      <c r="G45" s="76"/>
      <c r="H45" s="76"/>
      <c r="I45" s="76"/>
      <c r="J45" s="76"/>
    </row>
    <row r="46" spans="1:10" s="209" customFormat="1" ht="21" customHeight="1">
      <c r="A46" s="208"/>
      <c r="B46" s="208"/>
      <c r="C46" s="208"/>
      <c r="D46" s="208"/>
      <c r="E46" s="208"/>
      <c r="F46" s="208"/>
      <c r="G46" s="76"/>
      <c r="H46" s="76"/>
      <c r="I46" s="76"/>
      <c r="J46" s="76"/>
    </row>
    <row r="47" spans="1:10" s="209" customFormat="1" ht="21" customHeight="1">
      <c r="A47" s="208"/>
      <c r="B47" s="208"/>
      <c r="C47" s="208"/>
      <c r="D47" s="208"/>
      <c r="E47" s="208"/>
      <c r="F47" s="208"/>
      <c r="G47" s="76"/>
      <c r="H47" s="76"/>
      <c r="I47" s="76"/>
      <c r="J47" s="76"/>
    </row>
    <row r="48" spans="1:10" s="209" customFormat="1" ht="21" customHeight="1">
      <c r="A48" s="208"/>
      <c r="B48" s="208"/>
      <c r="C48" s="208"/>
      <c r="D48" s="208"/>
      <c r="E48" s="208"/>
      <c r="F48" s="208"/>
      <c r="G48" s="76"/>
      <c r="H48" s="76"/>
      <c r="I48" s="76"/>
      <c r="J48" s="76"/>
    </row>
    <row r="49" spans="1:10" s="209" customFormat="1" ht="21" customHeight="1">
      <c r="A49" s="208"/>
      <c r="B49" s="208"/>
      <c r="C49" s="208"/>
      <c r="D49" s="208"/>
      <c r="E49" s="208"/>
      <c r="F49" s="208"/>
      <c r="G49" s="76"/>
      <c r="H49" s="76"/>
      <c r="I49" s="76"/>
      <c r="J49" s="76"/>
    </row>
    <row r="50" spans="1:10" s="209" customFormat="1" ht="21" customHeight="1">
      <c r="A50" s="208"/>
      <c r="B50" s="208"/>
      <c r="C50" s="208"/>
      <c r="D50" s="208"/>
      <c r="E50" s="208"/>
      <c r="F50" s="208"/>
      <c r="G50" s="76"/>
      <c r="H50" s="76"/>
      <c r="I50" s="76"/>
      <c r="J50" s="76"/>
    </row>
    <row r="51" spans="1:10" s="209" customFormat="1" ht="21" customHeight="1">
      <c r="A51" s="208"/>
      <c r="B51" s="208"/>
      <c r="C51" s="208"/>
      <c r="D51" s="208"/>
      <c r="E51" s="208"/>
      <c r="F51" s="208"/>
      <c r="G51" s="76"/>
      <c r="H51" s="76"/>
      <c r="I51" s="76"/>
      <c r="J51" s="76"/>
    </row>
    <row r="52" spans="1:10" s="209" customFormat="1" ht="21" customHeight="1">
      <c r="A52" s="208"/>
      <c r="B52" s="208"/>
      <c r="C52" s="208"/>
      <c r="D52" s="208"/>
      <c r="E52" s="208"/>
      <c r="F52" s="208"/>
      <c r="G52" s="76"/>
      <c r="H52" s="76"/>
      <c r="I52" s="76"/>
      <c r="J52" s="76"/>
    </row>
    <row r="53" spans="1:10" s="209" customFormat="1" ht="21" customHeight="1">
      <c r="A53" s="208"/>
      <c r="B53" s="208"/>
      <c r="C53" s="208"/>
      <c r="D53" s="208"/>
      <c r="E53" s="208"/>
      <c r="F53" s="208"/>
      <c r="G53" s="76"/>
      <c r="H53" s="76"/>
      <c r="I53" s="76"/>
      <c r="J53" s="76"/>
    </row>
    <row r="54" spans="1:10" s="209" customFormat="1" ht="21" customHeight="1">
      <c r="A54" s="208"/>
      <c r="B54" s="208"/>
      <c r="C54" s="208"/>
      <c r="D54" s="208"/>
      <c r="E54" s="208"/>
      <c r="F54" s="208"/>
      <c r="G54" s="76"/>
      <c r="H54" s="76"/>
      <c r="I54" s="76"/>
      <c r="J54" s="76"/>
    </row>
    <row r="55" spans="1:10" s="209" customFormat="1" ht="21" customHeight="1">
      <c r="A55" s="208"/>
      <c r="B55" s="208"/>
      <c r="C55" s="208"/>
      <c r="D55" s="208"/>
      <c r="E55" s="208"/>
      <c r="F55" s="208"/>
      <c r="G55" s="76"/>
      <c r="H55" s="76"/>
      <c r="I55" s="76"/>
      <c r="J55" s="76"/>
    </row>
    <row r="56" spans="1:10" s="209" customFormat="1" ht="21" customHeight="1">
      <c r="A56" s="208"/>
      <c r="B56" s="208"/>
      <c r="C56" s="208"/>
      <c r="D56" s="208"/>
      <c r="E56" s="208"/>
      <c r="F56" s="208"/>
      <c r="G56" s="76"/>
      <c r="H56" s="76"/>
      <c r="I56" s="76"/>
      <c r="J56" s="76"/>
    </row>
    <row r="57" spans="1:10" s="209" customFormat="1" ht="21" customHeight="1">
      <c r="A57" s="208"/>
      <c r="B57" s="208"/>
      <c r="C57" s="208"/>
      <c r="D57" s="208"/>
      <c r="E57" s="208"/>
      <c r="F57" s="208"/>
      <c r="G57" s="76"/>
      <c r="H57" s="76"/>
      <c r="I57" s="76"/>
      <c r="J57" s="76"/>
    </row>
    <row r="58" spans="1:10" s="209" customFormat="1" ht="21" customHeight="1">
      <c r="A58" s="208"/>
      <c r="B58" s="208"/>
      <c r="C58" s="208"/>
      <c r="D58" s="208"/>
      <c r="E58" s="208"/>
      <c r="F58" s="208"/>
      <c r="G58" s="76"/>
      <c r="H58" s="76"/>
      <c r="I58" s="76"/>
      <c r="J58" s="76"/>
    </row>
    <row r="59" spans="1:10" s="209" customFormat="1" ht="21" customHeight="1">
      <c r="A59" s="208"/>
      <c r="B59" s="208"/>
      <c r="C59" s="208"/>
      <c r="D59" s="208"/>
      <c r="E59" s="208"/>
      <c r="F59" s="208"/>
      <c r="G59" s="76"/>
      <c r="H59" s="76"/>
      <c r="I59" s="76"/>
      <c r="J59" s="76"/>
    </row>
    <row r="60" spans="1:10" s="209" customFormat="1" ht="21" customHeight="1">
      <c r="A60" s="208"/>
      <c r="B60" s="208"/>
      <c r="C60" s="208"/>
      <c r="D60" s="208"/>
      <c r="E60" s="208"/>
      <c r="F60" s="208"/>
      <c r="G60" s="76"/>
      <c r="H60" s="76"/>
      <c r="I60" s="76"/>
      <c r="J60" s="76"/>
    </row>
    <row r="61" spans="1:10" s="209" customFormat="1" ht="21" customHeight="1">
      <c r="A61" s="208"/>
      <c r="B61" s="208"/>
      <c r="C61" s="208"/>
      <c r="D61" s="208"/>
      <c r="E61" s="208"/>
      <c r="F61" s="208"/>
      <c r="G61" s="76"/>
      <c r="H61" s="76"/>
      <c r="I61" s="76"/>
      <c r="J61" s="76"/>
    </row>
    <row r="62" spans="1:10" s="209" customFormat="1" ht="21" customHeight="1">
      <c r="A62" s="208"/>
      <c r="B62" s="208"/>
      <c r="C62" s="208"/>
      <c r="D62" s="208"/>
      <c r="E62" s="208"/>
      <c r="F62" s="208"/>
      <c r="G62" s="76"/>
      <c r="H62" s="76"/>
      <c r="I62" s="76"/>
      <c r="J62" s="76"/>
    </row>
    <row r="63" spans="1:10" s="209" customFormat="1" ht="21" customHeight="1">
      <c r="A63" s="208"/>
      <c r="B63" s="208"/>
      <c r="C63" s="208"/>
      <c r="D63" s="208"/>
      <c r="E63" s="208"/>
      <c r="F63" s="208"/>
      <c r="G63" s="76"/>
      <c r="H63" s="76"/>
      <c r="I63" s="76"/>
      <c r="J63" s="76"/>
    </row>
    <row r="64" spans="1:10" s="209" customFormat="1" ht="21" customHeight="1">
      <c r="A64" s="208"/>
      <c r="B64" s="208"/>
      <c r="C64" s="208"/>
      <c r="D64" s="208"/>
      <c r="E64" s="208"/>
      <c r="F64" s="208"/>
      <c r="G64" s="76"/>
      <c r="H64" s="76"/>
      <c r="I64" s="76"/>
      <c r="J64" s="76"/>
    </row>
    <row r="65" spans="1:10" s="209" customFormat="1" ht="21" customHeight="1">
      <c r="A65" s="208"/>
      <c r="B65" s="208"/>
      <c r="C65" s="208"/>
      <c r="D65" s="208"/>
      <c r="E65" s="208"/>
      <c r="F65" s="208"/>
      <c r="G65" s="76"/>
      <c r="H65" s="76"/>
      <c r="I65" s="76"/>
      <c r="J65" s="76"/>
    </row>
    <row r="66" spans="1:10" s="209" customFormat="1" ht="21" customHeight="1">
      <c r="A66" s="208"/>
      <c r="B66" s="208"/>
      <c r="C66" s="208"/>
      <c r="D66" s="208"/>
      <c r="E66" s="208"/>
      <c r="F66" s="208"/>
      <c r="G66" s="76"/>
      <c r="H66" s="76"/>
      <c r="I66" s="76"/>
      <c r="J66" s="76"/>
    </row>
    <row r="67" spans="1:10" s="209" customFormat="1" ht="21" customHeight="1">
      <c r="A67" s="208"/>
      <c r="B67" s="208"/>
      <c r="C67" s="208"/>
      <c r="D67" s="208"/>
      <c r="E67" s="208"/>
      <c r="F67" s="208"/>
      <c r="G67" s="76"/>
      <c r="H67" s="76"/>
      <c r="I67" s="76"/>
      <c r="J67" s="76"/>
    </row>
    <row r="68" spans="1:10" s="209" customFormat="1" ht="21" customHeight="1">
      <c r="A68" s="208"/>
      <c r="B68" s="208"/>
      <c r="C68" s="208"/>
      <c r="D68" s="208"/>
      <c r="E68" s="208"/>
      <c r="F68" s="208"/>
      <c r="G68" s="76"/>
      <c r="H68" s="76"/>
      <c r="I68" s="76"/>
      <c r="J68" s="76"/>
    </row>
    <row r="69" spans="1:10" s="209" customFormat="1" ht="21" customHeight="1">
      <c r="A69" s="208"/>
      <c r="B69" s="208"/>
      <c r="C69" s="208"/>
      <c r="D69" s="208"/>
      <c r="E69" s="208"/>
      <c r="F69" s="208"/>
      <c r="G69" s="76"/>
      <c r="H69" s="76"/>
      <c r="I69" s="76"/>
      <c r="J69" s="76"/>
    </row>
    <row r="70" spans="1:10" s="209" customFormat="1" ht="21" customHeight="1">
      <c r="A70" s="208"/>
      <c r="B70" s="208"/>
      <c r="C70" s="208"/>
      <c r="D70" s="208"/>
      <c r="E70" s="208"/>
      <c r="F70" s="208"/>
      <c r="G70" s="76"/>
      <c r="H70" s="76"/>
      <c r="I70" s="76"/>
      <c r="J70" s="76"/>
    </row>
    <row r="71" spans="1:10" s="209" customFormat="1" ht="21" customHeight="1">
      <c r="A71" s="208"/>
      <c r="B71" s="208"/>
      <c r="C71" s="208"/>
      <c r="D71" s="208"/>
      <c r="E71" s="208"/>
      <c r="F71" s="208"/>
      <c r="G71" s="76"/>
      <c r="H71" s="76"/>
      <c r="I71" s="76"/>
      <c r="J71" s="76"/>
    </row>
    <row r="72" spans="1:10" ht="20.100000000000001" customHeight="1">
      <c r="A72" s="196"/>
      <c r="B72" s="196"/>
      <c r="C72" s="196"/>
      <c r="D72" s="196"/>
      <c r="E72" s="196"/>
      <c r="F72" s="196"/>
      <c r="G72" s="196"/>
      <c r="H72" s="196"/>
      <c r="I72" s="196"/>
      <c r="J72" s="196"/>
    </row>
    <row r="73" spans="1:10" ht="19.5" customHeight="1">
      <c r="A73" s="183"/>
      <c r="B73" s="196"/>
      <c r="C73" s="175"/>
      <c r="D73" s="196"/>
      <c r="E73" s="196"/>
      <c r="F73" s="196"/>
      <c r="G73" s="196"/>
      <c r="H73" s="196"/>
      <c r="I73" s="196"/>
      <c r="J73" s="196"/>
    </row>
    <row r="74" spans="1:10" ht="20.25">
      <c r="A74" s="361" t="s">
        <v>595</v>
      </c>
      <c r="B74" s="361"/>
      <c r="C74" s="361"/>
      <c r="D74" s="361"/>
      <c r="E74" s="361"/>
      <c r="F74" s="361"/>
      <c r="G74" s="361"/>
      <c r="H74" s="361"/>
      <c r="I74" s="361"/>
      <c r="J74" s="361"/>
    </row>
    <row r="75" spans="1:10" ht="9" customHeight="1">
      <c r="A75" s="177"/>
      <c r="B75" s="177"/>
      <c r="C75" s="177"/>
      <c r="D75" s="177"/>
      <c r="E75" s="177"/>
      <c r="F75" s="177"/>
      <c r="G75" s="177"/>
      <c r="H75" s="177"/>
      <c r="I75" s="177"/>
      <c r="J75" s="177"/>
    </row>
    <row r="76" spans="1:10">
      <c r="A76" s="360" t="s">
        <v>223</v>
      </c>
      <c r="B76" s="360"/>
      <c r="C76" s="360"/>
      <c r="D76" s="360"/>
      <c r="E76" s="360"/>
      <c r="F76" s="360"/>
      <c r="G76" s="360"/>
      <c r="H76" s="360"/>
      <c r="I76" s="360"/>
      <c r="J76" s="360"/>
    </row>
    <row r="77" spans="1:10" ht="12" customHeight="1">
      <c r="B77" s="18"/>
      <c r="C77" s="194"/>
      <c r="D77" s="18"/>
      <c r="E77" s="18"/>
      <c r="F77" s="18"/>
      <c r="G77" s="18"/>
      <c r="H77" s="18"/>
      <c r="I77" s="18"/>
      <c r="J77" s="18"/>
    </row>
    <row r="78" spans="1:10" ht="31.5" customHeight="1">
      <c r="A78" s="378" t="s">
        <v>277</v>
      </c>
      <c r="B78" s="379" t="s">
        <v>17</v>
      </c>
      <c r="C78" s="380" t="s">
        <v>31</v>
      </c>
      <c r="D78" s="380" t="s">
        <v>39</v>
      </c>
      <c r="E78" s="379" t="s">
        <v>150</v>
      </c>
      <c r="F78" s="367" t="s">
        <v>183</v>
      </c>
      <c r="G78" s="369" t="s">
        <v>278</v>
      </c>
      <c r="H78" s="370"/>
      <c r="I78" s="370"/>
      <c r="J78" s="371"/>
    </row>
    <row r="79" spans="1:10" ht="54.75" customHeight="1">
      <c r="A79" s="378"/>
      <c r="B79" s="379"/>
      <c r="C79" s="381"/>
      <c r="D79" s="381"/>
      <c r="E79" s="379"/>
      <c r="F79" s="368"/>
      <c r="G79" s="330" t="s">
        <v>270</v>
      </c>
      <c r="H79" s="330" t="s">
        <v>271</v>
      </c>
      <c r="I79" s="330" t="s">
        <v>272</v>
      </c>
      <c r="J79" s="330" t="s">
        <v>362</v>
      </c>
    </row>
    <row r="80" spans="1:10" ht="20.100000000000001" customHeight="1">
      <c r="A80" s="214">
        <v>1</v>
      </c>
      <c r="B80" s="213">
        <v>2</v>
      </c>
      <c r="C80" s="213">
        <v>3</v>
      </c>
      <c r="D80" s="213">
        <v>4</v>
      </c>
      <c r="E80" s="213">
        <v>5</v>
      </c>
      <c r="F80" s="213">
        <v>6</v>
      </c>
      <c r="G80" s="213">
        <v>7</v>
      </c>
      <c r="H80" s="213">
        <v>8</v>
      </c>
      <c r="I80" s="213">
        <v>9</v>
      </c>
      <c r="J80" s="213">
        <v>10</v>
      </c>
    </row>
    <row r="81" spans="1:10" ht="24.95" customHeight="1">
      <c r="A81" s="372" t="s">
        <v>104</v>
      </c>
      <c r="B81" s="373"/>
      <c r="C81" s="373"/>
      <c r="D81" s="373"/>
      <c r="E81" s="373"/>
      <c r="F81" s="373"/>
      <c r="G81" s="373"/>
      <c r="H81" s="373"/>
      <c r="I81" s="373"/>
      <c r="J81" s="374"/>
    </row>
    <row r="82" spans="1:10" ht="37.5">
      <c r="A82" s="215" t="s">
        <v>224</v>
      </c>
      <c r="B82" s="214">
        <f>'I. Фін результат'!B7</f>
        <v>1000</v>
      </c>
      <c r="C82" s="216">
        <f>'I. Фін результат'!C7</f>
        <v>74309</v>
      </c>
      <c r="D82" s="216">
        <f>'I. Фін результат'!D7</f>
        <v>110300</v>
      </c>
      <c r="E82" s="216">
        <f>'I. Фін результат'!I7</f>
        <v>115010</v>
      </c>
      <c r="F82" s="216">
        <f>'I. Фін результат'!E7</f>
        <v>125395.33333333333</v>
      </c>
      <c r="G82" s="217">
        <f>ROUND(E82*1.057,0)</f>
        <v>121566</v>
      </c>
      <c r="H82" s="217">
        <f>ROUND(G82*1.053,0)</f>
        <v>128009</v>
      </c>
      <c r="I82" s="217">
        <f t="shared" ref="I82:J85" si="0">ROUND(H82*1.053,0)</f>
        <v>134793</v>
      </c>
      <c r="J82" s="217">
        <f t="shared" si="0"/>
        <v>141937</v>
      </c>
    </row>
    <row r="83" spans="1:10" ht="37.5">
      <c r="A83" s="215" t="s">
        <v>192</v>
      </c>
      <c r="B83" s="214">
        <f>'I. Фін результат'!B11</f>
        <v>1010</v>
      </c>
      <c r="C83" s="216">
        <f>'I. Фін результат'!C11</f>
        <v>70285</v>
      </c>
      <c r="D83" s="216">
        <f>'I. Фін результат'!D11</f>
        <v>103527</v>
      </c>
      <c r="E83" s="216">
        <f>'I. Фін результат'!I11</f>
        <v>107838.15</v>
      </c>
      <c r="F83" s="216">
        <f>'I. Фін результат'!E11</f>
        <v>122204.33333333333</v>
      </c>
      <c r="G83" s="217">
        <f>ROUND(E83*1.057,0)</f>
        <v>113985</v>
      </c>
      <c r="H83" s="217">
        <f>ROUND(G83*1.053,0)</f>
        <v>120026</v>
      </c>
      <c r="I83" s="217">
        <f t="shared" si="0"/>
        <v>126387</v>
      </c>
      <c r="J83" s="217">
        <f t="shared" si="0"/>
        <v>133086</v>
      </c>
    </row>
    <row r="84" spans="1:10" ht="20.100000000000001" customHeight="1">
      <c r="A84" s="218" t="s">
        <v>311</v>
      </c>
      <c r="B84" s="214">
        <f>'I. Фін результат'!B49</f>
        <v>1020</v>
      </c>
      <c r="C84" s="216">
        <f>'I. Фін результат'!C49</f>
        <v>4024</v>
      </c>
      <c r="D84" s="216">
        <f>'I. Фін результат'!D49</f>
        <v>6773</v>
      </c>
      <c r="E84" s="216">
        <f>'I. Фін результат'!I49</f>
        <v>7171.8500000000058</v>
      </c>
      <c r="F84" s="216">
        <f>'I. Фін результат'!E49</f>
        <v>3191</v>
      </c>
      <c r="G84" s="216">
        <f>G82-G83</f>
        <v>7581</v>
      </c>
      <c r="H84" s="216">
        <f>H82-H83</f>
        <v>7983</v>
      </c>
      <c r="I84" s="216">
        <f>I82-I83</f>
        <v>8406</v>
      </c>
      <c r="J84" s="216">
        <f>J82-J83</f>
        <v>8851</v>
      </c>
    </row>
    <row r="85" spans="1:10" ht="20.100000000000001" customHeight="1">
      <c r="A85" s="215" t="s">
        <v>156</v>
      </c>
      <c r="B85" s="214">
        <f>'I. Фін результат'!B61</f>
        <v>1040</v>
      </c>
      <c r="C85" s="216">
        <f>'I. Фін результат'!C61</f>
        <v>4277</v>
      </c>
      <c r="D85" s="216">
        <f>'I. Фін результат'!D61</f>
        <v>6207</v>
      </c>
      <c r="E85" s="216">
        <f>'I. Фін результат'!I61</f>
        <v>7728</v>
      </c>
      <c r="F85" s="216">
        <f>'I. Фін результат'!E61</f>
        <v>5499.9999999999991</v>
      </c>
      <c r="G85" s="217">
        <f>ROUND(E85*1.057,0)</f>
        <v>8168</v>
      </c>
      <c r="H85" s="217">
        <f>ROUND(G85*1.053,0)</f>
        <v>8601</v>
      </c>
      <c r="I85" s="217">
        <f t="shared" si="0"/>
        <v>9057</v>
      </c>
      <c r="J85" s="217">
        <f t="shared" si="0"/>
        <v>9537</v>
      </c>
    </row>
    <row r="86" spans="1:10" ht="20.100000000000001" customHeight="1">
      <c r="A86" s="215" t="s">
        <v>153</v>
      </c>
      <c r="B86" s="214">
        <f>'I. Фін результат'!B90</f>
        <v>1070</v>
      </c>
      <c r="C86" s="216">
        <f>'I. Фін результат'!C90</f>
        <v>0</v>
      </c>
      <c r="D86" s="216">
        <f>'I. Фін результат'!D90</f>
        <v>0</v>
      </c>
      <c r="E86" s="216">
        <f>'I. Фін результат'!I90</f>
        <v>0</v>
      </c>
      <c r="F86" s="216">
        <f>'I. Фін результат'!E90</f>
        <v>0</v>
      </c>
      <c r="G86" s="217">
        <f t="shared" ref="G86:G87" si="1">ROUND(E86*1.057,0)</f>
        <v>0</v>
      </c>
      <c r="H86" s="217">
        <f t="shared" ref="H86:J86" si="2">ROUND(G86*1.053,0)</f>
        <v>0</v>
      </c>
      <c r="I86" s="217">
        <f t="shared" si="2"/>
        <v>0</v>
      </c>
      <c r="J86" s="217">
        <f t="shared" si="2"/>
        <v>0</v>
      </c>
    </row>
    <row r="87" spans="1:10" ht="20.100000000000001" customHeight="1">
      <c r="A87" s="215" t="s">
        <v>157</v>
      </c>
      <c r="B87" s="214">
        <f>'I. Фін результат'!B142</f>
        <v>1300</v>
      </c>
      <c r="C87" s="216">
        <v>1221</v>
      </c>
      <c r="D87" s="216">
        <f>'I. Фін результат'!D142</f>
        <v>588</v>
      </c>
      <c r="E87" s="216">
        <f>'I. Фін результат'!I142</f>
        <v>2220</v>
      </c>
      <c r="F87" s="216">
        <f>'I. Фін результат'!E142</f>
        <v>3111.6666666666679</v>
      </c>
      <c r="G87" s="217">
        <f t="shared" si="1"/>
        <v>2347</v>
      </c>
      <c r="H87" s="217">
        <f t="shared" ref="H87:J92" si="3">ROUND(G87*1.053,0)</f>
        <v>2471</v>
      </c>
      <c r="I87" s="217">
        <f t="shared" si="3"/>
        <v>2602</v>
      </c>
      <c r="J87" s="217">
        <f t="shared" si="3"/>
        <v>2740</v>
      </c>
    </row>
    <row r="88" spans="1:10" ht="37.5">
      <c r="A88" s="219" t="s">
        <v>3</v>
      </c>
      <c r="B88" s="214">
        <f>'I. Фін результат'!B124</f>
        <v>1100</v>
      </c>
      <c r="C88" s="216">
        <f>'I. Фін результат'!C124</f>
        <v>968</v>
      </c>
      <c r="D88" s="216">
        <f>'I. Фін результат'!D124</f>
        <v>1154</v>
      </c>
      <c r="E88" s="216">
        <f>'I. Фін результат'!I124</f>
        <v>1663.8500000000058</v>
      </c>
      <c r="F88" s="216">
        <f>'I. Фін результат'!E124</f>
        <v>802.66666666666788</v>
      </c>
      <c r="G88" s="216">
        <f>G84-G85-G86+G87</f>
        <v>1760</v>
      </c>
      <c r="H88" s="216">
        <f>H84-H85-H86+H87</f>
        <v>1853</v>
      </c>
      <c r="I88" s="216">
        <f>I84-I85-I86+I87</f>
        <v>1951</v>
      </c>
      <c r="J88" s="216">
        <f>J84-J85-J86+J87</f>
        <v>2054</v>
      </c>
    </row>
    <row r="89" spans="1:10" ht="20.100000000000001" customHeight="1">
      <c r="A89" s="219" t="s">
        <v>158</v>
      </c>
      <c r="B89" s="214">
        <f>'I. Фін результат'!B153</f>
        <v>1410</v>
      </c>
      <c r="C89" s="216">
        <f>'I. Фін результат'!C153</f>
        <v>17887</v>
      </c>
      <c r="D89" s="216">
        <f>'I. Фін результат'!D153</f>
        <v>19468</v>
      </c>
      <c r="E89" s="216">
        <f>'I. Фін результат'!I153</f>
        <v>31329.050000000007</v>
      </c>
      <c r="F89" s="216">
        <f>'I. Фін результат'!E153</f>
        <v>29744.666666666668</v>
      </c>
      <c r="G89" s="217">
        <f t="shared" ref="G89" si="4">ROUND(E89*1.057,0)</f>
        <v>33115</v>
      </c>
      <c r="H89" s="217">
        <f t="shared" si="3"/>
        <v>34870</v>
      </c>
      <c r="I89" s="217">
        <f t="shared" si="3"/>
        <v>36718</v>
      </c>
      <c r="J89" s="217">
        <f t="shared" si="3"/>
        <v>38664</v>
      </c>
    </row>
    <row r="90" spans="1:10" ht="20.100000000000001" customHeight="1">
      <c r="A90" s="220" t="s">
        <v>246</v>
      </c>
      <c r="B90" s="214">
        <v>5010</v>
      </c>
      <c r="C90" s="221">
        <f>'V. коеф'!D8</f>
        <v>24.071108479457401</v>
      </c>
      <c r="D90" s="222">
        <f>D89*100/D82</f>
        <v>17.650045330915685</v>
      </c>
      <c r="E90" s="222">
        <f t="shared" ref="E90:J90" si="5">E89*100/E82</f>
        <v>27.240283453612733</v>
      </c>
      <c r="F90" s="222">
        <f t="shared" si="5"/>
        <v>23.720712626200871</v>
      </c>
      <c r="G90" s="223">
        <f t="shared" si="5"/>
        <v>27.240346807495516</v>
      </c>
      <c r="H90" s="223">
        <f t="shared" si="5"/>
        <v>27.240272168363163</v>
      </c>
      <c r="I90" s="223">
        <f t="shared" si="5"/>
        <v>27.240286958521583</v>
      </c>
      <c r="J90" s="223">
        <f t="shared" si="5"/>
        <v>27.240254479099882</v>
      </c>
    </row>
    <row r="91" spans="1:10" ht="37.5">
      <c r="A91" s="220" t="s">
        <v>159</v>
      </c>
      <c r="B91" s="214">
        <f>'I. Фін результат'!B143</f>
        <v>1310</v>
      </c>
      <c r="C91" s="216">
        <f>'I. Фін результат'!C143</f>
        <v>0</v>
      </c>
      <c r="D91" s="216">
        <f>'I. Фін результат'!D143</f>
        <v>0</v>
      </c>
      <c r="E91" s="216">
        <f>'I. Фін результат'!I143</f>
        <v>0</v>
      </c>
      <c r="F91" s="216">
        <f>'I. Фін результат'!E143</f>
        <v>0</v>
      </c>
      <c r="G91" s="217">
        <f>ROUND(E91*1.057,0)</f>
        <v>0</v>
      </c>
      <c r="H91" s="217">
        <f>ROUND(G91*1.053,0)</f>
        <v>0</v>
      </c>
      <c r="I91" s="217">
        <f>ROUND(H91*1.053,0)</f>
        <v>0</v>
      </c>
      <c r="J91" s="217">
        <f t="shared" si="3"/>
        <v>0</v>
      </c>
    </row>
    <row r="92" spans="1:10" ht="20.100000000000001" customHeight="1">
      <c r="A92" s="215" t="s">
        <v>251</v>
      </c>
      <c r="B92" s="214">
        <f>'I. Фін результат'!B144</f>
        <v>1320</v>
      </c>
      <c r="C92" s="216">
        <f>'I. Фін результат'!C144</f>
        <v>-370</v>
      </c>
      <c r="D92" s="216">
        <f>'I. Фін результат'!D144</f>
        <v>-493</v>
      </c>
      <c r="E92" s="216">
        <f>'I. Фін результат'!I144</f>
        <v>-493</v>
      </c>
      <c r="F92" s="216">
        <f>'I. Фін результат'!E144</f>
        <v>-365.33333333333331</v>
      </c>
      <c r="G92" s="217">
        <f t="shared" ref="G92" si="6">ROUND(E92*1.057,0)</f>
        <v>-521</v>
      </c>
      <c r="H92" s="217">
        <f t="shared" si="3"/>
        <v>-549</v>
      </c>
      <c r="I92" s="217">
        <f t="shared" si="3"/>
        <v>-578</v>
      </c>
      <c r="J92" s="217">
        <f t="shared" si="3"/>
        <v>-609</v>
      </c>
    </row>
    <row r="93" spans="1:10" ht="37.5">
      <c r="A93" s="219" t="s">
        <v>102</v>
      </c>
      <c r="B93" s="214">
        <f>'I. Фін результат'!B134</f>
        <v>1170</v>
      </c>
      <c r="C93" s="216">
        <f>'I. Фін результат'!C134</f>
        <v>598</v>
      </c>
      <c r="D93" s="216">
        <f>'I. Фін результат'!D134</f>
        <v>661</v>
      </c>
      <c r="E93" s="216">
        <f>'I. Фін результат'!I134</f>
        <v>1170.8500000000058</v>
      </c>
      <c r="F93" s="216">
        <f>'I. Фін результат'!E134</f>
        <v>437.33333333333456</v>
      </c>
      <c r="G93" s="216">
        <f>G88+G91+G92</f>
        <v>1239</v>
      </c>
      <c r="H93" s="216">
        <f>H88+H91+H92</f>
        <v>1304</v>
      </c>
      <c r="I93" s="216">
        <f>I88+I91+I92</f>
        <v>1373</v>
      </c>
      <c r="J93" s="216">
        <f>J88+J91+J92</f>
        <v>1445</v>
      </c>
    </row>
    <row r="94" spans="1:10" ht="20.100000000000001" customHeight="1">
      <c r="A94" s="220" t="s">
        <v>154</v>
      </c>
      <c r="B94" s="214">
        <f>'I. Фін результат'!B135</f>
        <v>1180</v>
      </c>
      <c r="C94" s="216">
        <f>'I. Фін результат'!C135</f>
        <v>108</v>
      </c>
      <c r="D94" s="216">
        <f>'I. Фін результат'!D135</f>
        <v>119</v>
      </c>
      <c r="E94" s="216">
        <f>'I. Фін результат'!I135</f>
        <v>211</v>
      </c>
      <c r="F94" s="216">
        <f>'I. Фін результат'!E135</f>
        <v>79</v>
      </c>
      <c r="G94" s="216">
        <f>ROUND(G93*18%,0)</f>
        <v>223</v>
      </c>
      <c r="H94" s="216">
        <f t="shared" ref="H94:J94" si="7">ROUND(H93*18%,0)</f>
        <v>235</v>
      </c>
      <c r="I94" s="216">
        <f t="shared" si="7"/>
        <v>247</v>
      </c>
      <c r="J94" s="216">
        <f t="shared" si="7"/>
        <v>260</v>
      </c>
    </row>
    <row r="95" spans="1:10" ht="20.100000000000001" customHeight="1">
      <c r="A95" s="219" t="s">
        <v>247</v>
      </c>
      <c r="B95" s="214">
        <f>'I. Фін результат'!B137</f>
        <v>1200</v>
      </c>
      <c r="C95" s="216">
        <f>'I. Фін результат'!C137</f>
        <v>490</v>
      </c>
      <c r="D95" s="216">
        <f>'I. Фін результат'!D137</f>
        <v>542</v>
      </c>
      <c r="E95" s="216">
        <f>'I. Фін результат'!I137</f>
        <v>959.85000000000582</v>
      </c>
      <c r="F95" s="216">
        <f>'I. Фін результат'!E137</f>
        <v>358.33333333333456</v>
      </c>
      <c r="G95" s="216">
        <f>G93-G94</f>
        <v>1016</v>
      </c>
      <c r="H95" s="216">
        <f>H93-H94</f>
        <v>1069</v>
      </c>
      <c r="I95" s="216">
        <f>I93-I94</f>
        <v>1126</v>
      </c>
      <c r="J95" s="216">
        <f>J93-J94</f>
        <v>1185</v>
      </c>
    </row>
    <row r="96" spans="1:10" ht="20.100000000000001" customHeight="1">
      <c r="A96" s="220" t="s">
        <v>248</v>
      </c>
      <c r="B96" s="214">
        <v>5040</v>
      </c>
      <c r="C96" s="221">
        <f t="shared" ref="C96:J96" si="8">C95/C82</f>
        <v>6.5940868535439854E-3</v>
      </c>
      <c r="D96" s="221">
        <f t="shared" si="8"/>
        <v>4.9138712601994559E-3</v>
      </c>
      <c r="E96" s="221">
        <f t="shared" si="8"/>
        <v>8.3457960177376386E-3</v>
      </c>
      <c r="F96" s="221">
        <f t="shared" si="8"/>
        <v>2.8576289388759914E-3</v>
      </c>
      <c r="G96" s="222">
        <f t="shared" si="8"/>
        <v>8.3575999868384255E-3</v>
      </c>
      <c r="H96" s="222">
        <f t="shared" si="8"/>
        <v>8.3509753220476681E-3</v>
      </c>
      <c r="I96" s="222">
        <f t="shared" si="8"/>
        <v>8.3535495166662949E-3</v>
      </c>
      <c r="J96" s="222">
        <f t="shared" si="8"/>
        <v>8.3487744562728526E-3</v>
      </c>
    </row>
    <row r="97" spans="1:10" ht="24.95" customHeight="1">
      <c r="A97" s="375" t="s">
        <v>171</v>
      </c>
      <c r="B97" s="376"/>
      <c r="C97" s="376"/>
      <c r="D97" s="376"/>
      <c r="E97" s="376"/>
      <c r="F97" s="376"/>
      <c r="G97" s="376"/>
      <c r="H97" s="376"/>
      <c r="I97" s="376"/>
      <c r="J97" s="377"/>
    </row>
    <row r="98" spans="1:10" ht="20.100000000000001" customHeight="1">
      <c r="A98" s="224" t="s">
        <v>367</v>
      </c>
      <c r="B98" s="214">
        <f>'ІІ. Розр. з бюджетом'!B21</f>
        <v>2100</v>
      </c>
      <c r="C98" s="216">
        <f>'ІІ. Розр. з бюджетом'!C21</f>
        <v>324</v>
      </c>
      <c r="D98" s="216">
        <f>'ІІ. Розр. з бюджетом'!D21</f>
        <v>358</v>
      </c>
      <c r="E98" s="216">
        <f>'ІІ. Розр. з бюджетом'!I21</f>
        <v>634</v>
      </c>
      <c r="F98" s="216">
        <f>'ІІ. Розр. з бюджетом'!E21</f>
        <v>237</v>
      </c>
      <c r="G98" s="217">
        <f>ROUND(G95*0.66,0)</f>
        <v>671</v>
      </c>
      <c r="H98" s="217">
        <f>ROUND(H95*0.66,0)</f>
        <v>706</v>
      </c>
      <c r="I98" s="217">
        <f>ROUND(I95*0.66,0)</f>
        <v>743</v>
      </c>
      <c r="J98" s="217">
        <f>ROUND(J95*0.66,0)</f>
        <v>782</v>
      </c>
    </row>
    <row r="99" spans="1:10" ht="20.100000000000001" customHeight="1">
      <c r="A99" s="225" t="s">
        <v>170</v>
      </c>
      <c r="B99" s="214">
        <f>'ІІ. Розр. з бюджетом'!B24</f>
        <v>2110</v>
      </c>
      <c r="C99" s="216">
        <f>'ІІ. Розр. з бюджетом'!C24</f>
        <v>108</v>
      </c>
      <c r="D99" s="216">
        <f>'ІІ. Розр. з бюджетом'!D24</f>
        <v>119</v>
      </c>
      <c r="E99" s="216">
        <f>'ІІ. Розр. з бюджетом'!I24</f>
        <v>211</v>
      </c>
      <c r="F99" s="216">
        <f>'ІІ. Розр. з бюджетом'!E24</f>
        <v>79</v>
      </c>
      <c r="G99" s="216">
        <f>G94</f>
        <v>223</v>
      </c>
      <c r="H99" s="216">
        <f>H94</f>
        <v>235</v>
      </c>
      <c r="I99" s="216">
        <f>I94</f>
        <v>247</v>
      </c>
      <c r="J99" s="216">
        <f>J94</f>
        <v>260</v>
      </c>
    </row>
    <row r="100" spans="1:10" ht="56.25">
      <c r="A100" s="225" t="s">
        <v>363</v>
      </c>
      <c r="B100" s="214" t="s">
        <v>249</v>
      </c>
      <c r="C100" s="216">
        <f>SUM('ІІ. Розр. з бюджетом'!C25,'ІІ. Розр. з бюджетом'!C26)</f>
        <v>2390</v>
      </c>
      <c r="D100" s="216">
        <f>SUM('ІІ. Розр. з бюджетом'!D25,'ІІ. Розр. з бюджетом'!D26)</f>
        <v>4000</v>
      </c>
      <c r="E100" s="216">
        <f>'ІІ. Розр. з бюджетом'!I25+'ІІ. Розр. з бюджетом'!I26</f>
        <v>4600</v>
      </c>
      <c r="F100" s="216">
        <f>SUM('ІІ. Розр. з бюджетом'!E25,'ІІ. Розр. з бюджетом'!E26)</f>
        <v>4502</v>
      </c>
      <c r="G100" s="217">
        <f>ROUND(E100*1.057,0)</f>
        <v>4862</v>
      </c>
      <c r="H100" s="217">
        <f>ROUND(G100*1.053,0)</f>
        <v>5120</v>
      </c>
      <c r="I100" s="217">
        <f>ROUND(H100*1.053,0)</f>
        <v>5391</v>
      </c>
      <c r="J100" s="217">
        <f t="shared" ref="J100:J102" si="9">ROUND(I100*1.053,0)</f>
        <v>5677</v>
      </c>
    </row>
    <row r="101" spans="1:10" ht="56.25">
      <c r="A101" s="224" t="s">
        <v>368</v>
      </c>
      <c r="B101" s="214">
        <f>'ІІ. Розр. з бюджетом'!B27</f>
        <v>2140</v>
      </c>
      <c r="C101" s="216">
        <f>'ІІ. Розр. з бюджетом'!C27</f>
        <v>3105</v>
      </c>
      <c r="D101" s="216">
        <f>'ІІ. Розр. з бюджетом'!D27</f>
        <v>4089</v>
      </c>
      <c r="E101" s="216">
        <f>'ІІ. Розр. з бюджетом'!I27</f>
        <v>5023</v>
      </c>
      <c r="F101" s="216">
        <f>'ІІ. Розр. з бюджетом'!E27</f>
        <v>3966</v>
      </c>
      <c r="G101" s="217">
        <f t="shared" ref="G101:G102" si="10">ROUND(E101*1.057,0)</f>
        <v>5309</v>
      </c>
      <c r="H101" s="217">
        <f t="shared" ref="H101:I101" si="11">ROUND(G101*1.053,0)</f>
        <v>5590</v>
      </c>
      <c r="I101" s="217">
        <f t="shared" si="11"/>
        <v>5886</v>
      </c>
      <c r="J101" s="217">
        <f t="shared" si="9"/>
        <v>6198</v>
      </c>
    </row>
    <row r="102" spans="1:10" ht="39" customHeight="1">
      <c r="A102" s="224" t="s">
        <v>87</v>
      </c>
      <c r="B102" s="214">
        <f>'ІІ. Розр. з бюджетом'!B38</f>
        <v>2150</v>
      </c>
      <c r="C102" s="216">
        <f>'ІІ. Розр. з бюджетом'!C38</f>
        <v>3139</v>
      </c>
      <c r="D102" s="216">
        <f>'ІІ. Розр. з бюджетом'!D38</f>
        <v>4173</v>
      </c>
      <c r="E102" s="216">
        <f>'ІІ. Розр. з бюджетом'!I38</f>
        <v>5177</v>
      </c>
      <c r="F102" s="216">
        <f>'ІІ. Розр. з бюджетом'!E38</f>
        <v>4009</v>
      </c>
      <c r="G102" s="217">
        <f t="shared" si="10"/>
        <v>5472</v>
      </c>
      <c r="H102" s="217">
        <f t="shared" ref="H102:I102" si="12">ROUND(G102*1.053,0)</f>
        <v>5762</v>
      </c>
      <c r="I102" s="217">
        <f t="shared" si="12"/>
        <v>6067</v>
      </c>
      <c r="J102" s="217">
        <f t="shared" si="9"/>
        <v>6389</v>
      </c>
    </row>
    <row r="103" spans="1:10" ht="20.100000000000001" customHeight="1">
      <c r="A103" s="226" t="s">
        <v>369</v>
      </c>
      <c r="B103" s="214">
        <f>'ІІ. Розр. з бюджетом'!B39</f>
        <v>2200</v>
      </c>
      <c r="C103" s="216">
        <f>'ІІ. Розр. з бюджетом'!C39</f>
        <v>9066</v>
      </c>
      <c r="D103" s="216">
        <f>'ІІ. Розр. з бюджетом'!D39</f>
        <v>12739</v>
      </c>
      <c r="E103" s="216">
        <f>'ІІ. Розр. з бюджетом'!I39</f>
        <v>15645</v>
      </c>
      <c r="F103" s="216">
        <f>'ІІ. Розр. з бюджетом'!E39</f>
        <v>12793</v>
      </c>
      <c r="G103" s="216">
        <f>SUM(G98:G102)</f>
        <v>16537</v>
      </c>
      <c r="H103" s="216">
        <f>SUM(H98:H102)</f>
        <v>17413</v>
      </c>
      <c r="I103" s="216">
        <f>SUM(I98:I102)</f>
        <v>18334</v>
      </c>
      <c r="J103" s="216">
        <f>SUM(J98:J102)</f>
        <v>19306</v>
      </c>
    </row>
    <row r="104" spans="1:10" ht="24.95" customHeight="1">
      <c r="A104" s="375" t="s">
        <v>169</v>
      </c>
      <c r="B104" s="376"/>
      <c r="C104" s="376"/>
      <c r="D104" s="376"/>
      <c r="E104" s="376"/>
      <c r="F104" s="376"/>
      <c r="G104" s="376"/>
      <c r="H104" s="376"/>
      <c r="I104" s="376"/>
      <c r="J104" s="377"/>
    </row>
    <row r="105" spans="1:10" ht="20.100000000000001" customHeight="1">
      <c r="A105" s="226" t="s">
        <v>160</v>
      </c>
      <c r="B105" s="214">
        <f>'ІІІ. Рух грош. коштів'!B77</f>
        <v>3600</v>
      </c>
      <c r="C105" s="216">
        <f>'ІІІ. Рух грош. коштів'!C77</f>
        <v>23205</v>
      </c>
      <c r="D105" s="216">
        <f>'ІІІ. Рух грош. коштів'!D77</f>
        <v>5074</v>
      </c>
      <c r="E105" s="216">
        <f>'ІІІ. Рух грош. коштів'!I77</f>
        <v>8047.6666666666688</v>
      </c>
      <c r="F105" s="216">
        <f>'ІІІ. Рух грош. коштів'!E77</f>
        <v>7641</v>
      </c>
      <c r="G105" s="216">
        <f>E110</f>
        <v>12371.716666666674</v>
      </c>
      <c r="H105" s="216">
        <f>G110</f>
        <v>16942.716666666674</v>
      </c>
      <c r="I105" s="216">
        <f>H110</f>
        <v>21755.716666666674</v>
      </c>
      <c r="J105" s="216">
        <f>I110</f>
        <v>26823.716666666674</v>
      </c>
    </row>
    <row r="106" spans="1:10" ht="37.5">
      <c r="A106" s="224" t="s">
        <v>161</v>
      </c>
      <c r="B106" s="214">
        <f>'ІІІ. Рух грош. коштів'!B26</f>
        <v>3090</v>
      </c>
      <c r="C106" s="216">
        <f>'ІІІ. Рух грош. коштів'!C26</f>
        <v>632</v>
      </c>
      <c r="D106" s="216">
        <f>'ІІІ. Рух грош. коштів'!D26</f>
        <v>1856</v>
      </c>
      <c r="E106" s="216">
        <f>'ІІІ. Рух грош. коштів'!I26</f>
        <v>5625.0500000000065</v>
      </c>
      <c r="F106" s="216">
        <f>'ІІІ. Рух грош. коштів'!E26</f>
        <v>-156.33333333333121</v>
      </c>
      <c r="G106" s="217">
        <f>ROUND(E106*1.057,0)</f>
        <v>5946</v>
      </c>
      <c r="H106" s="217">
        <f>ROUND(G106*1.053,0)</f>
        <v>6261</v>
      </c>
      <c r="I106" s="217">
        <f>ROUND(H106*1.053,0)</f>
        <v>6593</v>
      </c>
      <c r="J106" s="217">
        <f t="shared" ref="J106:J109" si="13">ROUND(I106*1.053,0)</f>
        <v>6942</v>
      </c>
    </row>
    <row r="107" spans="1:10" ht="37.5">
      <c r="A107" s="224" t="s">
        <v>252</v>
      </c>
      <c r="B107" s="214">
        <f>'ІІІ. Рух грош. коштів'!B48</f>
        <v>3320</v>
      </c>
      <c r="C107" s="216">
        <f>'ІІІ. Рух грош. коштів'!C48</f>
        <v>-15873</v>
      </c>
      <c r="D107" s="216">
        <f>'ІІІ. Рух грош. коштів'!D48</f>
        <v>-2500</v>
      </c>
      <c r="E107" s="216">
        <f>'ІІІ. Рух грош. коштів'!I48</f>
        <v>-9462</v>
      </c>
      <c r="F107" s="216">
        <f>'ІІІ. Рух грош. коштів'!E48</f>
        <v>-10161</v>
      </c>
      <c r="G107" s="217">
        <f t="shared" ref="G107:G108" si="14">ROUND(E107*1.057,0)</f>
        <v>-10001</v>
      </c>
      <c r="H107" s="217">
        <f t="shared" ref="H107:I107" si="15">ROUND(G107*1.053,0)</f>
        <v>-10531</v>
      </c>
      <c r="I107" s="217">
        <f t="shared" si="15"/>
        <v>-11089</v>
      </c>
      <c r="J107" s="217">
        <f t="shared" si="13"/>
        <v>-11677</v>
      </c>
    </row>
    <row r="108" spans="1:10" ht="37.5">
      <c r="A108" s="224" t="s">
        <v>162</v>
      </c>
      <c r="B108" s="214">
        <f>'ІІІ. Рух грош. коштів'!B75</f>
        <v>3580</v>
      </c>
      <c r="C108" s="216">
        <f>'ІІІ. Рух грош. коштів'!C75</f>
        <v>-323</v>
      </c>
      <c r="D108" s="216">
        <f>'ІІІ. Рух грош. коштів'!D75</f>
        <v>2142</v>
      </c>
      <c r="E108" s="216">
        <f>'ІІІ. Рух грош. коштів'!I75</f>
        <v>8161</v>
      </c>
      <c r="F108" s="216">
        <f>'ІІІ. Рух грош. коштів'!E75</f>
        <v>10724</v>
      </c>
      <c r="G108" s="217">
        <f t="shared" si="14"/>
        <v>8626</v>
      </c>
      <c r="H108" s="217">
        <f t="shared" ref="H108:I108" si="16">ROUND(G108*1.053,0)</f>
        <v>9083</v>
      </c>
      <c r="I108" s="217">
        <f t="shared" si="16"/>
        <v>9564</v>
      </c>
      <c r="J108" s="217">
        <f t="shared" si="13"/>
        <v>10071</v>
      </c>
    </row>
    <row r="109" spans="1:10" ht="37.5">
      <c r="A109" s="224" t="s">
        <v>187</v>
      </c>
      <c r="B109" s="214">
        <f>'ІІІ. Рух грош. коштів'!B78</f>
        <v>3610</v>
      </c>
      <c r="C109" s="216">
        <f>'ІІІ. Рух грош. коштів'!C78</f>
        <v>0</v>
      </c>
      <c r="D109" s="216">
        <f>'ІІІ. Рух грош. коштів'!D78</f>
        <v>0</v>
      </c>
      <c r="E109" s="216">
        <f>'ІІІ. Рух грош. коштів'!I78</f>
        <v>0</v>
      </c>
      <c r="F109" s="216">
        <f>'ІІІ. Рух грош. коштів'!E78</f>
        <v>0</v>
      </c>
      <c r="G109" s="217">
        <f>ROUND(E109*1.057,0)</f>
        <v>0</v>
      </c>
      <c r="H109" s="217">
        <f>ROUND(G109*1.053,0)</f>
        <v>0</v>
      </c>
      <c r="I109" s="217">
        <f>ROUND(H109*1.053,0)</f>
        <v>0</v>
      </c>
      <c r="J109" s="217">
        <f t="shared" si="13"/>
        <v>0</v>
      </c>
    </row>
    <row r="110" spans="1:10" ht="20.100000000000001" customHeight="1">
      <c r="A110" s="226" t="s">
        <v>163</v>
      </c>
      <c r="B110" s="214">
        <f>'ІІІ. Рух грош. коштів'!B79</f>
        <v>3620</v>
      </c>
      <c r="C110" s="216">
        <f>'ІІІ. Рух грош. коштів'!C79</f>
        <v>7641</v>
      </c>
      <c r="D110" s="216">
        <f>'ІІІ. Рух грош. коштів'!D79</f>
        <v>6572</v>
      </c>
      <c r="E110" s="216">
        <f>'ІІІ. Рух грош. коштів'!I79</f>
        <v>12371.716666666674</v>
      </c>
      <c r="F110" s="216">
        <f>'ІІІ. Рух грош. коштів'!E79</f>
        <v>8047.6666666666688</v>
      </c>
      <c r="G110" s="216">
        <f>SUM(G105:G109)</f>
        <v>16942.716666666674</v>
      </c>
      <c r="H110" s="216">
        <f>SUM(H105:H109)</f>
        <v>21755.716666666674</v>
      </c>
      <c r="I110" s="216">
        <f>SUM(I105:I109)</f>
        <v>26823.716666666674</v>
      </c>
      <c r="J110" s="216">
        <f>SUM(J105:J109)</f>
        <v>32159.716666666674</v>
      </c>
    </row>
    <row r="111" spans="1:10" ht="24.95" customHeight="1">
      <c r="A111" s="357" t="s">
        <v>231</v>
      </c>
      <c r="B111" s="358"/>
      <c r="C111" s="358"/>
      <c r="D111" s="358"/>
      <c r="E111" s="358"/>
      <c r="F111" s="358"/>
      <c r="G111" s="358"/>
      <c r="H111" s="358"/>
      <c r="I111" s="358"/>
      <c r="J111" s="359"/>
    </row>
    <row r="112" spans="1:10" ht="20.100000000000001" customHeight="1">
      <c r="A112" s="224" t="s">
        <v>230</v>
      </c>
      <c r="B112" s="214">
        <v>4000</v>
      </c>
      <c r="C112" s="216">
        <f>'IV. Кап. інвестиції1'!C6</f>
        <v>13227</v>
      </c>
      <c r="D112" s="216">
        <f>'IV. Кап. інвестиції1'!D6</f>
        <v>2083</v>
      </c>
      <c r="E112" s="216">
        <f>'IV. Кап. інвестиції1'!I6</f>
        <v>7995</v>
      </c>
      <c r="F112" s="334">
        <f>'IV. Кап. інвестиції1'!E6</f>
        <v>8751</v>
      </c>
      <c r="G112" s="217">
        <f>ROUND(E112*1.057,0)</f>
        <v>8451</v>
      </c>
      <c r="H112" s="217">
        <f>ROUND(G112*1.053,0)</f>
        <v>8899</v>
      </c>
      <c r="I112" s="217">
        <f>ROUND(H112*1.053,0)</f>
        <v>9371</v>
      </c>
      <c r="J112" s="217">
        <f t="shared" ref="J112" si="17">ROUND(I112*1.053,0)</f>
        <v>9868</v>
      </c>
    </row>
    <row r="113" spans="1:10" ht="24.95" customHeight="1">
      <c r="A113" s="362" t="s">
        <v>234</v>
      </c>
      <c r="B113" s="363"/>
      <c r="C113" s="363"/>
      <c r="D113" s="363"/>
      <c r="E113" s="363"/>
      <c r="F113" s="363"/>
      <c r="G113" s="363"/>
      <c r="H113" s="363"/>
      <c r="I113" s="363"/>
      <c r="J113" s="364"/>
    </row>
    <row r="114" spans="1:10" ht="20.100000000000001" customHeight="1">
      <c r="A114" s="224" t="s">
        <v>190</v>
      </c>
      <c r="B114" s="214">
        <v>5020</v>
      </c>
      <c r="C114" s="221">
        <f>'V. коеф'!D9</f>
        <v>4.6573519627411842E-3</v>
      </c>
      <c r="D114" s="227">
        <f>D95/D121</f>
        <v>5.5601148953631514E-3</v>
      </c>
      <c r="E114" s="227">
        <f>'V. коеф'!G9</f>
        <v>5.1447178002894667E-3</v>
      </c>
      <c r="F114" s="221">
        <f>'V. коеф'!F9</f>
        <v>2.1097294836167312E-3</v>
      </c>
      <c r="G114" s="228" t="s">
        <v>243</v>
      </c>
      <c r="H114" s="228" t="s">
        <v>243</v>
      </c>
      <c r="I114" s="228" t="s">
        <v>243</v>
      </c>
      <c r="J114" s="228" t="s">
        <v>243</v>
      </c>
    </row>
    <row r="115" spans="1:10" ht="37.5">
      <c r="A115" s="224" t="s">
        <v>185</v>
      </c>
      <c r="B115" s="214">
        <v>5030</v>
      </c>
      <c r="C115" s="221">
        <f>'V. коеф'!D10</f>
        <v>4.9842335469433424E-3</v>
      </c>
      <c r="D115" s="227">
        <f>D95/D127</f>
        <v>6.3042315118524202E-3</v>
      </c>
      <c r="E115" s="227">
        <f>'V. коеф'!G10</f>
        <v>6.1362459484858734E-3</v>
      </c>
      <c r="F115" s="221">
        <f>'V. коеф'!F10</f>
        <v>2.4140269562600855E-3</v>
      </c>
      <c r="G115" s="228" t="s">
        <v>243</v>
      </c>
      <c r="H115" s="228" t="s">
        <v>243</v>
      </c>
      <c r="I115" s="228" t="s">
        <v>243</v>
      </c>
      <c r="J115" s="228" t="s">
        <v>243</v>
      </c>
    </row>
    <row r="116" spans="1:10" ht="20.100000000000001" customHeight="1">
      <c r="A116" s="224" t="s">
        <v>250</v>
      </c>
      <c r="B116" s="214">
        <v>5110</v>
      </c>
      <c r="C116" s="222">
        <f>'V. коеф'!D14</f>
        <v>14.247826086956522</v>
      </c>
      <c r="D116" s="222">
        <f>D127/(D122+D123)</f>
        <v>7.4721015122544756</v>
      </c>
      <c r="E116" s="222">
        <f>'V. коеф'!G14</f>
        <v>5.1886754900985173</v>
      </c>
      <c r="F116" s="222">
        <f>'V. коеф'!F14</f>
        <v>6.9331153666510978</v>
      </c>
      <c r="G116" s="228" t="s">
        <v>243</v>
      </c>
      <c r="H116" s="228" t="s">
        <v>243</v>
      </c>
      <c r="I116" s="228" t="s">
        <v>243</v>
      </c>
      <c r="J116" s="228" t="s">
        <v>243</v>
      </c>
    </row>
    <row r="117" spans="1:10" ht="24.95" customHeight="1">
      <c r="A117" s="375" t="s">
        <v>233</v>
      </c>
      <c r="B117" s="376"/>
      <c r="C117" s="376"/>
      <c r="D117" s="376"/>
      <c r="E117" s="376"/>
      <c r="F117" s="376"/>
      <c r="G117" s="376"/>
      <c r="H117" s="376"/>
      <c r="I117" s="376"/>
      <c r="J117" s="377"/>
    </row>
    <row r="118" spans="1:10" ht="20.100000000000001" customHeight="1">
      <c r="A118" s="224" t="s">
        <v>164</v>
      </c>
      <c r="B118" s="214">
        <v>6000</v>
      </c>
      <c r="C118" s="217">
        <v>90641</v>
      </c>
      <c r="D118" s="217">
        <v>51579</v>
      </c>
      <c r="E118" s="216">
        <f>F118-'I. Фін результат'!I160</f>
        <v>77204.800000000003</v>
      </c>
      <c r="F118" s="132">
        <f>135812-'I. Фін результат'!E160</f>
        <v>106870</v>
      </c>
      <c r="G118" s="229" t="s">
        <v>243</v>
      </c>
      <c r="H118" s="229" t="s">
        <v>243</v>
      </c>
      <c r="I118" s="229" t="s">
        <v>243</v>
      </c>
      <c r="J118" s="229" t="s">
        <v>243</v>
      </c>
    </row>
    <row r="119" spans="1:10" ht="20.100000000000001" customHeight="1">
      <c r="A119" s="224" t="s">
        <v>165</v>
      </c>
      <c r="B119" s="214">
        <v>6010</v>
      </c>
      <c r="C119" s="217">
        <v>14569</v>
      </c>
      <c r="D119" s="217">
        <v>45901</v>
      </c>
      <c r="E119" s="217">
        <f>E127+E124-E118</f>
        <v>109365.2</v>
      </c>
      <c r="F119" s="217">
        <f>F127+F124-F118</f>
        <v>62978</v>
      </c>
      <c r="G119" s="229" t="s">
        <v>243</v>
      </c>
      <c r="H119" s="229" t="s">
        <v>243</v>
      </c>
      <c r="I119" s="229" t="s">
        <v>243</v>
      </c>
      <c r="J119" s="229" t="s">
        <v>243</v>
      </c>
    </row>
    <row r="120" spans="1:10" ht="37.5">
      <c r="A120" s="224" t="s">
        <v>279</v>
      </c>
      <c r="B120" s="214">
        <v>6020</v>
      </c>
      <c r="C120" s="217">
        <f>'ІІІ. Рух грош. коштів'!C79</f>
        <v>7641</v>
      </c>
      <c r="D120" s="217">
        <f>'ІІІ. Рух грош. коштів'!D79</f>
        <v>6572</v>
      </c>
      <c r="E120" s="217">
        <f>'ІІІ. Рух грош. коштів'!I79</f>
        <v>12371.716666666674</v>
      </c>
      <c r="F120" s="132">
        <f>'ІІІ. Рух грош. коштів'!E79</f>
        <v>8047.6666666666688</v>
      </c>
      <c r="G120" s="229" t="s">
        <v>243</v>
      </c>
      <c r="H120" s="229" t="s">
        <v>243</v>
      </c>
      <c r="I120" s="229" t="s">
        <v>243</v>
      </c>
      <c r="J120" s="229" t="s">
        <v>243</v>
      </c>
    </row>
    <row r="121" spans="1:10" s="189" customFormat="1" ht="20.100000000000001" customHeight="1">
      <c r="A121" s="226" t="s">
        <v>283</v>
      </c>
      <c r="B121" s="214">
        <v>6030</v>
      </c>
      <c r="C121" s="217">
        <f>C118+C119</f>
        <v>105210</v>
      </c>
      <c r="D121" s="217">
        <f>D118+D119</f>
        <v>97480</v>
      </c>
      <c r="E121" s="217">
        <f>E118+E119</f>
        <v>186570</v>
      </c>
      <c r="F121" s="132">
        <f>F118+F119</f>
        <v>169848</v>
      </c>
      <c r="G121" s="229" t="s">
        <v>243</v>
      </c>
      <c r="H121" s="229" t="s">
        <v>243</v>
      </c>
      <c r="I121" s="229" t="s">
        <v>243</v>
      </c>
      <c r="J121" s="229" t="s">
        <v>243</v>
      </c>
    </row>
    <row r="122" spans="1:10" ht="20.100000000000001" customHeight="1">
      <c r="A122" s="224" t="s">
        <v>188</v>
      </c>
      <c r="B122" s="214">
        <v>6040</v>
      </c>
      <c r="C122" s="217">
        <v>487</v>
      </c>
      <c r="D122" s="217">
        <v>1100</v>
      </c>
      <c r="E122" s="217">
        <f>'I. Фін результат'!I41</f>
        <v>1600</v>
      </c>
      <c r="F122" s="132">
        <f>'I. Фін результат'!E41</f>
        <v>0</v>
      </c>
      <c r="G122" s="229" t="s">
        <v>243</v>
      </c>
      <c r="H122" s="229" t="s">
        <v>243</v>
      </c>
      <c r="I122" s="229" t="s">
        <v>243</v>
      </c>
      <c r="J122" s="229" t="s">
        <v>243</v>
      </c>
    </row>
    <row r="123" spans="1:10" ht="20.100000000000001" customHeight="1">
      <c r="A123" s="224" t="s">
        <v>189</v>
      </c>
      <c r="B123" s="214">
        <v>6050</v>
      </c>
      <c r="C123" s="217">
        <v>6413</v>
      </c>
      <c r="D123" s="217">
        <v>10406</v>
      </c>
      <c r="E123" s="217">
        <v>28547</v>
      </c>
      <c r="F123" s="132">
        <f>21410</f>
        <v>21410</v>
      </c>
      <c r="G123" s="229" t="s">
        <v>243</v>
      </c>
      <c r="H123" s="229" t="s">
        <v>243</v>
      </c>
      <c r="I123" s="229" t="s">
        <v>243</v>
      </c>
      <c r="J123" s="229" t="s">
        <v>243</v>
      </c>
    </row>
    <row r="124" spans="1:10" s="189" customFormat="1" ht="20.100000000000001" customHeight="1">
      <c r="A124" s="226" t="s">
        <v>282</v>
      </c>
      <c r="B124" s="214">
        <v>6060</v>
      </c>
      <c r="C124" s="216">
        <f>C122+C123</f>
        <v>6900</v>
      </c>
      <c r="D124" s="216">
        <f>SUM(D122:D123)</f>
        <v>11506</v>
      </c>
      <c r="E124" s="216">
        <f>SUM(E122:E123)</f>
        <v>30147</v>
      </c>
      <c r="F124" s="326">
        <f>SUM(F122:F123)</f>
        <v>21410</v>
      </c>
      <c r="G124" s="229" t="s">
        <v>243</v>
      </c>
      <c r="H124" s="229" t="s">
        <v>243</v>
      </c>
      <c r="I124" s="229" t="s">
        <v>243</v>
      </c>
      <c r="J124" s="229" t="s">
        <v>243</v>
      </c>
    </row>
    <row r="125" spans="1:10" ht="20.100000000000001" customHeight="1">
      <c r="A125" s="224" t="s">
        <v>280</v>
      </c>
      <c r="B125" s="214">
        <v>6070</v>
      </c>
      <c r="C125" s="217"/>
      <c r="D125" s="217"/>
      <c r="E125" s="217"/>
      <c r="F125" s="132"/>
      <c r="G125" s="229" t="s">
        <v>243</v>
      </c>
      <c r="H125" s="229" t="s">
        <v>243</v>
      </c>
      <c r="I125" s="229" t="s">
        <v>243</v>
      </c>
      <c r="J125" s="229" t="s">
        <v>243</v>
      </c>
    </row>
    <row r="126" spans="1:10" ht="20.100000000000001" customHeight="1">
      <c r="A126" s="224" t="s">
        <v>281</v>
      </c>
      <c r="B126" s="214">
        <v>6080</v>
      </c>
      <c r="C126" s="217"/>
      <c r="D126" s="217"/>
      <c r="E126" s="217"/>
      <c r="F126" s="132"/>
      <c r="G126" s="229" t="s">
        <v>243</v>
      </c>
      <c r="H126" s="229" t="s">
        <v>243</v>
      </c>
      <c r="I126" s="229" t="s">
        <v>243</v>
      </c>
      <c r="J126" s="229" t="s">
        <v>243</v>
      </c>
    </row>
    <row r="127" spans="1:10" s="189" customFormat="1" ht="20.100000000000001" customHeight="1">
      <c r="A127" s="226" t="s">
        <v>166</v>
      </c>
      <c r="B127" s="214">
        <v>6090</v>
      </c>
      <c r="C127" s="217">
        <v>98310</v>
      </c>
      <c r="D127" s="217">
        <v>85974</v>
      </c>
      <c r="E127" s="216">
        <f>F127+7985</f>
        <v>156423</v>
      </c>
      <c r="F127" s="132">
        <f>148438</f>
        <v>148438</v>
      </c>
      <c r="G127" s="229" t="s">
        <v>243</v>
      </c>
      <c r="H127" s="229" t="s">
        <v>243</v>
      </c>
      <c r="I127" s="229" t="s">
        <v>243</v>
      </c>
      <c r="J127" s="229" t="s">
        <v>243</v>
      </c>
    </row>
    <row r="128" spans="1:10" s="189" customFormat="1" ht="20.100000000000001" customHeight="1">
      <c r="A128" s="197"/>
      <c r="B128" s="198"/>
      <c r="C128" s="155"/>
      <c r="D128" s="155"/>
      <c r="E128" s="199"/>
      <c r="F128" s="155"/>
      <c r="G128" s="200"/>
      <c r="H128" s="200"/>
      <c r="I128" s="200"/>
      <c r="J128" s="200"/>
    </row>
    <row r="129" spans="1:10" s="189" customFormat="1" ht="20.100000000000001" customHeight="1">
      <c r="A129" s="197"/>
      <c r="B129" s="198"/>
      <c r="C129" s="155"/>
      <c r="D129" s="155"/>
      <c r="E129" s="199"/>
      <c r="F129" s="155"/>
      <c r="G129" s="200"/>
      <c r="H129" s="200"/>
      <c r="I129" s="200"/>
      <c r="J129" s="200"/>
    </row>
    <row r="130" spans="1:10" s="189" customFormat="1" ht="24.95" customHeight="1">
      <c r="A130" s="49"/>
      <c r="B130" s="175"/>
      <c r="C130" s="96"/>
      <c r="D130" s="97"/>
      <c r="E130" s="97"/>
      <c r="F130" s="97"/>
      <c r="G130" s="176"/>
      <c r="H130" s="176"/>
      <c r="I130" s="176"/>
      <c r="J130" s="176"/>
    </row>
    <row r="131" spans="1:10" ht="24.95" customHeight="1">
      <c r="A131" s="182"/>
      <c r="B131" s="175"/>
      <c r="C131" s="176"/>
      <c r="D131" s="99"/>
      <c r="E131" s="99"/>
      <c r="F131" s="99"/>
      <c r="G131" s="99"/>
      <c r="H131" s="99"/>
      <c r="I131" s="99"/>
      <c r="J131" s="99"/>
    </row>
    <row r="132" spans="1:10">
      <c r="A132" s="150" t="s">
        <v>603</v>
      </c>
      <c r="B132" s="101"/>
      <c r="C132" s="382" t="s">
        <v>115</v>
      </c>
      <c r="D132" s="383"/>
      <c r="E132" s="383"/>
      <c r="F132" s="383"/>
      <c r="G132" s="102"/>
      <c r="H132" s="384" t="s">
        <v>604</v>
      </c>
      <c r="I132" s="384"/>
      <c r="J132" s="384"/>
    </row>
    <row r="133" spans="1:10" s="1" customFormat="1" ht="21" customHeight="1">
      <c r="A133" s="175" t="s">
        <v>80</v>
      </c>
      <c r="B133" s="196"/>
      <c r="C133" s="365" t="s">
        <v>81</v>
      </c>
      <c r="D133" s="365"/>
      <c r="E133" s="365"/>
      <c r="F133" s="365"/>
      <c r="G133" s="103"/>
      <c r="H133" s="366" t="s">
        <v>111</v>
      </c>
      <c r="I133" s="366"/>
      <c r="J133" s="366"/>
    </row>
    <row r="135" spans="1:10">
      <c r="A135" s="39"/>
    </row>
    <row r="136" spans="1:10">
      <c r="A136" s="39"/>
    </row>
    <row r="137" spans="1:10">
      <c r="A137" s="39"/>
    </row>
    <row r="138" spans="1:10" s="16" customFormat="1">
      <c r="A138" s="39"/>
      <c r="G138" s="186"/>
      <c r="H138" s="186"/>
      <c r="I138" s="186"/>
      <c r="J138" s="186"/>
    </row>
    <row r="139" spans="1:10" s="16" customFormat="1">
      <c r="A139" s="39"/>
      <c r="G139" s="186"/>
      <c r="H139" s="186"/>
      <c r="I139" s="186"/>
      <c r="J139" s="186"/>
    </row>
    <row r="140" spans="1:10" s="16" customFormat="1">
      <c r="A140" s="39"/>
      <c r="G140" s="186"/>
      <c r="H140" s="186"/>
      <c r="I140" s="186"/>
      <c r="J140" s="186"/>
    </row>
    <row r="141" spans="1:10" s="16" customFormat="1">
      <c r="A141" s="39"/>
      <c r="G141" s="186"/>
      <c r="H141" s="186"/>
      <c r="I141" s="186"/>
      <c r="J141" s="186"/>
    </row>
    <row r="142" spans="1:10" s="16" customFormat="1">
      <c r="A142" s="39"/>
      <c r="G142" s="186"/>
      <c r="H142" s="186"/>
      <c r="I142" s="186"/>
      <c r="J142" s="186"/>
    </row>
    <row r="143" spans="1:10" s="16" customFormat="1">
      <c r="A143" s="39"/>
      <c r="G143" s="186"/>
      <c r="H143" s="186"/>
      <c r="I143" s="186"/>
      <c r="J143" s="186"/>
    </row>
    <row r="144" spans="1:10" s="16" customFormat="1">
      <c r="A144" s="39"/>
      <c r="G144" s="186"/>
      <c r="H144" s="186"/>
      <c r="I144" s="186"/>
      <c r="J144" s="186"/>
    </row>
    <row r="145" spans="1:10" s="16" customFormat="1">
      <c r="A145" s="39"/>
      <c r="G145" s="186"/>
      <c r="H145" s="186"/>
      <c r="I145" s="186"/>
      <c r="J145" s="186"/>
    </row>
    <row r="146" spans="1:10" s="16" customFormat="1">
      <c r="A146" s="39"/>
      <c r="G146" s="186"/>
      <c r="H146" s="186"/>
      <c r="I146" s="186"/>
      <c r="J146" s="186"/>
    </row>
    <row r="147" spans="1:10" s="16" customFormat="1">
      <c r="A147" s="39"/>
      <c r="G147" s="186"/>
      <c r="H147" s="186"/>
      <c r="I147" s="186"/>
      <c r="J147" s="186"/>
    </row>
    <row r="148" spans="1:10" s="16" customFormat="1">
      <c r="A148" s="39"/>
      <c r="G148" s="186"/>
      <c r="H148" s="186"/>
      <c r="I148" s="186"/>
      <c r="J148" s="186"/>
    </row>
    <row r="149" spans="1:10" s="16" customFormat="1">
      <c r="A149" s="39"/>
      <c r="G149" s="186"/>
      <c r="H149" s="186"/>
      <c r="I149" s="186"/>
      <c r="J149" s="186"/>
    </row>
    <row r="150" spans="1:10" s="16" customFormat="1">
      <c r="A150" s="39"/>
      <c r="G150" s="186"/>
      <c r="H150" s="186"/>
      <c r="I150" s="186"/>
      <c r="J150" s="186"/>
    </row>
    <row r="151" spans="1:10" s="16" customFormat="1">
      <c r="A151" s="39"/>
      <c r="G151" s="186"/>
      <c r="H151" s="186"/>
      <c r="I151" s="186"/>
      <c r="J151" s="186"/>
    </row>
    <row r="152" spans="1:10" s="16" customFormat="1">
      <c r="A152" s="39"/>
      <c r="G152" s="186"/>
      <c r="H152" s="186"/>
      <c r="I152" s="186"/>
      <c r="J152" s="186"/>
    </row>
    <row r="153" spans="1:10" s="16" customFormat="1">
      <c r="A153" s="39"/>
      <c r="G153" s="186"/>
      <c r="H153" s="186"/>
      <c r="I153" s="186"/>
      <c r="J153" s="186"/>
    </row>
    <row r="154" spans="1:10" s="16" customFormat="1">
      <c r="A154" s="39"/>
      <c r="G154" s="186"/>
      <c r="H154" s="186"/>
      <c r="I154" s="186"/>
      <c r="J154" s="186"/>
    </row>
    <row r="155" spans="1:10" s="16" customFormat="1">
      <c r="A155" s="39"/>
      <c r="G155" s="186"/>
      <c r="H155" s="186"/>
      <c r="I155" s="186"/>
      <c r="J155" s="186"/>
    </row>
    <row r="156" spans="1:10" s="16" customFormat="1">
      <c r="A156" s="39"/>
      <c r="G156" s="186"/>
      <c r="H156" s="186"/>
      <c r="I156" s="186"/>
      <c r="J156" s="186"/>
    </row>
    <row r="157" spans="1:10" s="16" customFormat="1">
      <c r="A157" s="39"/>
      <c r="G157" s="186"/>
      <c r="H157" s="186"/>
      <c r="I157" s="186"/>
      <c r="J157" s="186"/>
    </row>
    <row r="158" spans="1:10" s="16" customFormat="1">
      <c r="A158" s="39"/>
      <c r="G158" s="186"/>
      <c r="H158" s="186"/>
      <c r="I158" s="186"/>
      <c r="J158" s="186"/>
    </row>
    <row r="159" spans="1:10" s="16" customFormat="1">
      <c r="A159" s="39"/>
      <c r="G159" s="186"/>
      <c r="H159" s="186"/>
      <c r="I159" s="186"/>
      <c r="J159" s="186"/>
    </row>
    <row r="160" spans="1:10" s="16" customFormat="1">
      <c r="A160" s="39"/>
      <c r="G160" s="186"/>
      <c r="H160" s="186"/>
      <c r="I160" s="186"/>
      <c r="J160" s="186"/>
    </row>
    <row r="161" spans="1:10" s="16" customFormat="1">
      <c r="A161" s="39"/>
      <c r="G161" s="186"/>
      <c r="H161" s="186"/>
      <c r="I161" s="186"/>
      <c r="J161" s="186"/>
    </row>
    <row r="162" spans="1:10" s="16" customFormat="1">
      <c r="A162" s="39"/>
      <c r="G162" s="186"/>
      <c r="H162" s="186"/>
      <c r="I162" s="186"/>
      <c r="J162" s="186"/>
    </row>
    <row r="163" spans="1:10" s="16" customFormat="1">
      <c r="A163" s="39"/>
      <c r="G163" s="186"/>
      <c r="H163" s="186"/>
      <c r="I163" s="186"/>
      <c r="J163" s="186"/>
    </row>
    <row r="164" spans="1:10" s="16" customFormat="1">
      <c r="A164" s="39"/>
      <c r="G164" s="186"/>
      <c r="H164" s="186"/>
      <c r="I164" s="186"/>
      <c r="J164" s="186"/>
    </row>
    <row r="165" spans="1:10" s="16" customFormat="1">
      <c r="A165" s="39"/>
      <c r="G165" s="186"/>
      <c r="H165" s="186"/>
      <c r="I165" s="186"/>
      <c r="J165" s="186"/>
    </row>
    <row r="166" spans="1:10" s="16" customFormat="1">
      <c r="A166" s="39"/>
      <c r="G166" s="186"/>
      <c r="H166" s="186"/>
      <c r="I166" s="186"/>
      <c r="J166" s="186"/>
    </row>
    <row r="167" spans="1:10" s="16" customFormat="1">
      <c r="A167" s="39"/>
      <c r="G167" s="186"/>
      <c r="H167" s="186"/>
      <c r="I167" s="186"/>
      <c r="J167" s="186"/>
    </row>
    <row r="168" spans="1:10" s="16" customFormat="1">
      <c r="A168" s="39"/>
      <c r="G168" s="186"/>
      <c r="H168" s="186"/>
      <c r="I168" s="186"/>
      <c r="J168" s="186"/>
    </row>
    <row r="169" spans="1:10" s="16" customFormat="1">
      <c r="A169" s="39"/>
      <c r="G169" s="186"/>
      <c r="H169" s="186"/>
      <c r="I169" s="186"/>
      <c r="J169" s="186"/>
    </row>
    <row r="170" spans="1:10" s="16" customFormat="1">
      <c r="A170" s="39"/>
      <c r="G170" s="186"/>
      <c r="H170" s="186"/>
      <c r="I170" s="186"/>
      <c r="J170" s="186"/>
    </row>
    <row r="171" spans="1:10" s="16" customFormat="1">
      <c r="A171" s="39"/>
      <c r="G171" s="186"/>
      <c r="H171" s="186"/>
      <c r="I171" s="186"/>
      <c r="J171" s="186"/>
    </row>
    <row r="172" spans="1:10" s="16" customFormat="1">
      <c r="A172" s="39"/>
      <c r="G172" s="186"/>
      <c r="H172" s="186"/>
      <c r="I172" s="186"/>
      <c r="J172" s="186"/>
    </row>
    <row r="173" spans="1:10" s="16" customFormat="1">
      <c r="A173" s="39"/>
      <c r="G173" s="186"/>
      <c r="H173" s="186"/>
      <c r="I173" s="186"/>
      <c r="J173" s="186"/>
    </row>
    <row r="174" spans="1:10" s="16" customFormat="1">
      <c r="A174" s="39"/>
      <c r="G174" s="186"/>
      <c r="H174" s="186"/>
      <c r="I174" s="186"/>
      <c r="J174" s="186"/>
    </row>
    <row r="175" spans="1:10" s="16" customFormat="1">
      <c r="A175" s="39"/>
      <c r="G175" s="186"/>
      <c r="H175" s="186"/>
      <c r="I175" s="186"/>
      <c r="J175" s="186"/>
    </row>
    <row r="176" spans="1:10" s="16" customFormat="1">
      <c r="A176" s="39"/>
      <c r="G176" s="186"/>
      <c r="H176" s="186"/>
      <c r="I176" s="186"/>
      <c r="J176" s="186"/>
    </row>
    <row r="177" spans="1:10" s="16" customFormat="1">
      <c r="A177" s="39"/>
      <c r="G177" s="186"/>
      <c r="H177" s="186"/>
      <c r="I177" s="186"/>
      <c r="J177" s="186"/>
    </row>
    <row r="178" spans="1:10" s="16" customFormat="1">
      <c r="A178" s="39"/>
      <c r="G178" s="186"/>
      <c r="H178" s="186"/>
      <c r="I178" s="186"/>
      <c r="J178" s="186"/>
    </row>
    <row r="179" spans="1:10" s="16" customFormat="1">
      <c r="A179" s="39"/>
      <c r="G179" s="186"/>
      <c r="H179" s="186"/>
      <c r="I179" s="186"/>
      <c r="J179" s="186"/>
    </row>
    <row r="180" spans="1:10" s="16" customFormat="1">
      <c r="A180" s="39"/>
      <c r="G180" s="186"/>
      <c r="H180" s="186"/>
      <c r="I180" s="186"/>
      <c r="J180" s="186"/>
    </row>
    <row r="181" spans="1:10" s="16" customFormat="1">
      <c r="A181" s="39"/>
      <c r="G181" s="186"/>
      <c r="H181" s="186"/>
      <c r="I181" s="186"/>
      <c r="J181" s="186"/>
    </row>
    <row r="182" spans="1:10" s="16" customFormat="1">
      <c r="A182" s="39"/>
      <c r="G182" s="186"/>
      <c r="H182" s="186"/>
      <c r="I182" s="186"/>
      <c r="J182" s="186"/>
    </row>
    <row r="183" spans="1:10" s="16" customFormat="1">
      <c r="A183" s="39"/>
      <c r="G183" s="186"/>
      <c r="H183" s="186"/>
      <c r="I183" s="186"/>
      <c r="J183" s="186"/>
    </row>
    <row r="184" spans="1:10" s="16" customFormat="1">
      <c r="A184" s="39"/>
      <c r="G184" s="186"/>
      <c r="H184" s="186"/>
      <c r="I184" s="186"/>
      <c r="J184" s="186"/>
    </row>
    <row r="185" spans="1:10" s="16" customFormat="1">
      <c r="A185" s="39"/>
      <c r="G185" s="186"/>
      <c r="H185" s="186"/>
      <c r="I185" s="186"/>
      <c r="J185" s="186"/>
    </row>
    <row r="186" spans="1:10" s="16" customFormat="1">
      <c r="A186" s="39"/>
      <c r="G186" s="186"/>
      <c r="H186" s="186"/>
      <c r="I186" s="186"/>
      <c r="J186" s="186"/>
    </row>
    <row r="187" spans="1:10" s="16" customFormat="1">
      <c r="A187" s="39"/>
      <c r="G187" s="186"/>
      <c r="H187" s="186"/>
      <c r="I187" s="186"/>
      <c r="J187" s="186"/>
    </row>
    <row r="188" spans="1:10" s="16" customFormat="1">
      <c r="A188" s="39"/>
      <c r="G188" s="186"/>
      <c r="H188" s="186"/>
      <c r="I188" s="186"/>
      <c r="J188" s="186"/>
    </row>
    <row r="189" spans="1:10" s="16" customFormat="1">
      <c r="A189" s="39"/>
      <c r="G189" s="186"/>
      <c r="H189" s="186"/>
      <c r="I189" s="186"/>
      <c r="J189" s="186"/>
    </row>
    <row r="190" spans="1:10" s="16" customFormat="1">
      <c r="A190" s="39"/>
      <c r="G190" s="186"/>
      <c r="H190" s="186"/>
      <c r="I190" s="186"/>
      <c r="J190" s="186"/>
    </row>
    <row r="191" spans="1:10" s="16" customFormat="1">
      <c r="A191" s="39"/>
      <c r="G191" s="186"/>
      <c r="H191" s="186"/>
      <c r="I191" s="186"/>
      <c r="J191" s="186"/>
    </row>
    <row r="192" spans="1:10" s="16" customFormat="1">
      <c r="A192" s="39"/>
      <c r="G192" s="186"/>
      <c r="H192" s="186"/>
      <c r="I192" s="186"/>
      <c r="J192" s="186"/>
    </row>
    <row r="193" spans="1:10" s="16" customFormat="1">
      <c r="A193" s="39"/>
      <c r="G193" s="186"/>
      <c r="H193" s="186"/>
      <c r="I193" s="186"/>
      <c r="J193" s="186"/>
    </row>
    <row r="194" spans="1:10" s="16" customFormat="1">
      <c r="A194" s="39"/>
      <c r="G194" s="186"/>
      <c r="H194" s="186"/>
      <c r="I194" s="186"/>
      <c r="J194" s="186"/>
    </row>
    <row r="195" spans="1:10" s="16" customFormat="1">
      <c r="A195" s="39"/>
      <c r="G195" s="186"/>
      <c r="H195" s="186"/>
      <c r="I195" s="186"/>
      <c r="J195" s="186"/>
    </row>
    <row r="196" spans="1:10" s="16" customFormat="1">
      <c r="A196" s="39"/>
      <c r="G196" s="186"/>
      <c r="H196" s="186"/>
      <c r="I196" s="186"/>
      <c r="J196" s="186"/>
    </row>
    <row r="197" spans="1:10" s="16" customFormat="1">
      <c r="A197" s="39"/>
      <c r="G197" s="186"/>
      <c r="H197" s="186"/>
      <c r="I197" s="186"/>
      <c r="J197" s="186"/>
    </row>
    <row r="198" spans="1:10" s="16" customFormat="1">
      <c r="A198" s="39"/>
      <c r="G198" s="186"/>
      <c r="H198" s="186"/>
      <c r="I198" s="186"/>
      <c r="J198" s="186"/>
    </row>
    <row r="199" spans="1:10" s="16" customFormat="1">
      <c r="A199" s="39"/>
      <c r="G199" s="186"/>
      <c r="H199" s="186"/>
      <c r="I199" s="186"/>
      <c r="J199" s="186"/>
    </row>
    <row r="200" spans="1:10" s="16" customFormat="1">
      <c r="A200" s="39"/>
      <c r="G200" s="186"/>
      <c r="H200" s="186"/>
      <c r="I200" s="186"/>
      <c r="J200" s="186"/>
    </row>
    <row r="201" spans="1:10" s="16" customFormat="1">
      <c r="A201" s="39"/>
      <c r="G201" s="186"/>
      <c r="H201" s="186"/>
      <c r="I201" s="186"/>
      <c r="J201" s="186"/>
    </row>
    <row r="202" spans="1:10" s="16" customFormat="1">
      <c r="A202" s="39"/>
      <c r="G202" s="186"/>
      <c r="H202" s="186"/>
      <c r="I202" s="186"/>
      <c r="J202" s="186"/>
    </row>
    <row r="203" spans="1:10" s="16" customFormat="1">
      <c r="A203" s="39"/>
      <c r="G203" s="186"/>
      <c r="H203" s="186"/>
      <c r="I203" s="186"/>
      <c r="J203" s="186"/>
    </row>
    <row r="204" spans="1:10" s="16" customFormat="1">
      <c r="A204" s="39"/>
      <c r="G204" s="186"/>
      <c r="H204" s="186"/>
      <c r="I204" s="186"/>
      <c r="J204" s="186"/>
    </row>
    <row r="205" spans="1:10" s="16" customFormat="1">
      <c r="A205" s="39"/>
      <c r="G205" s="186"/>
      <c r="H205" s="186"/>
      <c r="I205" s="186"/>
      <c r="J205" s="186"/>
    </row>
    <row r="206" spans="1:10" s="16" customFormat="1">
      <c r="A206" s="39"/>
      <c r="G206" s="186"/>
      <c r="H206" s="186"/>
      <c r="I206" s="186"/>
      <c r="J206" s="186"/>
    </row>
    <row r="207" spans="1:10" s="16" customFormat="1">
      <c r="A207" s="39"/>
      <c r="G207" s="186"/>
      <c r="H207" s="186"/>
      <c r="I207" s="186"/>
      <c r="J207" s="186"/>
    </row>
    <row r="208" spans="1:10" s="16" customFormat="1">
      <c r="A208" s="39"/>
      <c r="G208" s="186"/>
      <c r="H208" s="186"/>
      <c r="I208" s="186"/>
      <c r="J208" s="186"/>
    </row>
    <row r="209" spans="1:10" s="16" customFormat="1">
      <c r="A209" s="39"/>
      <c r="G209" s="186"/>
      <c r="H209" s="186"/>
      <c r="I209" s="186"/>
      <c r="J209" s="186"/>
    </row>
    <row r="210" spans="1:10" s="16" customFormat="1">
      <c r="A210" s="39"/>
      <c r="G210" s="186"/>
      <c r="H210" s="186"/>
      <c r="I210" s="186"/>
      <c r="J210" s="186"/>
    </row>
    <row r="211" spans="1:10" s="16" customFormat="1">
      <c r="A211" s="39"/>
      <c r="G211" s="186"/>
      <c r="H211" s="186"/>
      <c r="I211" s="186"/>
      <c r="J211" s="186"/>
    </row>
    <row r="212" spans="1:10" s="16" customFormat="1">
      <c r="A212" s="39"/>
      <c r="G212" s="186"/>
      <c r="H212" s="186"/>
      <c r="I212" s="186"/>
      <c r="J212" s="186"/>
    </row>
    <row r="213" spans="1:10" s="16" customFormat="1">
      <c r="A213" s="39"/>
      <c r="G213" s="186"/>
      <c r="H213" s="186"/>
      <c r="I213" s="186"/>
      <c r="J213" s="186"/>
    </row>
    <row r="214" spans="1:10" s="16" customFormat="1">
      <c r="A214" s="39"/>
      <c r="G214" s="186"/>
      <c r="H214" s="186"/>
      <c r="I214" s="186"/>
      <c r="J214" s="186"/>
    </row>
    <row r="215" spans="1:10" s="16" customFormat="1">
      <c r="A215" s="39"/>
      <c r="G215" s="186"/>
      <c r="H215" s="186"/>
      <c r="I215" s="186"/>
      <c r="J215" s="186"/>
    </row>
    <row r="216" spans="1:10" s="16" customFormat="1">
      <c r="A216" s="39"/>
      <c r="G216" s="186"/>
      <c r="H216" s="186"/>
      <c r="I216" s="186"/>
      <c r="J216" s="186"/>
    </row>
    <row r="217" spans="1:10" s="16" customFormat="1">
      <c r="A217" s="39"/>
      <c r="G217" s="186"/>
      <c r="H217" s="186"/>
      <c r="I217" s="186"/>
      <c r="J217" s="186"/>
    </row>
    <row r="218" spans="1:10" s="16" customFormat="1">
      <c r="A218" s="39"/>
      <c r="G218" s="186"/>
      <c r="H218" s="186"/>
      <c r="I218" s="186"/>
      <c r="J218" s="186"/>
    </row>
    <row r="219" spans="1:10" s="16" customFormat="1">
      <c r="A219" s="39"/>
      <c r="G219" s="186"/>
      <c r="H219" s="186"/>
      <c r="I219" s="186"/>
      <c r="J219" s="186"/>
    </row>
    <row r="220" spans="1:10" s="16" customFormat="1">
      <c r="A220" s="39"/>
      <c r="G220" s="186"/>
      <c r="H220" s="186"/>
      <c r="I220" s="186"/>
      <c r="J220" s="186"/>
    </row>
    <row r="221" spans="1:10" s="16" customFormat="1">
      <c r="A221" s="39"/>
      <c r="G221" s="186"/>
      <c r="H221" s="186"/>
      <c r="I221" s="186"/>
      <c r="J221" s="186"/>
    </row>
    <row r="222" spans="1:10" s="16" customFormat="1">
      <c r="A222" s="39"/>
      <c r="G222" s="186"/>
      <c r="H222" s="186"/>
      <c r="I222" s="186"/>
      <c r="J222" s="186"/>
    </row>
    <row r="223" spans="1:10" s="16" customFormat="1">
      <c r="A223" s="39"/>
      <c r="G223" s="186"/>
      <c r="H223" s="186"/>
      <c r="I223" s="186"/>
      <c r="J223" s="186"/>
    </row>
    <row r="224" spans="1:10" s="16" customFormat="1">
      <c r="A224" s="39"/>
      <c r="G224" s="186"/>
      <c r="H224" s="186"/>
      <c r="I224" s="186"/>
      <c r="J224" s="186"/>
    </row>
    <row r="225" spans="1:10" s="16" customFormat="1">
      <c r="A225" s="39"/>
      <c r="G225" s="186"/>
      <c r="H225" s="186"/>
      <c r="I225" s="186"/>
      <c r="J225" s="186"/>
    </row>
    <row r="226" spans="1:10" s="16" customFormat="1">
      <c r="A226" s="39"/>
      <c r="G226" s="186"/>
      <c r="H226" s="186"/>
      <c r="I226" s="186"/>
      <c r="J226" s="186"/>
    </row>
    <row r="227" spans="1:10" s="16" customFormat="1">
      <c r="A227" s="39"/>
      <c r="G227" s="186"/>
      <c r="H227" s="186"/>
      <c r="I227" s="186"/>
      <c r="J227" s="186"/>
    </row>
    <row r="228" spans="1:10" s="16" customFormat="1">
      <c r="A228" s="39"/>
      <c r="G228" s="186"/>
      <c r="H228" s="186"/>
      <c r="I228" s="186"/>
      <c r="J228" s="186"/>
    </row>
    <row r="229" spans="1:10" s="16" customFormat="1">
      <c r="A229" s="39"/>
      <c r="G229" s="186"/>
      <c r="H229" s="186"/>
      <c r="I229" s="186"/>
      <c r="J229" s="186"/>
    </row>
    <row r="230" spans="1:10" s="16" customFormat="1">
      <c r="A230" s="39"/>
      <c r="G230" s="186"/>
      <c r="H230" s="186"/>
      <c r="I230" s="186"/>
      <c r="J230" s="186"/>
    </row>
    <row r="231" spans="1:10" s="16" customFormat="1">
      <c r="A231" s="39"/>
      <c r="G231" s="186"/>
      <c r="H231" s="186"/>
      <c r="I231" s="186"/>
      <c r="J231" s="186"/>
    </row>
    <row r="232" spans="1:10" s="16" customFormat="1">
      <c r="A232" s="39"/>
      <c r="G232" s="186"/>
      <c r="H232" s="186"/>
      <c r="I232" s="186"/>
      <c r="J232" s="186"/>
    </row>
    <row r="233" spans="1:10" s="16" customFormat="1">
      <c r="A233" s="39"/>
      <c r="G233" s="186"/>
      <c r="H233" s="186"/>
      <c r="I233" s="186"/>
      <c r="J233" s="186"/>
    </row>
    <row r="234" spans="1:10" s="16" customFormat="1">
      <c r="A234" s="39"/>
      <c r="G234" s="186"/>
      <c r="H234" s="186"/>
      <c r="I234" s="186"/>
      <c r="J234" s="186"/>
    </row>
    <row r="235" spans="1:10" s="16" customFormat="1">
      <c r="A235" s="39"/>
      <c r="G235" s="186"/>
      <c r="H235" s="186"/>
      <c r="I235" s="186"/>
      <c r="J235" s="186"/>
    </row>
    <row r="236" spans="1:10" s="16" customFormat="1">
      <c r="A236" s="39"/>
      <c r="G236" s="186"/>
      <c r="H236" s="186"/>
      <c r="I236" s="186"/>
      <c r="J236" s="186"/>
    </row>
    <row r="237" spans="1:10" s="16" customFormat="1">
      <c r="A237" s="39"/>
      <c r="G237" s="186"/>
      <c r="H237" s="186"/>
      <c r="I237" s="186"/>
      <c r="J237" s="186"/>
    </row>
    <row r="238" spans="1:10" s="16" customFormat="1">
      <c r="A238" s="39"/>
      <c r="G238" s="186"/>
      <c r="H238" s="186"/>
      <c r="I238" s="186"/>
      <c r="J238" s="186"/>
    </row>
    <row r="239" spans="1:10" s="16" customFormat="1">
      <c r="A239" s="39"/>
      <c r="G239" s="186"/>
      <c r="H239" s="186"/>
      <c r="I239" s="186"/>
      <c r="J239" s="186"/>
    </row>
    <row r="240" spans="1:10" s="16" customFormat="1">
      <c r="A240" s="39"/>
      <c r="G240" s="186"/>
      <c r="H240" s="186"/>
      <c r="I240" s="186"/>
      <c r="J240" s="186"/>
    </row>
    <row r="241" spans="1:10" s="16" customFormat="1">
      <c r="A241" s="39"/>
      <c r="G241" s="186"/>
      <c r="H241" s="186"/>
      <c r="I241" s="186"/>
      <c r="J241" s="186"/>
    </row>
    <row r="242" spans="1:10" s="16" customFormat="1">
      <c r="A242" s="39"/>
      <c r="G242" s="186"/>
      <c r="H242" s="186"/>
      <c r="I242" s="186"/>
      <c r="J242" s="186"/>
    </row>
    <row r="243" spans="1:10" s="16" customFormat="1">
      <c r="A243" s="39"/>
      <c r="G243" s="186"/>
      <c r="H243" s="186"/>
      <c r="I243" s="186"/>
      <c r="J243" s="186"/>
    </row>
    <row r="244" spans="1:10" s="16" customFormat="1">
      <c r="A244" s="39"/>
      <c r="G244" s="186"/>
      <c r="H244" s="186"/>
      <c r="I244" s="186"/>
      <c r="J244" s="186"/>
    </row>
    <row r="245" spans="1:10" s="16" customFormat="1">
      <c r="A245" s="39"/>
      <c r="G245" s="186"/>
      <c r="H245" s="186"/>
      <c r="I245" s="186"/>
      <c r="J245" s="186"/>
    </row>
    <row r="246" spans="1:10" s="16" customFormat="1">
      <c r="A246" s="39"/>
      <c r="G246" s="186"/>
      <c r="H246" s="186"/>
      <c r="I246" s="186"/>
      <c r="J246" s="186"/>
    </row>
    <row r="247" spans="1:10" s="16" customFormat="1">
      <c r="A247" s="39"/>
      <c r="G247" s="186"/>
      <c r="H247" s="186"/>
      <c r="I247" s="186"/>
      <c r="J247" s="186"/>
    </row>
    <row r="248" spans="1:10" s="16" customFormat="1">
      <c r="A248" s="39"/>
      <c r="G248" s="186"/>
      <c r="H248" s="186"/>
      <c r="I248" s="186"/>
      <c r="J248" s="186"/>
    </row>
    <row r="249" spans="1:10" s="16" customFormat="1">
      <c r="A249" s="39"/>
      <c r="G249" s="186"/>
      <c r="H249" s="186"/>
      <c r="I249" s="186"/>
      <c r="J249" s="186"/>
    </row>
    <row r="250" spans="1:10" s="16" customFormat="1">
      <c r="A250" s="39"/>
      <c r="G250" s="186"/>
      <c r="H250" s="186"/>
      <c r="I250" s="186"/>
      <c r="J250" s="186"/>
    </row>
    <row r="251" spans="1:10" s="16" customFormat="1">
      <c r="A251" s="39"/>
      <c r="G251" s="186"/>
      <c r="H251" s="186"/>
      <c r="I251" s="186"/>
      <c r="J251" s="186"/>
    </row>
    <row r="252" spans="1:10" s="16" customFormat="1">
      <c r="A252" s="39"/>
      <c r="G252" s="186"/>
      <c r="H252" s="186"/>
      <c r="I252" s="186"/>
      <c r="J252" s="186"/>
    </row>
    <row r="253" spans="1:10" s="16" customFormat="1">
      <c r="A253" s="39"/>
      <c r="G253" s="186"/>
      <c r="H253" s="186"/>
      <c r="I253" s="186"/>
      <c r="J253" s="186"/>
    </row>
    <row r="254" spans="1:10" s="16" customFormat="1">
      <c r="A254" s="39"/>
      <c r="G254" s="186"/>
      <c r="H254" s="186"/>
      <c r="I254" s="186"/>
      <c r="J254" s="186"/>
    </row>
    <row r="255" spans="1:10" s="16" customFormat="1">
      <c r="A255" s="39"/>
      <c r="G255" s="186"/>
      <c r="H255" s="186"/>
      <c r="I255" s="186"/>
      <c r="J255" s="186"/>
    </row>
    <row r="256" spans="1:10" s="16" customFormat="1">
      <c r="A256" s="39"/>
      <c r="G256" s="186"/>
      <c r="H256" s="186"/>
      <c r="I256" s="186"/>
      <c r="J256" s="186"/>
    </row>
    <row r="257" spans="1:10" s="16" customFormat="1">
      <c r="A257" s="39"/>
      <c r="G257" s="186"/>
      <c r="H257" s="186"/>
      <c r="I257" s="186"/>
      <c r="J257" s="186"/>
    </row>
    <row r="258" spans="1:10" s="16" customFormat="1">
      <c r="A258" s="39"/>
      <c r="G258" s="186"/>
      <c r="H258" s="186"/>
      <c r="I258" s="186"/>
      <c r="J258" s="186"/>
    </row>
    <row r="259" spans="1:10" s="16" customFormat="1">
      <c r="A259" s="39"/>
      <c r="G259" s="186"/>
      <c r="H259" s="186"/>
      <c r="I259" s="186"/>
      <c r="J259" s="186"/>
    </row>
    <row r="260" spans="1:10" s="16" customFormat="1">
      <c r="A260" s="39"/>
      <c r="G260" s="186"/>
      <c r="H260" s="186"/>
      <c r="I260" s="186"/>
      <c r="J260" s="186"/>
    </row>
    <row r="261" spans="1:10" s="16" customFormat="1">
      <c r="A261" s="39"/>
      <c r="G261" s="186"/>
      <c r="H261" s="186"/>
      <c r="I261" s="186"/>
      <c r="J261" s="186"/>
    </row>
    <row r="262" spans="1:10" s="16" customFormat="1">
      <c r="A262" s="39"/>
      <c r="G262" s="186"/>
      <c r="H262" s="186"/>
      <c r="I262" s="186"/>
      <c r="J262" s="186"/>
    </row>
    <row r="263" spans="1:10" s="16" customFormat="1">
      <c r="A263" s="39"/>
      <c r="G263" s="186"/>
      <c r="H263" s="186"/>
      <c r="I263" s="186"/>
      <c r="J263" s="186"/>
    </row>
    <row r="264" spans="1:10" s="16" customFormat="1">
      <c r="A264" s="39"/>
      <c r="G264" s="186"/>
      <c r="H264" s="186"/>
      <c r="I264" s="186"/>
      <c r="J264" s="186"/>
    </row>
    <row r="265" spans="1:10" s="16" customFormat="1">
      <c r="A265" s="39"/>
      <c r="G265" s="186"/>
      <c r="H265" s="186"/>
      <c r="I265" s="186"/>
      <c r="J265" s="186"/>
    </row>
    <row r="266" spans="1:10" s="16" customFormat="1">
      <c r="A266" s="39"/>
      <c r="G266" s="186"/>
      <c r="H266" s="186"/>
      <c r="I266" s="186"/>
      <c r="J266" s="186"/>
    </row>
    <row r="267" spans="1:10" s="16" customFormat="1">
      <c r="A267" s="39"/>
      <c r="G267" s="186"/>
      <c r="H267" s="186"/>
      <c r="I267" s="186"/>
      <c r="J267" s="186"/>
    </row>
    <row r="268" spans="1:10" s="16" customFormat="1">
      <c r="A268" s="39"/>
      <c r="G268" s="186"/>
      <c r="H268" s="186"/>
      <c r="I268" s="186"/>
      <c r="J268" s="186"/>
    </row>
    <row r="269" spans="1:10" s="16" customFormat="1">
      <c r="A269" s="39"/>
      <c r="G269" s="186"/>
      <c r="H269" s="186"/>
      <c r="I269" s="186"/>
      <c r="J269" s="186"/>
    </row>
    <row r="270" spans="1:10" s="16" customFormat="1">
      <c r="A270" s="39"/>
      <c r="G270" s="186"/>
      <c r="H270" s="186"/>
      <c r="I270" s="186"/>
      <c r="J270" s="186"/>
    </row>
    <row r="271" spans="1:10" s="16" customFormat="1">
      <c r="A271" s="39"/>
      <c r="G271" s="186"/>
      <c r="H271" s="186"/>
      <c r="I271" s="186"/>
      <c r="J271" s="186"/>
    </row>
    <row r="272" spans="1:10" s="16" customFormat="1">
      <c r="A272" s="39"/>
      <c r="G272" s="186"/>
      <c r="H272" s="186"/>
      <c r="I272" s="186"/>
      <c r="J272" s="186"/>
    </row>
    <row r="273" spans="1:10" s="16" customFormat="1">
      <c r="A273" s="39"/>
      <c r="G273" s="186"/>
      <c r="H273" s="186"/>
      <c r="I273" s="186"/>
      <c r="J273" s="186"/>
    </row>
    <row r="274" spans="1:10" s="16" customFormat="1">
      <c r="A274" s="39"/>
      <c r="G274" s="186"/>
      <c r="H274" s="186"/>
      <c r="I274" s="186"/>
      <c r="J274" s="186"/>
    </row>
    <row r="275" spans="1:10" s="16" customFormat="1">
      <c r="A275" s="39"/>
      <c r="G275" s="186"/>
      <c r="H275" s="186"/>
      <c r="I275" s="186"/>
      <c r="J275" s="186"/>
    </row>
    <row r="276" spans="1:10" s="16" customFormat="1">
      <c r="A276" s="39"/>
      <c r="G276" s="186"/>
      <c r="H276" s="186"/>
      <c r="I276" s="186"/>
      <c r="J276" s="186"/>
    </row>
    <row r="277" spans="1:10" s="16" customFormat="1">
      <c r="A277" s="39"/>
      <c r="G277" s="186"/>
      <c r="H277" s="186"/>
      <c r="I277" s="186"/>
      <c r="J277" s="186"/>
    </row>
    <row r="278" spans="1:10" s="16" customFormat="1">
      <c r="A278" s="39"/>
      <c r="G278" s="186"/>
      <c r="H278" s="186"/>
      <c r="I278" s="186"/>
      <c r="J278" s="186"/>
    </row>
    <row r="279" spans="1:10" s="16" customFormat="1">
      <c r="A279" s="39"/>
      <c r="G279" s="186"/>
      <c r="H279" s="186"/>
      <c r="I279" s="186"/>
      <c r="J279" s="186"/>
    </row>
    <row r="280" spans="1:10" s="16" customFormat="1">
      <c r="A280" s="39"/>
      <c r="G280" s="186"/>
      <c r="H280" s="186"/>
      <c r="I280" s="186"/>
      <c r="J280" s="186"/>
    </row>
    <row r="281" spans="1:10" s="16" customFormat="1">
      <c r="A281" s="39"/>
      <c r="G281" s="186"/>
      <c r="H281" s="186"/>
      <c r="I281" s="186"/>
      <c r="J281" s="186"/>
    </row>
    <row r="282" spans="1:10" s="16" customFormat="1">
      <c r="A282" s="39"/>
      <c r="G282" s="186"/>
      <c r="H282" s="186"/>
      <c r="I282" s="186"/>
      <c r="J282" s="186"/>
    </row>
    <row r="283" spans="1:10" s="16" customFormat="1">
      <c r="A283" s="39"/>
      <c r="G283" s="186"/>
      <c r="H283" s="186"/>
      <c r="I283" s="186"/>
      <c r="J283" s="186"/>
    </row>
    <row r="284" spans="1:10" s="16" customFormat="1">
      <c r="A284" s="39"/>
      <c r="G284" s="186"/>
      <c r="H284" s="186"/>
      <c r="I284" s="186"/>
      <c r="J284" s="186"/>
    </row>
    <row r="285" spans="1:10" s="16" customFormat="1">
      <c r="A285" s="39"/>
      <c r="G285" s="186"/>
      <c r="H285" s="186"/>
      <c r="I285" s="186"/>
      <c r="J285" s="186"/>
    </row>
    <row r="286" spans="1:10" s="16" customFormat="1">
      <c r="A286" s="39"/>
      <c r="G286" s="186"/>
      <c r="H286" s="186"/>
      <c r="I286" s="186"/>
      <c r="J286" s="186"/>
    </row>
    <row r="287" spans="1:10" s="16" customFormat="1">
      <c r="A287" s="39"/>
      <c r="G287" s="186"/>
      <c r="H287" s="186"/>
      <c r="I287" s="186"/>
      <c r="J287" s="186"/>
    </row>
    <row r="288" spans="1:10" s="16" customFormat="1">
      <c r="A288" s="39"/>
      <c r="G288" s="186"/>
      <c r="H288" s="186"/>
      <c r="I288" s="186"/>
      <c r="J288" s="186"/>
    </row>
    <row r="289" spans="1:10" s="16" customFormat="1">
      <c r="A289" s="39"/>
      <c r="G289" s="186"/>
      <c r="H289" s="186"/>
      <c r="I289" s="186"/>
      <c r="J289" s="186"/>
    </row>
    <row r="290" spans="1:10" s="16" customFormat="1">
      <c r="A290" s="39"/>
      <c r="G290" s="186"/>
      <c r="H290" s="186"/>
      <c r="I290" s="186"/>
      <c r="J290" s="186"/>
    </row>
    <row r="291" spans="1:10" s="16" customFormat="1">
      <c r="A291" s="39"/>
      <c r="G291" s="186"/>
      <c r="H291" s="186"/>
      <c r="I291" s="186"/>
      <c r="J291" s="186"/>
    </row>
    <row r="292" spans="1:10" s="16" customFormat="1">
      <c r="A292" s="39"/>
      <c r="G292" s="186"/>
      <c r="H292" s="186"/>
      <c r="I292" s="186"/>
      <c r="J292" s="186"/>
    </row>
    <row r="293" spans="1:10" s="16" customFormat="1">
      <c r="A293" s="39"/>
      <c r="G293" s="186"/>
      <c r="H293" s="186"/>
      <c r="I293" s="186"/>
      <c r="J293" s="186"/>
    </row>
    <row r="294" spans="1:10" s="16" customFormat="1">
      <c r="A294" s="39"/>
      <c r="G294" s="186"/>
      <c r="H294" s="186"/>
      <c r="I294" s="186"/>
      <c r="J294" s="186"/>
    </row>
    <row r="295" spans="1:10" s="16" customFormat="1">
      <c r="A295" s="39"/>
      <c r="G295" s="186"/>
      <c r="H295" s="186"/>
      <c r="I295" s="186"/>
      <c r="J295" s="186"/>
    </row>
    <row r="296" spans="1:10" s="16" customFormat="1">
      <c r="A296" s="39"/>
      <c r="G296" s="186"/>
      <c r="H296" s="186"/>
      <c r="I296" s="186"/>
      <c r="J296" s="186"/>
    </row>
    <row r="297" spans="1:10" s="16" customFormat="1">
      <c r="A297" s="39"/>
      <c r="G297" s="186"/>
      <c r="H297" s="186"/>
      <c r="I297" s="186"/>
      <c r="J297" s="186"/>
    </row>
    <row r="298" spans="1:10" s="16" customFormat="1">
      <c r="A298" s="39"/>
      <c r="G298" s="186"/>
      <c r="H298" s="186"/>
      <c r="I298" s="186"/>
      <c r="J298" s="186"/>
    </row>
    <row r="299" spans="1:10" s="16" customFormat="1">
      <c r="A299" s="39"/>
      <c r="G299" s="186"/>
      <c r="H299" s="186"/>
      <c r="I299" s="186"/>
      <c r="J299" s="186"/>
    </row>
    <row r="300" spans="1:10" s="16" customFormat="1">
      <c r="A300" s="39"/>
      <c r="G300" s="186"/>
      <c r="H300" s="186"/>
      <c r="I300" s="186"/>
      <c r="J300" s="186"/>
    </row>
    <row r="301" spans="1:10" s="16" customFormat="1">
      <c r="A301" s="39"/>
      <c r="G301" s="186"/>
      <c r="H301" s="186"/>
      <c r="I301" s="186"/>
      <c r="J301" s="186"/>
    </row>
    <row r="302" spans="1:10" s="16" customFormat="1">
      <c r="A302" s="39"/>
      <c r="G302" s="186"/>
      <c r="H302" s="186"/>
      <c r="I302" s="186"/>
      <c r="J302" s="186"/>
    </row>
  </sheetData>
  <mergeCells count="46">
    <mergeCell ref="A113:J113"/>
    <mergeCell ref="C133:F133"/>
    <mergeCell ref="H133:J133"/>
    <mergeCell ref="F78:F79"/>
    <mergeCell ref="G78:J78"/>
    <mergeCell ref="A81:J81"/>
    <mergeCell ref="A97:J97"/>
    <mergeCell ref="A78:A79"/>
    <mergeCell ref="B78:B79"/>
    <mergeCell ref="C78:C79"/>
    <mergeCell ref="D78:D79"/>
    <mergeCell ref="A117:J117"/>
    <mergeCell ref="C132:F132"/>
    <mergeCell ref="H132:J132"/>
    <mergeCell ref="E78:E79"/>
    <mergeCell ref="A104:J104"/>
    <mergeCell ref="A111:J111"/>
    <mergeCell ref="B23:F23"/>
    <mergeCell ref="G23:I23"/>
    <mergeCell ref="A76:J76"/>
    <mergeCell ref="B25:F25"/>
    <mergeCell ref="B26:F26"/>
    <mergeCell ref="B27:F27"/>
    <mergeCell ref="A74:J74"/>
    <mergeCell ref="A24:F24"/>
    <mergeCell ref="A22:F22"/>
    <mergeCell ref="F9:J9"/>
    <mergeCell ref="F11:J11"/>
    <mergeCell ref="A6:B7"/>
    <mergeCell ref="F6:J6"/>
    <mergeCell ref="B15:F15"/>
    <mergeCell ref="G22:I22"/>
    <mergeCell ref="B17:F17"/>
    <mergeCell ref="B18:F18"/>
    <mergeCell ref="B19:F19"/>
    <mergeCell ref="B20:F20"/>
    <mergeCell ref="B21:F21"/>
    <mergeCell ref="B16:H16"/>
    <mergeCell ref="A5:B5"/>
    <mergeCell ref="G5:H5"/>
    <mergeCell ref="F7:J7"/>
    <mergeCell ref="F8:J8"/>
    <mergeCell ref="A2:B2"/>
    <mergeCell ref="F2:J4"/>
    <mergeCell ref="A3:B3"/>
    <mergeCell ref="A4:B4"/>
  </mergeCells>
  <phoneticPr fontId="3" type="noConversion"/>
  <pageMargins left="0.31496062992125984" right="0.31496062992125984" top="0.55118110236220474" bottom="0.35433070866141736" header="0.31496062992125984" footer="0.31496062992125984"/>
  <pageSetup paperSize="9" scale="5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S393"/>
  <sheetViews>
    <sheetView view="pageBreakPreview" topLeftCell="B154" zoomScale="85" zoomScaleNormal="65" zoomScaleSheetLayoutView="85" workbookViewId="0">
      <selection activeCell="F70" sqref="F70:I70"/>
    </sheetView>
  </sheetViews>
  <sheetFormatPr defaultRowHeight="18.75"/>
  <cols>
    <col min="1" max="1" width="48.42578125" style="161" customWidth="1"/>
    <col min="2" max="2" width="14.85546875" style="16" customWidth="1"/>
    <col min="3" max="3" width="15.28515625" style="16" customWidth="1"/>
    <col min="4" max="4" width="16.85546875" style="16" customWidth="1"/>
    <col min="5" max="5" width="17.7109375" style="16" customWidth="1"/>
    <col min="6" max="6" width="13" style="161" customWidth="1"/>
    <col min="7" max="7" width="13.85546875" style="161" customWidth="1"/>
    <col min="8" max="8" width="13.140625" style="161" customWidth="1"/>
    <col min="9" max="9" width="13.7109375" style="161" customWidth="1"/>
    <col min="10" max="10" width="22.5703125" style="161" customWidth="1"/>
    <col min="11" max="11" width="13.140625" style="161" hidden="1" customWidth="1"/>
    <col min="12" max="12" width="12.140625" style="161" hidden="1" customWidth="1"/>
    <col min="13" max="14" width="0" style="161" hidden="1" customWidth="1"/>
    <col min="15" max="15" width="9.85546875" style="161" bestFit="1" customWidth="1"/>
    <col min="16" max="16384" width="9.140625" style="161"/>
  </cols>
  <sheetData>
    <row r="1" spans="1:18">
      <c r="A1" s="385" t="s">
        <v>377</v>
      </c>
      <c r="B1" s="385"/>
      <c r="C1" s="385"/>
      <c r="D1" s="385"/>
      <c r="E1" s="385"/>
      <c r="F1" s="385"/>
      <c r="G1" s="385"/>
      <c r="H1" s="385"/>
      <c r="I1" s="385"/>
      <c r="J1" s="385"/>
      <c r="K1" s="170"/>
      <c r="L1" s="170"/>
    </row>
    <row r="2" spans="1:18">
      <c r="A2" s="169"/>
      <c r="B2" s="145"/>
      <c r="C2" s="169"/>
      <c r="D2" s="169"/>
      <c r="E2" s="145"/>
      <c r="F2" s="169"/>
      <c r="G2" s="169"/>
      <c r="H2" s="169"/>
      <c r="I2" s="169"/>
      <c r="J2" s="146"/>
      <c r="K2" s="170"/>
      <c r="L2" s="170"/>
    </row>
    <row r="3" spans="1:18" ht="36" customHeight="1">
      <c r="A3" s="394" t="s">
        <v>277</v>
      </c>
      <c r="B3" s="387" t="s">
        <v>17</v>
      </c>
      <c r="C3" s="387" t="s">
        <v>31</v>
      </c>
      <c r="D3" s="397" t="s">
        <v>39</v>
      </c>
      <c r="E3" s="396" t="s">
        <v>183</v>
      </c>
      <c r="F3" s="387" t="s">
        <v>372</v>
      </c>
      <c r="G3" s="387"/>
      <c r="H3" s="387"/>
      <c r="I3" s="387"/>
      <c r="J3" s="387" t="s">
        <v>253</v>
      </c>
      <c r="K3" s="230"/>
      <c r="L3" s="230"/>
      <c r="M3" s="231"/>
      <c r="N3" s="231"/>
    </row>
    <row r="4" spans="1:18" ht="57" customHeight="1">
      <c r="A4" s="394"/>
      <c r="B4" s="387"/>
      <c r="C4" s="387"/>
      <c r="D4" s="397"/>
      <c r="E4" s="396"/>
      <c r="F4" s="232" t="s">
        <v>373</v>
      </c>
      <c r="G4" s="232" t="s">
        <v>374</v>
      </c>
      <c r="H4" s="232" t="s">
        <v>375</v>
      </c>
      <c r="I4" s="232" t="s">
        <v>83</v>
      </c>
      <c r="J4" s="387"/>
      <c r="K4" s="230"/>
      <c r="L4" s="230"/>
      <c r="M4" s="231"/>
      <c r="N4" s="231"/>
    </row>
    <row r="5" spans="1:18" ht="18" customHeight="1">
      <c r="A5" s="233">
        <v>1</v>
      </c>
      <c r="B5" s="216">
        <v>2</v>
      </c>
      <c r="C5" s="216">
        <v>3</v>
      </c>
      <c r="D5" s="216">
        <v>4</v>
      </c>
      <c r="E5" s="216">
        <v>5</v>
      </c>
      <c r="F5" s="216">
        <v>6</v>
      </c>
      <c r="G5" s="216">
        <v>7</v>
      </c>
      <c r="H5" s="216">
        <v>8</v>
      </c>
      <c r="I5" s="216">
        <v>9</v>
      </c>
      <c r="J5" s="216">
        <v>10</v>
      </c>
      <c r="K5" s="230"/>
      <c r="L5" s="230"/>
      <c r="M5" s="231"/>
      <c r="N5" s="231"/>
    </row>
    <row r="6" spans="1:18" s="162" customFormat="1" ht="20.100000000000001" customHeight="1">
      <c r="A6" s="388" t="s">
        <v>284</v>
      </c>
      <c r="B6" s="389"/>
      <c r="C6" s="389"/>
      <c r="D6" s="389"/>
      <c r="E6" s="389"/>
      <c r="F6" s="389"/>
      <c r="G6" s="389"/>
      <c r="H6" s="389"/>
      <c r="I6" s="389"/>
      <c r="J6" s="390"/>
      <c r="K6" s="234"/>
      <c r="L6" s="234"/>
      <c r="M6" s="235"/>
      <c r="N6" s="235"/>
    </row>
    <row r="7" spans="1:18" s="162" customFormat="1" ht="42" customHeight="1">
      <c r="A7" s="236" t="s">
        <v>118</v>
      </c>
      <c r="B7" s="317">
        <v>1000</v>
      </c>
      <c r="C7" s="216">
        <f>C9+C8+C10</f>
        <v>74309</v>
      </c>
      <c r="D7" s="216">
        <f>D9+D8+D10</f>
        <v>110300</v>
      </c>
      <c r="E7" s="216">
        <f>E9+E8+E10</f>
        <v>125395.33333333333</v>
      </c>
      <c r="F7" s="216">
        <f>F8+F9+F10</f>
        <v>28752.5</v>
      </c>
      <c r="G7" s="216">
        <f>G8+G9+G10</f>
        <v>57505</v>
      </c>
      <c r="H7" s="216">
        <f>H8+H9+H10</f>
        <v>86257.5</v>
      </c>
      <c r="I7" s="216">
        <f>I8+I9+I10</f>
        <v>115010</v>
      </c>
      <c r="J7" s="238"/>
      <c r="K7" s="234"/>
      <c r="L7" s="234"/>
      <c r="M7" s="239"/>
      <c r="N7" s="235"/>
    </row>
    <row r="8" spans="1:18" s="162" customFormat="1" ht="63" customHeight="1">
      <c r="A8" s="236" t="s">
        <v>410</v>
      </c>
      <c r="B8" s="237" t="s">
        <v>406</v>
      </c>
      <c r="C8" s="216">
        <v>36758</v>
      </c>
      <c r="D8" s="216">
        <v>58400</v>
      </c>
      <c r="E8" s="216">
        <f>46513+29996</f>
        <v>76509</v>
      </c>
      <c r="F8" s="216">
        <f>I8/4</f>
        <v>14710</v>
      </c>
      <c r="G8" s="216">
        <f>I8/2</f>
        <v>29420</v>
      </c>
      <c r="H8" s="216">
        <f>I8/4*3</f>
        <v>44130</v>
      </c>
      <c r="I8" s="216">
        <v>58840</v>
      </c>
      <c r="J8" s="238"/>
      <c r="K8" s="234">
        <f>70000/1.2</f>
        <v>58333.333333333336</v>
      </c>
      <c r="L8" s="234">
        <f>I8*1.2</f>
        <v>70608</v>
      </c>
      <c r="M8" s="235"/>
      <c r="N8" s="235"/>
    </row>
    <row r="9" spans="1:18" s="162" customFormat="1" ht="62.25" customHeight="1">
      <c r="A9" s="236" t="s">
        <v>411</v>
      </c>
      <c r="B9" s="240" t="s">
        <v>409</v>
      </c>
      <c r="C9" s="217">
        <v>35750</v>
      </c>
      <c r="D9" s="217">
        <v>50000</v>
      </c>
      <c r="E9" s="217">
        <f>30344+16053</f>
        <v>46397</v>
      </c>
      <c r="F9" s="217">
        <f>I9/4</f>
        <v>13542.5</v>
      </c>
      <c r="G9" s="217">
        <f>I9/2</f>
        <v>27085</v>
      </c>
      <c r="H9" s="217">
        <f>I9/4*3</f>
        <v>40627.5</v>
      </c>
      <c r="I9" s="217">
        <v>54170</v>
      </c>
      <c r="J9" s="241"/>
      <c r="K9" s="234">
        <f>60000/1.2</f>
        <v>50000</v>
      </c>
      <c r="L9" s="234">
        <f>I9*1.2</f>
        <v>65004</v>
      </c>
      <c r="M9" s="235"/>
      <c r="N9" s="235"/>
    </row>
    <row r="10" spans="1:18" s="162" customFormat="1" ht="56.25">
      <c r="A10" s="236" t="s">
        <v>408</v>
      </c>
      <c r="B10" s="240" t="s">
        <v>581</v>
      </c>
      <c r="C10" s="217">
        <v>1801</v>
      </c>
      <c r="D10" s="217">
        <v>1900</v>
      </c>
      <c r="E10" s="217">
        <f>1867/3*4</f>
        <v>2489.3333333333335</v>
      </c>
      <c r="F10" s="217">
        <f>I10/4</f>
        <v>500</v>
      </c>
      <c r="G10" s="217">
        <f>I10/2</f>
        <v>1000</v>
      </c>
      <c r="H10" s="217">
        <f>I10/4*3</f>
        <v>1500</v>
      </c>
      <c r="I10" s="217">
        <v>2000</v>
      </c>
      <c r="J10" s="242" t="s">
        <v>555</v>
      </c>
      <c r="K10" s="234"/>
      <c r="L10" s="234"/>
      <c r="M10" s="235"/>
      <c r="N10" s="235"/>
    </row>
    <row r="11" spans="1:18" ht="35.25" customHeight="1">
      <c r="A11" s="236" t="s">
        <v>137</v>
      </c>
      <c r="B11" s="317">
        <v>1010</v>
      </c>
      <c r="C11" s="216">
        <f>SUM(C12:C19)</f>
        <v>70285</v>
      </c>
      <c r="D11" s="216">
        <f>SUM(D12:D19)</f>
        <v>103527</v>
      </c>
      <c r="E11" s="216">
        <f>SUM(E12:E19)</f>
        <v>122204.33333333333</v>
      </c>
      <c r="F11" s="216">
        <f>F12+F13+F14+F15+F16+F17+F18+F19</f>
        <v>26958.537499999999</v>
      </c>
      <c r="G11" s="216">
        <f>G12+G13+G14+G15+G16+G17+G18+G19</f>
        <v>53920.074999999997</v>
      </c>
      <c r="H11" s="216">
        <f>H12+H13+H14+H15+H16+H17+H18+H19</f>
        <v>80878.612500000017</v>
      </c>
      <c r="I11" s="216">
        <f>I12+I13+I14+I15+I16+I17+I18+I19</f>
        <v>107838.15</v>
      </c>
      <c r="J11" s="236"/>
      <c r="K11" s="230"/>
      <c r="L11" s="230"/>
      <c r="M11" s="231"/>
      <c r="N11" s="231"/>
    </row>
    <row r="12" spans="1:18" s="1" customFormat="1" ht="36" customHeight="1">
      <c r="A12" s="236" t="s">
        <v>312</v>
      </c>
      <c r="B12" s="217">
        <v>1011</v>
      </c>
      <c r="C12" s="217">
        <v>17111</v>
      </c>
      <c r="D12" s="217">
        <v>22255</v>
      </c>
      <c r="E12" s="217">
        <f>22255+2500</f>
        <v>24755</v>
      </c>
      <c r="F12" s="217">
        <f>I12/4</f>
        <v>6507.6250000000009</v>
      </c>
      <c r="G12" s="217">
        <f>I12/2</f>
        <v>13015.250000000002</v>
      </c>
      <c r="H12" s="217">
        <f>I12/4*3</f>
        <v>19522.875000000004</v>
      </c>
      <c r="I12" s="217">
        <f>26255*1.1-2850</f>
        <v>26030.500000000004</v>
      </c>
      <c r="J12" s="236"/>
      <c r="K12" s="243"/>
      <c r="L12" s="243"/>
      <c r="M12" s="244"/>
      <c r="N12" s="244"/>
    </row>
    <row r="13" spans="1:18" s="1" customFormat="1" ht="20.100000000000001" customHeight="1">
      <c r="A13" s="236" t="s">
        <v>65</v>
      </c>
      <c r="B13" s="217">
        <v>1012</v>
      </c>
      <c r="C13" s="217">
        <v>2908</v>
      </c>
      <c r="D13" s="217">
        <v>3282</v>
      </c>
      <c r="E13" s="217">
        <v>3282</v>
      </c>
      <c r="F13" s="217">
        <f>I13/4</f>
        <v>877.55000000000007</v>
      </c>
      <c r="G13" s="217">
        <f>I13/2</f>
        <v>1755.1000000000001</v>
      </c>
      <c r="H13" s="217">
        <f>I13/4*3</f>
        <v>2632.65</v>
      </c>
      <c r="I13" s="217">
        <f>3282*1.1-100</f>
        <v>3510.2000000000003</v>
      </c>
      <c r="J13" s="236"/>
      <c r="K13" s="243"/>
      <c r="L13" s="243"/>
      <c r="M13" s="244"/>
      <c r="N13" s="244"/>
    </row>
    <row r="14" spans="1:18" s="1" customFormat="1" ht="20.100000000000001" customHeight="1">
      <c r="A14" s="236" t="s">
        <v>64</v>
      </c>
      <c r="B14" s="217">
        <v>1013</v>
      </c>
      <c r="C14" s="217"/>
      <c r="D14" s="217"/>
      <c r="E14" s="217"/>
      <c r="F14" s="217"/>
      <c r="G14" s="217"/>
      <c r="H14" s="217"/>
      <c r="I14" s="217"/>
      <c r="J14" s="236"/>
      <c r="K14" s="243"/>
      <c r="L14" s="243"/>
      <c r="M14" s="244"/>
      <c r="N14" s="244"/>
    </row>
    <row r="15" spans="1:18" s="1" customFormat="1" ht="20.100000000000001" customHeight="1">
      <c r="A15" s="236" t="s">
        <v>42</v>
      </c>
      <c r="B15" s="217">
        <v>1014</v>
      </c>
      <c r="C15" s="217">
        <v>11976</v>
      </c>
      <c r="D15" s="217">
        <v>15590</v>
      </c>
      <c r="E15" s="217">
        <v>15590</v>
      </c>
      <c r="F15" s="217">
        <v>4836</v>
      </c>
      <c r="G15" s="217">
        <v>9673</v>
      </c>
      <c r="H15" s="217">
        <v>14509</v>
      </c>
      <c r="I15" s="217">
        <v>19345</v>
      </c>
      <c r="J15" s="236"/>
      <c r="K15" s="243">
        <f>G15-F15</f>
        <v>4837</v>
      </c>
      <c r="L15" s="243">
        <f>H15-G15</f>
        <v>4836</v>
      </c>
      <c r="M15" s="245">
        <f>I15-H15</f>
        <v>4836</v>
      </c>
      <c r="N15" s="244"/>
    </row>
    <row r="16" spans="1:18" s="1" customFormat="1" ht="20.100000000000001" customHeight="1">
      <c r="A16" s="236" t="s">
        <v>43</v>
      </c>
      <c r="B16" s="217">
        <v>1015</v>
      </c>
      <c r="C16" s="217">
        <v>2590</v>
      </c>
      <c r="D16" s="217">
        <v>3316</v>
      </c>
      <c r="E16" s="217">
        <v>3316</v>
      </c>
      <c r="F16" s="132">
        <v>1043</v>
      </c>
      <c r="G16" s="132">
        <v>2088</v>
      </c>
      <c r="H16" s="132">
        <v>3131</v>
      </c>
      <c r="I16" s="132">
        <v>4175</v>
      </c>
      <c r="J16" s="236"/>
      <c r="K16" s="246">
        <f>(F15-Лист1!C12)*22%+Лист1!C12*8.41%</f>
        <v>1023.2859</v>
      </c>
      <c r="L16" s="246">
        <f>(G15-Лист1!D12)*22%+Лист1!D12*8.41%</f>
        <v>2046.7918</v>
      </c>
      <c r="M16" s="246">
        <f>(H15-Лист1!E12)*22%+Лист1!E12*8.41%</f>
        <v>3069.9418000000001</v>
      </c>
      <c r="N16" s="246">
        <f>(I15-Лист1!F12)*22%+Лист1!F12*8.41%</f>
        <v>4093.2276999999999</v>
      </c>
      <c r="O16" s="1">
        <v>150</v>
      </c>
      <c r="P16" s="1">
        <v>300</v>
      </c>
      <c r="Q16" s="1">
        <v>451</v>
      </c>
      <c r="R16" s="1">
        <v>601</v>
      </c>
    </row>
    <row r="17" spans="1:19" s="1" customFormat="1" ht="75">
      <c r="A17" s="236" t="s">
        <v>267</v>
      </c>
      <c r="B17" s="217">
        <v>1016</v>
      </c>
      <c r="C17" s="217"/>
      <c r="D17" s="217"/>
      <c r="E17" s="217"/>
      <c r="F17" s="223"/>
      <c r="G17" s="223"/>
      <c r="H17" s="223"/>
      <c r="I17" s="223"/>
      <c r="J17" s="236"/>
      <c r="K17" s="244"/>
      <c r="L17" s="244"/>
      <c r="M17" s="244"/>
      <c r="N17" s="244"/>
      <c r="O17" s="332">
        <f>(F15-O16)*22%+O16*8.41%</f>
        <v>1043.5350000000001</v>
      </c>
      <c r="P17" s="332">
        <f t="shared" ref="P17:R17" si="0">(G15-P16)*22%+P16*8.41%</f>
        <v>2087.29</v>
      </c>
      <c r="Q17" s="332">
        <f t="shared" si="0"/>
        <v>3130.6891000000001</v>
      </c>
      <c r="R17" s="332">
        <f t="shared" si="0"/>
        <v>4174.2241000000004</v>
      </c>
      <c r="S17" s="173"/>
    </row>
    <row r="18" spans="1:19" s="1" customFormat="1" ht="37.5">
      <c r="A18" s="236" t="s">
        <v>63</v>
      </c>
      <c r="B18" s="217">
        <v>1017</v>
      </c>
      <c r="C18" s="217">
        <v>1577</v>
      </c>
      <c r="D18" s="217">
        <v>1206</v>
      </c>
      <c r="E18" s="217">
        <v>4500</v>
      </c>
      <c r="F18" s="217">
        <f>I18/4</f>
        <v>1125</v>
      </c>
      <c r="G18" s="217">
        <f t="shared" ref="G18" si="1">I18/2</f>
        <v>2250</v>
      </c>
      <c r="H18" s="217">
        <f t="shared" ref="H18:H31" si="2">I18/4*3</f>
        <v>3375</v>
      </c>
      <c r="I18" s="217">
        <v>4500</v>
      </c>
      <c r="J18" s="236"/>
      <c r="K18" s="243"/>
      <c r="L18" s="243"/>
      <c r="M18" s="244"/>
      <c r="N18" s="244"/>
    </row>
    <row r="19" spans="1:19" s="1" customFormat="1" ht="20.100000000000001" customHeight="1">
      <c r="A19" s="236" t="s">
        <v>135</v>
      </c>
      <c r="B19" s="217">
        <v>1018</v>
      </c>
      <c r="C19" s="217">
        <f>SUM(C20:C48)</f>
        <v>34123</v>
      </c>
      <c r="D19" s="217">
        <f t="shared" ref="D19:E19" si="3">SUM(D20:D48)</f>
        <v>57878</v>
      </c>
      <c r="E19" s="217">
        <f t="shared" si="3"/>
        <v>70761.333333333328</v>
      </c>
      <c r="F19" s="217">
        <f>SUM(F20:F48)</f>
        <v>12569.362499999999</v>
      </c>
      <c r="G19" s="217">
        <f>SUM(G20:G48)</f>
        <v>25138.724999999999</v>
      </c>
      <c r="H19" s="217">
        <f>SUM(H20:H48)</f>
        <v>37708.087500000001</v>
      </c>
      <c r="I19" s="217">
        <f>SUM(I20:I48)</f>
        <v>50277.45</v>
      </c>
      <c r="J19" s="236"/>
      <c r="K19" s="243"/>
      <c r="L19" s="243"/>
      <c r="M19" s="244"/>
      <c r="N19" s="244"/>
    </row>
    <row r="20" spans="1:19" s="1" customFormat="1" ht="26.25" customHeight="1">
      <c r="A20" s="236" t="s">
        <v>412</v>
      </c>
      <c r="B20" s="217" t="s">
        <v>427</v>
      </c>
      <c r="C20" s="217">
        <v>141</v>
      </c>
      <c r="D20" s="217">
        <v>150</v>
      </c>
      <c r="E20" s="217">
        <f>126/3*4</f>
        <v>168</v>
      </c>
      <c r="F20" s="217">
        <f>I20/4</f>
        <v>46.2</v>
      </c>
      <c r="G20" s="217">
        <f t="shared" ref="G20" si="4">I20/2</f>
        <v>92.4</v>
      </c>
      <c r="H20" s="217">
        <f t="shared" si="2"/>
        <v>138.60000000000002</v>
      </c>
      <c r="I20" s="217">
        <f>168*1.1</f>
        <v>184.8</v>
      </c>
      <c r="J20" s="236"/>
      <c r="K20" s="243"/>
      <c r="L20" s="243"/>
      <c r="M20" s="244"/>
      <c r="N20" s="244"/>
    </row>
    <row r="21" spans="1:19" s="1" customFormat="1" ht="37.5">
      <c r="A21" s="236" t="s">
        <v>413</v>
      </c>
      <c r="B21" s="217" t="s">
        <v>428</v>
      </c>
      <c r="C21" s="217">
        <v>57</v>
      </c>
      <c r="D21" s="217">
        <v>120</v>
      </c>
      <c r="E21" s="217">
        <v>120</v>
      </c>
      <c r="F21" s="217">
        <f t="shared" ref="F21:F26" si="5">I21/4</f>
        <v>37.5</v>
      </c>
      <c r="G21" s="217">
        <f t="shared" ref="G21:G27" si="6">I21/2</f>
        <v>75</v>
      </c>
      <c r="H21" s="217">
        <f t="shared" si="2"/>
        <v>112.5</v>
      </c>
      <c r="I21" s="217">
        <v>150</v>
      </c>
      <c r="J21" s="236"/>
      <c r="K21" s="243"/>
      <c r="L21" s="243"/>
      <c r="M21" s="244"/>
      <c r="N21" s="244"/>
    </row>
    <row r="22" spans="1:19" s="1" customFormat="1" ht="42.75" customHeight="1">
      <c r="A22" s="236" t="s">
        <v>547</v>
      </c>
      <c r="B22" s="217" t="s">
        <v>429</v>
      </c>
      <c r="C22" s="217">
        <v>257</v>
      </c>
      <c r="D22" s="217">
        <v>190</v>
      </c>
      <c r="E22" s="217">
        <f>458/3*4</f>
        <v>610.66666666666663</v>
      </c>
      <c r="F22" s="217">
        <f t="shared" si="5"/>
        <v>152.75</v>
      </c>
      <c r="G22" s="217">
        <f t="shared" si="6"/>
        <v>305.5</v>
      </c>
      <c r="H22" s="217">
        <f t="shared" si="2"/>
        <v>458.25</v>
      </c>
      <c r="I22" s="217">
        <v>611</v>
      </c>
      <c r="J22" s="236"/>
      <c r="K22" s="243"/>
      <c r="L22" s="243"/>
      <c r="M22" s="244"/>
      <c r="N22" s="244"/>
    </row>
    <row r="23" spans="1:19" s="1" customFormat="1" ht="43.5" customHeight="1">
      <c r="A23" s="236" t="s">
        <v>414</v>
      </c>
      <c r="B23" s="217" t="s">
        <v>430</v>
      </c>
      <c r="C23" s="217">
        <v>100</v>
      </c>
      <c r="D23" s="217">
        <v>95</v>
      </c>
      <c r="E23" s="217">
        <v>95</v>
      </c>
      <c r="F23" s="217">
        <f t="shared" si="5"/>
        <v>26.125000000000004</v>
      </c>
      <c r="G23" s="217">
        <f t="shared" si="6"/>
        <v>52.250000000000007</v>
      </c>
      <c r="H23" s="217">
        <f t="shared" si="2"/>
        <v>78.375000000000014</v>
      </c>
      <c r="I23" s="217">
        <f>95*1.1</f>
        <v>104.50000000000001</v>
      </c>
      <c r="J23" s="236"/>
      <c r="K23" s="243"/>
      <c r="L23" s="243"/>
      <c r="M23" s="244"/>
      <c r="N23" s="244"/>
    </row>
    <row r="24" spans="1:19" s="1" customFormat="1" ht="37.5" customHeight="1">
      <c r="A24" s="236" t="s">
        <v>450</v>
      </c>
      <c r="B24" s="217" t="s">
        <v>431</v>
      </c>
      <c r="C24" s="217"/>
      <c r="D24" s="217">
        <v>15</v>
      </c>
      <c r="E24" s="217"/>
      <c r="F24" s="217">
        <f t="shared" si="5"/>
        <v>3.75</v>
      </c>
      <c r="G24" s="217">
        <f t="shared" si="6"/>
        <v>7.5</v>
      </c>
      <c r="H24" s="217">
        <f t="shared" si="2"/>
        <v>11.25</v>
      </c>
      <c r="I24" s="217">
        <v>15</v>
      </c>
      <c r="J24" s="236"/>
      <c r="K24" s="243"/>
      <c r="L24" s="243"/>
      <c r="M24" s="244"/>
      <c r="N24" s="244"/>
    </row>
    <row r="25" spans="1:19" s="1" customFormat="1" ht="40.5" customHeight="1">
      <c r="A25" s="236" t="s">
        <v>415</v>
      </c>
      <c r="B25" s="217" t="s">
        <v>432</v>
      </c>
      <c r="C25" s="217"/>
      <c r="D25" s="217">
        <v>20</v>
      </c>
      <c r="E25" s="217"/>
      <c r="F25" s="217">
        <f t="shared" si="5"/>
        <v>5</v>
      </c>
      <c r="G25" s="217">
        <f t="shared" si="6"/>
        <v>10</v>
      </c>
      <c r="H25" s="217">
        <f t="shared" si="2"/>
        <v>15</v>
      </c>
      <c r="I25" s="217">
        <v>20</v>
      </c>
      <c r="J25" s="247"/>
      <c r="K25" s="243"/>
      <c r="L25" s="243"/>
      <c r="M25" s="244"/>
      <c r="N25" s="244"/>
    </row>
    <row r="26" spans="1:19" s="1" customFormat="1" ht="20.100000000000001" customHeight="1">
      <c r="A26" s="236" t="s">
        <v>416</v>
      </c>
      <c r="B26" s="217" t="s">
        <v>433</v>
      </c>
      <c r="C26" s="217"/>
      <c r="D26" s="217">
        <v>15</v>
      </c>
      <c r="E26" s="217"/>
      <c r="F26" s="217">
        <f t="shared" si="5"/>
        <v>3.75</v>
      </c>
      <c r="G26" s="217">
        <f t="shared" si="6"/>
        <v>7.5</v>
      </c>
      <c r="H26" s="217">
        <f t="shared" si="2"/>
        <v>11.25</v>
      </c>
      <c r="I26" s="217">
        <v>15</v>
      </c>
      <c r="J26" s="236"/>
      <c r="K26" s="243"/>
      <c r="L26" s="243"/>
      <c r="M26" s="244"/>
      <c r="N26" s="244"/>
    </row>
    <row r="27" spans="1:19" s="1" customFormat="1" ht="25.5" customHeight="1">
      <c r="A27" s="236" t="s">
        <v>417</v>
      </c>
      <c r="B27" s="217" t="s">
        <v>434</v>
      </c>
      <c r="C27" s="217">
        <v>19</v>
      </c>
      <c r="D27" s="217">
        <v>20</v>
      </c>
      <c r="E27" s="217">
        <f>11/3*4</f>
        <v>14.666666666666666</v>
      </c>
      <c r="F27" s="217">
        <f>I27/4</f>
        <v>7.5</v>
      </c>
      <c r="G27" s="217">
        <f t="shared" si="6"/>
        <v>15</v>
      </c>
      <c r="H27" s="217">
        <f t="shared" si="2"/>
        <v>22.5</v>
      </c>
      <c r="I27" s="217">
        <v>30</v>
      </c>
      <c r="J27" s="247" t="s">
        <v>584</v>
      </c>
      <c r="K27" s="243"/>
      <c r="L27" s="243"/>
      <c r="M27" s="244"/>
      <c r="N27" s="244"/>
    </row>
    <row r="28" spans="1:19" s="1" customFormat="1" ht="37.5" customHeight="1">
      <c r="A28" s="236" t="s">
        <v>418</v>
      </c>
      <c r="B28" s="217" t="s">
        <v>435</v>
      </c>
      <c r="C28" s="217">
        <v>83</v>
      </c>
      <c r="D28" s="217">
        <v>50</v>
      </c>
      <c r="E28" s="217">
        <f>76/3*4</f>
        <v>101.33333333333333</v>
      </c>
      <c r="F28" s="217">
        <f t="shared" ref="F28:F30" si="7">I28/4</f>
        <v>32.5</v>
      </c>
      <c r="G28" s="217">
        <f t="shared" ref="G28:G31" si="8">I28/2</f>
        <v>65</v>
      </c>
      <c r="H28" s="217">
        <f t="shared" si="2"/>
        <v>97.5</v>
      </c>
      <c r="I28" s="217">
        <v>130</v>
      </c>
      <c r="J28" s="247" t="s">
        <v>592</v>
      </c>
      <c r="K28" s="243"/>
      <c r="L28" s="243"/>
      <c r="M28" s="244"/>
      <c r="N28" s="244"/>
    </row>
    <row r="29" spans="1:19" s="1" customFormat="1" ht="42" customHeight="1">
      <c r="A29" s="236" t="s">
        <v>583</v>
      </c>
      <c r="B29" s="217" t="s">
        <v>436</v>
      </c>
      <c r="C29" s="217">
        <v>267</v>
      </c>
      <c r="D29" s="217">
        <v>167</v>
      </c>
      <c r="E29" s="217">
        <f>208/3*4</f>
        <v>277.33333333333331</v>
      </c>
      <c r="F29" s="217">
        <f t="shared" si="7"/>
        <v>75</v>
      </c>
      <c r="G29" s="217">
        <f t="shared" si="8"/>
        <v>150</v>
      </c>
      <c r="H29" s="217">
        <f t="shared" si="2"/>
        <v>225</v>
      </c>
      <c r="I29" s="217">
        <v>300</v>
      </c>
      <c r="J29" s="236"/>
      <c r="K29" s="243"/>
      <c r="L29" s="243"/>
      <c r="M29" s="244"/>
      <c r="N29" s="244"/>
    </row>
    <row r="30" spans="1:19" s="1" customFormat="1" ht="36.75" customHeight="1">
      <c r="A30" s="236" t="s">
        <v>419</v>
      </c>
      <c r="B30" s="217" t="s">
        <v>437</v>
      </c>
      <c r="C30" s="217">
        <v>47</v>
      </c>
      <c r="D30" s="217">
        <v>52</v>
      </c>
      <c r="E30" s="217">
        <f>58/3*4</f>
        <v>77.333333333333329</v>
      </c>
      <c r="F30" s="217">
        <f t="shared" si="7"/>
        <v>21.175000000000001</v>
      </c>
      <c r="G30" s="217">
        <f t="shared" si="8"/>
        <v>42.35</v>
      </c>
      <c r="H30" s="217">
        <f t="shared" si="2"/>
        <v>63.525000000000006</v>
      </c>
      <c r="I30" s="217">
        <f>77*1.1</f>
        <v>84.7</v>
      </c>
      <c r="J30" s="236"/>
      <c r="K30" s="243"/>
      <c r="L30" s="243"/>
      <c r="M30" s="244"/>
      <c r="N30" s="244"/>
    </row>
    <row r="31" spans="1:19" s="1" customFormat="1" ht="27" customHeight="1">
      <c r="A31" s="236" t="s">
        <v>420</v>
      </c>
      <c r="B31" s="217" t="s">
        <v>438</v>
      </c>
      <c r="C31" s="217">
        <v>16</v>
      </c>
      <c r="D31" s="217">
        <v>16</v>
      </c>
      <c r="E31" s="217">
        <f>15/3*4</f>
        <v>20</v>
      </c>
      <c r="F31" s="217">
        <f>I31/4</f>
        <v>7.5</v>
      </c>
      <c r="G31" s="217">
        <f t="shared" si="8"/>
        <v>15</v>
      </c>
      <c r="H31" s="217">
        <f t="shared" si="2"/>
        <v>22.5</v>
      </c>
      <c r="I31" s="217">
        <v>30</v>
      </c>
      <c r="J31" s="236"/>
      <c r="K31" s="243"/>
      <c r="L31" s="243"/>
      <c r="M31" s="244"/>
      <c r="N31" s="244"/>
    </row>
    <row r="32" spans="1:19" s="1" customFormat="1" ht="20.100000000000001" customHeight="1">
      <c r="A32" s="236" t="s">
        <v>561</v>
      </c>
      <c r="B32" s="217" t="s">
        <v>439</v>
      </c>
      <c r="C32" s="217"/>
      <c r="D32" s="217"/>
      <c r="E32" s="217"/>
      <c r="F32" s="223"/>
      <c r="G32" s="223"/>
      <c r="H32" s="223"/>
      <c r="I32" s="223"/>
      <c r="J32" s="236"/>
      <c r="K32" s="243"/>
      <c r="L32" s="243"/>
      <c r="M32" s="244"/>
      <c r="N32" s="244"/>
    </row>
    <row r="33" spans="1:14" s="1" customFormat="1" ht="36.75" customHeight="1">
      <c r="A33" s="236" t="s">
        <v>46</v>
      </c>
      <c r="B33" s="217" t="s">
        <v>440</v>
      </c>
      <c r="C33" s="217"/>
      <c r="D33" s="217"/>
      <c r="E33" s="217"/>
      <c r="F33" s="223"/>
      <c r="G33" s="223"/>
      <c r="H33" s="223"/>
      <c r="I33" s="223"/>
      <c r="J33" s="236"/>
      <c r="K33" s="243"/>
      <c r="L33" s="243"/>
      <c r="M33" s="244"/>
      <c r="N33" s="244"/>
    </row>
    <row r="34" spans="1:14" s="1" customFormat="1" ht="44.25" customHeight="1">
      <c r="A34" s="236" t="s">
        <v>421</v>
      </c>
      <c r="B34" s="217" t="s">
        <v>441</v>
      </c>
      <c r="C34" s="217">
        <v>42</v>
      </c>
      <c r="D34" s="217">
        <v>67</v>
      </c>
      <c r="E34" s="217">
        <v>67</v>
      </c>
      <c r="F34" s="217">
        <f>I34/4</f>
        <v>17.587500000000002</v>
      </c>
      <c r="G34" s="217">
        <f t="shared" ref="G34" si="9">I34/2</f>
        <v>35.175000000000004</v>
      </c>
      <c r="H34" s="217">
        <f t="shared" ref="H34:H38" si="10">I34/4*3</f>
        <v>52.762500000000003</v>
      </c>
      <c r="I34" s="217">
        <f>67*1.05</f>
        <v>70.350000000000009</v>
      </c>
      <c r="J34" s="236"/>
      <c r="K34" s="243"/>
      <c r="L34" s="243"/>
      <c r="M34" s="244"/>
      <c r="N34" s="244"/>
    </row>
    <row r="35" spans="1:14" s="1" customFormat="1" ht="29.25" customHeight="1">
      <c r="A35" s="236" t="s">
        <v>422</v>
      </c>
      <c r="B35" s="217" t="s">
        <v>442</v>
      </c>
      <c r="C35" s="217"/>
      <c r="D35" s="217"/>
      <c r="E35" s="217">
        <f>38</f>
        <v>38</v>
      </c>
      <c r="F35" s="217"/>
      <c r="G35" s="217"/>
      <c r="H35" s="217"/>
      <c r="I35" s="217"/>
      <c r="J35" s="236"/>
      <c r="K35" s="243"/>
      <c r="L35" s="243"/>
      <c r="M35" s="244"/>
      <c r="N35" s="244"/>
    </row>
    <row r="36" spans="1:14" s="1" customFormat="1" ht="42.75" customHeight="1">
      <c r="A36" s="236" t="s">
        <v>423</v>
      </c>
      <c r="B36" s="217" t="s">
        <v>443</v>
      </c>
      <c r="C36" s="217">
        <v>265</v>
      </c>
      <c r="D36" s="217">
        <v>290</v>
      </c>
      <c r="E36" s="217">
        <v>262</v>
      </c>
      <c r="F36" s="217">
        <f>I36/4</f>
        <v>72.5</v>
      </c>
      <c r="G36" s="217">
        <f t="shared" ref="G36" si="11">I36/2</f>
        <v>145</v>
      </c>
      <c r="H36" s="217">
        <f t="shared" si="10"/>
        <v>217.5</v>
      </c>
      <c r="I36" s="217">
        <v>290</v>
      </c>
      <c r="J36" s="236"/>
      <c r="K36" s="243"/>
      <c r="L36" s="243"/>
      <c r="M36" s="244"/>
      <c r="N36" s="244"/>
    </row>
    <row r="37" spans="1:14" s="1" customFormat="1" ht="37.5" customHeight="1">
      <c r="A37" s="236" t="s">
        <v>424</v>
      </c>
      <c r="B37" s="217" t="s">
        <v>444</v>
      </c>
      <c r="C37" s="217">
        <v>18</v>
      </c>
      <c r="D37" s="217">
        <v>20</v>
      </c>
      <c r="E37" s="217">
        <f>12/3*4</f>
        <v>16</v>
      </c>
      <c r="F37" s="217">
        <f>I37/4</f>
        <v>5</v>
      </c>
      <c r="G37" s="217">
        <f t="shared" ref="G37" si="12">I37/2</f>
        <v>10</v>
      </c>
      <c r="H37" s="217">
        <f t="shared" si="10"/>
        <v>15</v>
      </c>
      <c r="I37" s="217">
        <v>20</v>
      </c>
      <c r="J37" s="236"/>
      <c r="K37" s="243"/>
      <c r="L37" s="243"/>
      <c r="M37" s="244"/>
      <c r="N37" s="244"/>
    </row>
    <row r="38" spans="1:14" s="1" customFormat="1" ht="27.75" customHeight="1">
      <c r="A38" s="236" t="s">
        <v>48</v>
      </c>
      <c r="B38" s="217" t="s">
        <v>445</v>
      </c>
      <c r="C38" s="217">
        <v>307</v>
      </c>
      <c r="D38" s="217">
        <v>400</v>
      </c>
      <c r="E38" s="217">
        <v>400</v>
      </c>
      <c r="F38" s="217">
        <f>I38/4</f>
        <v>100</v>
      </c>
      <c r="G38" s="217">
        <f t="shared" ref="G38" si="13">I38/2</f>
        <v>200</v>
      </c>
      <c r="H38" s="217">
        <f t="shared" si="10"/>
        <v>300</v>
      </c>
      <c r="I38" s="217">
        <v>400</v>
      </c>
      <c r="J38" s="236"/>
      <c r="K38" s="243"/>
      <c r="L38" s="243"/>
      <c r="M38" s="244"/>
      <c r="N38" s="244"/>
    </row>
    <row r="39" spans="1:14" s="1" customFormat="1" ht="27.75" customHeight="1">
      <c r="A39" s="236" t="s">
        <v>498</v>
      </c>
      <c r="B39" s="217" t="s">
        <v>446</v>
      </c>
      <c r="C39" s="217"/>
      <c r="D39" s="217"/>
      <c r="E39" s="217">
        <f>13/3*4</f>
        <v>17.333333333333332</v>
      </c>
      <c r="F39" s="132"/>
      <c r="G39" s="132"/>
      <c r="H39" s="132"/>
      <c r="I39" s="132"/>
      <c r="J39" s="236"/>
      <c r="K39" s="243"/>
      <c r="L39" s="243"/>
      <c r="M39" s="244"/>
      <c r="N39" s="244"/>
    </row>
    <row r="40" spans="1:14" s="1" customFormat="1" ht="39.75" customHeight="1">
      <c r="A40" s="236" t="s">
        <v>425</v>
      </c>
      <c r="B40" s="217" t="s">
        <v>447</v>
      </c>
      <c r="C40" s="217"/>
      <c r="D40" s="217"/>
      <c r="E40" s="217"/>
      <c r="F40" s="223"/>
      <c r="G40" s="223"/>
      <c r="H40" s="223"/>
      <c r="I40" s="223"/>
      <c r="J40" s="236"/>
      <c r="K40" s="243"/>
      <c r="L40" s="243"/>
      <c r="M40" s="244"/>
      <c r="N40" s="244"/>
    </row>
    <row r="41" spans="1:14" s="1" customFormat="1" ht="36.75" customHeight="1">
      <c r="A41" s="236" t="s">
        <v>575</v>
      </c>
      <c r="B41" s="217" t="s">
        <v>448</v>
      </c>
      <c r="C41" s="217"/>
      <c r="D41" s="217">
        <v>1100</v>
      </c>
      <c r="E41" s="217">
        <v>0</v>
      </c>
      <c r="F41" s="217">
        <f>I41/4</f>
        <v>400</v>
      </c>
      <c r="G41" s="217">
        <f t="shared" ref="G41" si="14">I41/2</f>
        <v>800</v>
      </c>
      <c r="H41" s="217">
        <f t="shared" ref="H41:H44" si="15">I41/4*3</f>
        <v>1200</v>
      </c>
      <c r="I41" s="217">
        <v>1600</v>
      </c>
      <c r="J41" s="236"/>
      <c r="K41" s="243"/>
      <c r="L41" s="243"/>
      <c r="M41" s="244"/>
      <c r="N41" s="244"/>
    </row>
    <row r="42" spans="1:14" s="1" customFormat="1" ht="30" customHeight="1">
      <c r="A42" s="236" t="s">
        <v>573</v>
      </c>
      <c r="B42" s="217" t="s">
        <v>449</v>
      </c>
      <c r="C42" s="217"/>
      <c r="D42" s="217"/>
      <c r="E42" s="217"/>
      <c r="F42" s="223"/>
      <c r="G42" s="223"/>
      <c r="H42" s="223"/>
      <c r="I42" s="223"/>
      <c r="J42" s="236"/>
      <c r="K42" s="243"/>
      <c r="L42" s="243"/>
      <c r="M42" s="244"/>
      <c r="N42" s="244"/>
    </row>
    <row r="43" spans="1:14" s="1" customFormat="1" ht="30" customHeight="1">
      <c r="A43" s="236" t="s">
        <v>562</v>
      </c>
      <c r="B43" s="217" t="s">
        <v>563</v>
      </c>
      <c r="C43" s="217">
        <v>59</v>
      </c>
      <c r="D43" s="217">
        <v>67</v>
      </c>
      <c r="E43" s="217">
        <f>46/3*4</f>
        <v>61.333333333333336</v>
      </c>
      <c r="F43" s="217">
        <f>I43/4</f>
        <v>16.75</v>
      </c>
      <c r="G43" s="217">
        <f t="shared" ref="G43" si="16">I43/2</f>
        <v>33.5</v>
      </c>
      <c r="H43" s="217">
        <f t="shared" si="15"/>
        <v>50.25</v>
      </c>
      <c r="I43" s="217">
        <v>67</v>
      </c>
      <c r="J43" s="236"/>
      <c r="K43" s="243"/>
      <c r="L43" s="243"/>
      <c r="M43" s="244"/>
      <c r="N43" s="244"/>
    </row>
    <row r="44" spans="1:14" s="1" customFormat="1" ht="30" customHeight="1">
      <c r="A44" s="236" t="s">
        <v>566</v>
      </c>
      <c r="B44" s="223" t="s">
        <v>564</v>
      </c>
      <c r="C44" s="217"/>
      <c r="D44" s="217">
        <v>24</v>
      </c>
      <c r="E44" s="217">
        <f>106/3*4</f>
        <v>141.33333333333334</v>
      </c>
      <c r="F44" s="217">
        <f>I44/4</f>
        <v>38.775000000000006</v>
      </c>
      <c r="G44" s="217">
        <f t="shared" ref="G44" si="17">I44/2</f>
        <v>77.550000000000011</v>
      </c>
      <c r="H44" s="217">
        <f t="shared" si="15"/>
        <v>116.32500000000002</v>
      </c>
      <c r="I44" s="217">
        <f>141*1.1</f>
        <v>155.10000000000002</v>
      </c>
      <c r="J44" s="236"/>
      <c r="K44" s="243"/>
      <c r="L44" s="243"/>
      <c r="M44" s="244"/>
      <c r="N44" s="244"/>
    </row>
    <row r="45" spans="1:14" s="1" customFormat="1" ht="30" customHeight="1">
      <c r="A45" s="236" t="s">
        <v>596</v>
      </c>
      <c r="B45" s="223" t="s">
        <v>565</v>
      </c>
      <c r="C45" s="217">
        <v>10</v>
      </c>
      <c r="D45" s="217"/>
      <c r="E45" s="217">
        <f>9/3*4</f>
        <v>12</v>
      </c>
      <c r="F45" s="217"/>
      <c r="G45" s="217"/>
      <c r="H45" s="217"/>
      <c r="I45" s="217"/>
      <c r="J45" s="236"/>
      <c r="K45" s="243"/>
      <c r="L45" s="243"/>
      <c r="M45" s="244"/>
      <c r="N45" s="244"/>
    </row>
    <row r="46" spans="1:14" s="1" customFormat="1" ht="40.5" customHeight="1">
      <c r="A46" s="236" t="s">
        <v>611</v>
      </c>
      <c r="B46" s="223" t="s">
        <v>597</v>
      </c>
      <c r="C46" s="217"/>
      <c r="D46" s="217"/>
      <c r="E46" s="217">
        <v>1700</v>
      </c>
      <c r="F46" s="217"/>
      <c r="G46" s="217"/>
      <c r="H46" s="217"/>
      <c r="I46" s="217"/>
      <c r="J46" s="236"/>
      <c r="K46" s="243"/>
      <c r="L46" s="243"/>
      <c r="M46" s="244"/>
      <c r="N46" s="244"/>
    </row>
    <row r="47" spans="1:14" s="1" customFormat="1" ht="30" customHeight="1">
      <c r="A47" s="236" t="s">
        <v>567</v>
      </c>
      <c r="B47" s="223" t="s">
        <v>610</v>
      </c>
      <c r="C47" s="217"/>
      <c r="D47" s="217"/>
      <c r="E47" s="217"/>
      <c r="F47" s="217"/>
      <c r="G47" s="217"/>
      <c r="H47" s="217"/>
      <c r="I47" s="217"/>
      <c r="J47" s="236"/>
      <c r="K47" s="243"/>
      <c r="L47" s="243"/>
      <c r="M47" s="244"/>
      <c r="N47" s="244"/>
    </row>
    <row r="48" spans="1:14" s="1" customFormat="1" ht="56.25" customHeight="1">
      <c r="A48" s="236" t="s">
        <v>426</v>
      </c>
      <c r="B48" s="223" t="s">
        <v>612</v>
      </c>
      <c r="C48" s="217">
        <v>32435</v>
      </c>
      <c r="D48" s="217">
        <v>55000</v>
      </c>
      <c r="E48" s="217">
        <f>38094+12256+416+15796</f>
        <v>66562</v>
      </c>
      <c r="F48" s="217">
        <f>I48/4</f>
        <v>11500</v>
      </c>
      <c r="G48" s="217">
        <f t="shared" ref="G48" si="18">I48/2</f>
        <v>23000</v>
      </c>
      <c r="H48" s="217">
        <f t="shared" ref="H48" si="19">I48/4*3</f>
        <v>34500</v>
      </c>
      <c r="I48" s="217">
        <v>46000</v>
      </c>
      <c r="J48" s="236"/>
      <c r="K48" s="243"/>
      <c r="L48" s="243"/>
      <c r="M48" s="244"/>
      <c r="N48" s="244"/>
    </row>
    <row r="49" spans="1:14" s="162" customFormat="1" ht="20.100000000000001" customHeight="1">
      <c r="A49" s="241" t="s">
        <v>23</v>
      </c>
      <c r="B49" s="318">
        <v>1020</v>
      </c>
      <c r="C49" s="248">
        <f t="shared" ref="C49:H49" si="20">C7-C11</f>
        <v>4024</v>
      </c>
      <c r="D49" s="248">
        <f>D7-D11</f>
        <v>6773</v>
      </c>
      <c r="E49" s="248">
        <f>E7-E11</f>
        <v>3191</v>
      </c>
      <c r="F49" s="248">
        <f t="shared" si="20"/>
        <v>1793.9625000000015</v>
      </c>
      <c r="G49" s="248">
        <f t="shared" si="20"/>
        <v>3584.9250000000029</v>
      </c>
      <c r="H49" s="248">
        <f t="shared" si="20"/>
        <v>5378.8874999999825</v>
      </c>
      <c r="I49" s="248">
        <f>I7-I11</f>
        <v>7171.8500000000058</v>
      </c>
      <c r="J49" s="241"/>
      <c r="K49" s="234"/>
      <c r="L49" s="234"/>
      <c r="M49" s="235"/>
      <c r="N49" s="235"/>
    </row>
    <row r="50" spans="1:14" ht="37.5">
      <c r="A50" s="236" t="s">
        <v>236</v>
      </c>
      <c r="B50" s="317">
        <v>1030</v>
      </c>
      <c r="C50" s="217">
        <f>SUM(C51:C60)</f>
        <v>17210</v>
      </c>
      <c r="D50" s="217">
        <f t="shared" ref="D50:H50" si="21">SUM(D51:D60)</f>
        <v>18295</v>
      </c>
      <c r="E50" s="217">
        <f t="shared" si="21"/>
        <v>27602</v>
      </c>
      <c r="F50" s="217">
        <f t="shared" si="21"/>
        <v>6925</v>
      </c>
      <c r="G50" s="217">
        <f t="shared" si="21"/>
        <v>13850</v>
      </c>
      <c r="H50" s="217">
        <f t="shared" si="21"/>
        <v>20775</v>
      </c>
      <c r="I50" s="217">
        <f>SUM(I51:I60)</f>
        <v>27700</v>
      </c>
      <c r="J50" s="236"/>
      <c r="K50" s="230"/>
      <c r="L50" s="230"/>
      <c r="M50" s="231"/>
      <c r="N50" s="231"/>
    </row>
    <row r="51" spans="1:14" ht="20.100000000000001" customHeight="1">
      <c r="A51" s="236" t="s">
        <v>460</v>
      </c>
      <c r="B51" s="237" t="s">
        <v>451</v>
      </c>
      <c r="C51" s="217">
        <v>734</v>
      </c>
      <c r="D51" s="217">
        <v>595</v>
      </c>
      <c r="E51" s="217">
        <v>1700</v>
      </c>
      <c r="F51" s="217">
        <f>I51/4</f>
        <v>500</v>
      </c>
      <c r="G51" s="217">
        <f t="shared" ref="G51" si="22">I51/2</f>
        <v>1000</v>
      </c>
      <c r="H51" s="217">
        <f t="shared" ref="H51:H53" si="23">I51/4*3</f>
        <v>1500</v>
      </c>
      <c r="I51" s="217">
        <v>2000</v>
      </c>
      <c r="J51" s="236"/>
      <c r="K51" s="230"/>
      <c r="L51" s="230"/>
      <c r="M51" s="231"/>
      <c r="N51" s="231"/>
    </row>
    <row r="52" spans="1:14">
      <c r="A52" s="236" t="s">
        <v>554</v>
      </c>
      <c r="B52" s="237" t="s">
        <v>452</v>
      </c>
      <c r="C52" s="217">
        <v>824</v>
      </c>
      <c r="D52" s="217">
        <v>700</v>
      </c>
      <c r="E52" s="217">
        <v>400</v>
      </c>
      <c r="F52" s="217">
        <f t="shared" ref="F52:F53" si="24">I52/4</f>
        <v>175</v>
      </c>
      <c r="G52" s="217">
        <f t="shared" ref="G52:G53" si="25">I52/2</f>
        <v>350</v>
      </c>
      <c r="H52" s="217">
        <f t="shared" si="23"/>
        <v>525</v>
      </c>
      <c r="I52" s="217">
        <v>700</v>
      </c>
      <c r="J52" s="236"/>
      <c r="K52" s="230"/>
      <c r="L52" s="230"/>
      <c r="M52" s="231"/>
      <c r="N52" s="231"/>
    </row>
    <row r="53" spans="1:14" ht="24" customHeight="1">
      <c r="A53" s="236" t="s">
        <v>6</v>
      </c>
      <c r="B53" s="237" t="s">
        <v>453</v>
      </c>
      <c r="C53" s="217">
        <v>15241</v>
      </c>
      <c r="D53" s="217">
        <v>17000</v>
      </c>
      <c r="E53" s="217">
        <v>24330</v>
      </c>
      <c r="F53" s="217">
        <f t="shared" si="24"/>
        <v>6250</v>
      </c>
      <c r="G53" s="217">
        <f t="shared" si="25"/>
        <v>12500</v>
      </c>
      <c r="H53" s="217">
        <f t="shared" si="23"/>
        <v>18750</v>
      </c>
      <c r="I53" s="217">
        <v>25000</v>
      </c>
      <c r="J53" s="249" t="s">
        <v>542</v>
      </c>
      <c r="K53" s="230"/>
      <c r="L53" s="230"/>
      <c r="M53" s="231"/>
      <c r="N53" s="231"/>
    </row>
    <row r="54" spans="1:14" ht="19.5" customHeight="1">
      <c r="A54" s="236" t="s">
        <v>461</v>
      </c>
      <c r="B54" s="237" t="s">
        <v>454</v>
      </c>
      <c r="C54" s="217"/>
      <c r="D54" s="217"/>
      <c r="E54" s="217"/>
      <c r="F54" s="223"/>
      <c r="G54" s="223"/>
      <c r="H54" s="223"/>
      <c r="I54" s="223"/>
      <c r="J54" s="236"/>
      <c r="K54" s="230"/>
      <c r="L54" s="230"/>
      <c r="M54" s="231"/>
      <c r="N54" s="231"/>
    </row>
    <row r="55" spans="1:14" ht="37.5">
      <c r="A55" s="236" t="s">
        <v>462</v>
      </c>
      <c r="B55" s="237" t="s">
        <v>455</v>
      </c>
      <c r="C55" s="217">
        <v>187</v>
      </c>
      <c r="D55" s="217"/>
      <c r="E55" s="217"/>
      <c r="F55" s="223"/>
      <c r="G55" s="223"/>
      <c r="H55" s="223"/>
      <c r="I55" s="223"/>
      <c r="J55" s="236"/>
      <c r="K55" s="230"/>
      <c r="L55" s="230"/>
      <c r="M55" s="231"/>
      <c r="N55" s="231"/>
    </row>
    <row r="56" spans="1:14" ht="20.100000000000001" customHeight="1">
      <c r="A56" s="236" t="s">
        <v>463</v>
      </c>
      <c r="B56" s="237" t="s">
        <v>456</v>
      </c>
      <c r="C56" s="217"/>
      <c r="D56" s="217"/>
      <c r="E56" s="217"/>
      <c r="F56" s="223"/>
      <c r="G56" s="223"/>
      <c r="H56" s="223"/>
      <c r="I56" s="223"/>
      <c r="J56" s="236"/>
      <c r="K56" s="230"/>
      <c r="L56" s="230"/>
      <c r="M56" s="231"/>
      <c r="N56" s="231"/>
    </row>
    <row r="57" spans="1:14" ht="37.5">
      <c r="A57" s="236" t="s">
        <v>464</v>
      </c>
      <c r="B57" s="237" t="s">
        <v>457</v>
      </c>
      <c r="C57" s="217">
        <v>13</v>
      </c>
      <c r="D57" s="217"/>
      <c r="E57" s="217"/>
      <c r="F57" s="223"/>
      <c r="G57" s="223"/>
      <c r="H57" s="223"/>
      <c r="I57" s="223"/>
      <c r="J57" s="236"/>
      <c r="K57" s="230"/>
      <c r="L57" s="230"/>
      <c r="M57" s="231"/>
      <c r="N57" s="231"/>
    </row>
    <row r="58" spans="1:14" ht="37.5">
      <c r="A58" s="236" t="s">
        <v>465</v>
      </c>
      <c r="B58" s="237" t="s">
        <v>458</v>
      </c>
      <c r="C58" s="217">
        <v>211</v>
      </c>
      <c r="D58" s="217"/>
      <c r="E58" s="217">
        <f>853/3*4</f>
        <v>1137.3333333333333</v>
      </c>
      <c r="F58" s="223"/>
      <c r="G58" s="223"/>
      <c r="H58" s="223"/>
      <c r="I58" s="223"/>
      <c r="J58" s="236"/>
      <c r="K58" s="230"/>
      <c r="L58" s="230"/>
      <c r="M58" s="231"/>
      <c r="N58" s="231"/>
    </row>
    <row r="59" spans="1:14" ht="39.75" customHeight="1">
      <c r="A59" s="236" t="s">
        <v>466</v>
      </c>
      <c r="B59" s="237" t="s">
        <v>459</v>
      </c>
      <c r="C59" s="217"/>
      <c r="D59" s="217"/>
      <c r="E59" s="217">
        <f>26/3*4</f>
        <v>34.666666666666664</v>
      </c>
      <c r="F59" s="223"/>
      <c r="G59" s="223"/>
      <c r="H59" s="223"/>
      <c r="I59" s="223"/>
      <c r="J59" s="236"/>
      <c r="K59" s="230"/>
      <c r="L59" s="230"/>
      <c r="M59" s="231"/>
      <c r="N59" s="231"/>
    </row>
    <row r="60" spans="1:14" ht="20.100000000000001" customHeight="1">
      <c r="A60" s="236" t="s">
        <v>237</v>
      </c>
      <c r="B60" s="317">
        <v>1031</v>
      </c>
      <c r="C60" s="217"/>
      <c r="D60" s="217"/>
      <c r="E60" s="217">
        <v>0</v>
      </c>
      <c r="F60" s="223"/>
      <c r="G60" s="223"/>
      <c r="H60" s="223"/>
      <c r="I60" s="223"/>
      <c r="J60" s="236"/>
      <c r="K60" s="230"/>
      <c r="L60" s="230"/>
      <c r="M60" s="231"/>
      <c r="N60" s="231"/>
    </row>
    <row r="61" spans="1:14" ht="20.100000000000001" customHeight="1">
      <c r="A61" s="236" t="s">
        <v>244</v>
      </c>
      <c r="B61" s="317">
        <v>1040</v>
      </c>
      <c r="C61" s="216">
        <f>SUM(C62:C83)</f>
        <v>4277</v>
      </c>
      <c r="D61" s="216">
        <f t="shared" ref="D61:I61" si="26">SUM(D62:D83)</f>
        <v>6207</v>
      </c>
      <c r="E61" s="216">
        <f t="shared" si="26"/>
        <v>5499.9999999999991</v>
      </c>
      <c r="F61" s="216">
        <f t="shared" si="26"/>
        <v>1932.75</v>
      </c>
      <c r="G61" s="216">
        <f t="shared" si="26"/>
        <v>3863.5</v>
      </c>
      <c r="H61" s="216">
        <f t="shared" si="26"/>
        <v>5796.2499999999991</v>
      </c>
      <c r="I61" s="216">
        <f t="shared" si="26"/>
        <v>7728</v>
      </c>
      <c r="J61" s="236"/>
      <c r="K61" s="230"/>
      <c r="L61" s="230"/>
      <c r="M61" s="231"/>
      <c r="N61" s="231"/>
    </row>
    <row r="62" spans="1:14" ht="37.5">
      <c r="A62" s="236" t="s">
        <v>117</v>
      </c>
      <c r="B62" s="317">
        <v>1041</v>
      </c>
      <c r="C62" s="217">
        <v>136</v>
      </c>
      <c r="D62" s="217">
        <v>112</v>
      </c>
      <c r="E62" s="217">
        <f>286/3*4</f>
        <v>381.33333333333331</v>
      </c>
      <c r="F62" s="217">
        <f t="shared" ref="F62" si="27">I62/4</f>
        <v>97.5</v>
      </c>
      <c r="G62" s="217">
        <f t="shared" ref="G62" si="28">I62/2</f>
        <v>195</v>
      </c>
      <c r="H62" s="217">
        <f t="shared" ref="H62" si="29">I62/4*3</f>
        <v>292.5</v>
      </c>
      <c r="I62" s="217">
        <v>390</v>
      </c>
      <c r="J62" s="223"/>
      <c r="K62" s="230"/>
      <c r="L62" s="230"/>
      <c r="M62" s="231"/>
      <c r="N62" s="231"/>
    </row>
    <row r="63" spans="1:14" ht="37.5" customHeight="1">
      <c r="A63" s="236" t="s">
        <v>226</v>
      </c>
      <c r="B63" s="317">
        <v>1042</v>
      </c>
      <c r="C63" s="217"/>
      <c r="D63" s="217"/>
      <c r="E63" s="217"/>
      <c r="F63" s="217"/>
      <c r="G63" s="217"/>
      <c r="H63" s="217"/>
      <c r="I63" s="217"/>
      <c r="J63" s="236"/>
      <c r="K63" s="230"/>
      <c r="L63" s="230"/>
      <c r="M63" s="231"/>
      <c r="N63" s="231"/>
    </row>
    <row r="64" spans="1:14" ht="20.100000000000001" customHeight="1">
      <c r="A64" s="236" t="s">
        <v>62</v>
      </c>
      <c r="B64" s="317">
        <v>1043</v>
      </c>
      <c r="C64" s="217"/>
      <c r="D64" s="217"/>
      <c r="E64" s="217"/>
      <c r="F64" s="217"/>
      <c r="G64" s="217"/>
      <c r="H64" s="217"/>
      <c r="I64" s="217"/>
      <c r="J64" s="236"/>
      <c r="K64" s="230"/>
      <c r="L64" s="230"/>
      <c r="M64" s="231"/>
      <c r="N64" s="231"/>
    </row>
    <row r="65" spans="1:18" ht="20.100000000000001" customHeight="1">
      <c r="A65" s="236" t="s">
        <v>21</v>
      </c>
      <c r="B65" s="317">
        <v>1044</v>
      </c>
      <c r="C65" s="217"/>
      <c r="D65" s="217"/>
      <c r="E65" s="217"/>
      <c r="F65" s="217"/>
      <c r="G65" s="217"/>
      <c r="H65" s="217"/>
      <c r="I65" s="217"/>
      <c r="J65" s="236"/>
      <c r="K65" s="230"/>
      <c r="L65" s="230"/>
      <c r="M65" s="231"/>
      <c r="N65" s="231"/>
    </row>
    <row r="66" spans="1:18" ht="20.100000000000001" customHeight="1">
      <c r="A66" s="236" t="s">
        <v>22</v>
      </c>
      <c r="B66" s="317">
        <v>1045</v>
      </c>
      <c r="C66" s="217"/>
      <c r="D66" s="217"/>
      <c r="E66" s="217"/>
      <c r="F66" s="217"/>
      <c r="G66" s="217"/>
      <c r="H66" s="217"/>
      <c r="I66" s="217"/>
      <c r="J66" s="236"/>
      <c r="K66" s="230"/>
      <c r="L66" s="230"/>
      <c r="M66" s="231"/>
      <c r="N66" s="231"/>
    </row>
    <row r="67" spans="1:18" s="1" customFormat="1" ht="20.100000000000001" customHeight="1">
      <c r="A67" s="236" t="s">
        <v>40</v>
      </c>
      <c r="B67" s="317">
        <v>1046</v>
      </c>
      <c r="C67" s="217">
        <v>4</v>
      </c>
      <c r="D67" s="217">
        <v>9</v>
      </c>
      <c r="E67" s="217">
        <f>12/3*4</f>
        <v>16</v>
      </c>
      <c r="F67" s="217">
        <f t="shared" ref="F67" si="30">I67/4</f>
        <v>4.4000000000000004</v>
      </c>
      <c r="G67" s="217">
        <f t="shared" ref="G67" si="31">I67/2</f>
        <v>8.8000000000000007</v>
      </c>
      <c r="H67" s="217">
        <f t="shared" ref="H67:H71" si="32">I67/4*3</f>
        <v>13.200000000000001</v>
      </c>
      <c r="I67" s="217">
        <f>16*1.1</f>
        <v>17.600000000000001</v>
      </c>
      <c r="J67" s="236"/>
      <c r="K67" s="243"/>
      <c r="L67" s="243"/>
      <c r="M67" s="244"/>
      <c r="N67" s="244"/>
    </row>
    <row r="68" spans="1:18" s="1" customFormat="1" ht="20.100000000000001" customHeight="1">
      <c r="A68" s="236" t="s">
        <v>41</v>
      </c>
      <c r="B68" s="317">
        <v>1047</v>
      </c>
      <c r="C68" s="217">
        <v>24</v>
      </c>
      <c r="D68" s="217">
        <v>28</v>
      </c>
      <c r="E68" s="217">
        <f>24/3*4</f>
        <v>32</v>
      </c>
      <c r="F68" s="217">
        <f t="shared" ref="F68:F71" si="33">I68/4</f>
        <v>8.75</v>
      </c>
      <c r="G68" s="217">
        <f t="shared" ref="G68:G71" si="34">I68/2</f>
        <v>17.5</v>
      </c>
      <c r="H68" s="217">
        <f t="shared" si="32"/>
        <v>26.25</v>
      </c>
      <c r="I68" s="217">
        <v>35</v>
      </c>
      <c r="J68" s="236"/>
      <c r="K68" s="243"/>
      <c r="L68" s="243"/>
      <c r="M68" s="244"/>
      <c r="N68" s="244"/>
    </row>
    <row r="69" spans="1:18" s="1" customFormat="1" ht="20.100000000000001" customHeight="1">
      <c r="A69" s="236" t="s">
        <v>42</v>
      </c>
      <c r="B69" s="317">
        <v>1048</v>
      </c>
      <c r="C69" s="217">
        <v>2702</v>
      </c>
      <c r="D69" s="217">
        <v>3896</v>
      </c>
      <c r="E69" s="217">
        <f>2642/3*4</f>
        <v>3522.6666666666665</v>
      </c>
      <c r="F69" s="217">
        <v>1182</v>
      </c>
      <c r="G69" s="217">
        <v>2363</v>
      </c>
      <c r="H69" s="217">
        <v>3545</v>
      </c>
      <c r="I69" s="217">
        <v>4726</v>
      </c>
      <c r="J69" s="236"/>
      <c r="K69" s="243">
        <f>G69-F69</f>
        <v>1181</v>
      </c>
      <c r="L69" s="243">
        <f>H69-G69</f>
        <v>1182</v>
      </c>
      <c r="M69" s="245">
        <f>I69-H69</f>
        <v>1181</v>
      </c>
      <c r="N69" s="244"/>
    </row>
    <row r="70" spans="1:18" s="1" customFormat="1" ht="20.100000000000001" customHeight="1">
      <c r="A70" s="236" t="s">
        <v>43</v>
      </c>
      <c r="B70" s="317">
        <v>1049</v>
      </c>
      <c r="C70" s="217">
        <v>549</v>
      </c>
      <c r="D70" s="217">
        <v>857</v>
      </c>
      <c r="E70" s="217">
        <f>520/3*4</f>
        <v>693.33333333333337</v>
      </c>
      <c r="F70" s="132">
        <v>240</v>
      </c>
      <c r="G70" s="132">
        <v>479</v>
      </c>
      <c r="H70" s="132">
        <v>719</v>
      </c>
      <c r="I70" s="132">
        <v>959</v>
      </c>
      <c r="J70" s="236"/>
      <c r="K70" s="246">
        <f>F69*22%</f>
        <v>260.04000000000002</v>
      </c>
      <c r="L70" s="246">
        <f>G69*22%</f>
        <v>519.86</v>
      </c>
      <c r="M70" s="246">
        <f>H69*22%</f>
        <v>779.9</v>
      </c>
      <c r="N70" s="246">
        <f>I69*22%</f>
        <v>1039.72</v>
      </c>
      <c r="O70" s="1">
        <v>149</v>
      </c>
      <c r="P70" s="1">
        <v>298</v>
      </c>
      <c r="Q70" s="1">
        <v>448</v>
      </c>
      <c r="R70" s="1">
        <v>596</v>
      </c>
    </row>
    <row r="71" spans="1:18" s="1" customFormat="1" ht="56.25">
      <c r="A71" s="236" t="s">
        <v>44</v>
      </c>
      <c r="B71" s="317">
        <v>1050</v>
      </c>
      <c r="C71" s="217">
        <v>88</v>
      </c>
      <c r="D71" s="217">
        <v>108</v>
      </c>
      <c r="E71" s="217">
        <f>84/3*4</f>
        <v>112</v>
      </c>
      <c r="F71" s="217">
        <f t="shared" si="33"/>
        <v>30.800000000000004</v>
      </c>
      <c r="G71" s="217">
        <f t="shared" si="34"/>
        <v>61.600000000000009</v>
      </c>
      <c r="H71" s="217">
        <f t="shared" si="32"/>
        <v>92.4</v>
      </c>
      <c r="I71" s="217">
        <f>112*1.1</f>
        <v>123.20000000000002</v>
      </c>
      <c r="J71" s="236"/>
      <c r="K71" s="243"/>
      <c r="L71" s="243"/>
      <c r="M71" s="244"/>
      <c r="N71" s="244"/>
      <c r="O71" s="332">
        <f>(F69-O70)*22%+O70*8.41%</f>
        <v>239.79089999999999</v>
      </c>
      <c r="P71" s="332">
        <f t="shared" ref="P71:R71" si="35">(G69-P70)*22%+P70*8.41%</f>
        <v>479.36180000000002</v>
      </c>
      <c r="Q71" s="332">
        <f t="shared" si="35"/>
        <v>719.01679999999999</v>
      </c>
      <c r="R71" s="332">
        <f t="shared" si="35"/>
        <v>958.72360000000003</v>
      </c>
    </row>
    <row r="72" spans="1:18" s="1" customFormat="1" ht="56.25">
      <c r="A72" s="236" t="s">
        <v>45</v>
      </c>
      <c r="B72" s="317">
        <v>1051</v>
      </c>
      <c r="C72" s="217"/>
      <c r="D72" s="217"/>
      <c r="E72" s="217"/>
      <c r="F72" s="223"/>
      <c r="G72" s="223"/>
      <c r="H72" s="223"/>
      <c r="I72" s="223"/>
      <c r="J72" s="236"/>
      <c r="K72" s="243"/>
      <c r="L72" s="243"/>
      <c r="M72" s="244"/>
      <c r="N72" s="244"/>
    </row>
    <row r="73" spans="1:18" s="1" customFormat="1" ht="37.5">
      <c r="A73" s="236" t="s">
        <v>46</v>
      </c>
      <c r="B73" s="317">
        <v>1052</v>
      </c>
      <c r="C73" s="217"/>
      <c r="D73" s="217"/>
      <c r="E73" s="217"/>
      <c r="F73" s="223"/>
      <c r="G73" s="223"/>
      <c r="H73" s="223"/>
      <c r="I73" s="223"/>
      <c r="J73" s="236"/>
      <c r="K73" s="243"/>
      <c r="L73" s="243"/>
      <c r="M73" s="244"/>
      <c r="N73" s="244"/>
    </row>
    <row r="74" spans="1:18" s="1" customFormat="1" ht="45" customHeight="1">
      <c r="A74" s="236" t="s">
        <v>47</v>
      </c>
      <c r="B74" s="317">
        <v>1053</v>
      </c>
      <c r="C74" s="217"/>
      <c r="D74" s="217"/>
      <c r="E74" s="217"/>
      <c r="F74" s="223"/>
      <c r="G74" s="223"/>
      <c r="H74" s="223"/>
      <c r="I74" s="223"/>
      <c r="J74" s="236"/>
      <c r="K74" s="243"/>
      <c r="L74" s="243"/>
      <c r="M74" s="244"/>
      <c r="N74" s="244"/>
    </row>
    <row r="75" spans="1:18" s="1" customFormat="1" ht="57.75" customHeight="1">
      <c r="A75" s="236" t="s">
        <v>541</v>
      </c>
      <c r="B75" s="317">
        <v>1054</v>
      </c>
      <c r="C75" s="217">
        <v>19</v>
      </c>
      <c r="D75" s="217">
        <v>16</v>
      </c>
      <c r="E75" s="217">
        <f>10/3*4</f>
        <v>13.333333333333334</v>
      </c>
      <c r="F75" s="217">
        <f t="shared" ref="F75" si="36">I75/4</f>
        <v>7.5</v>
      </c>
      <c r="G75" s="217">
        <f t="shared" ref="G75" si="37">I75/2</f>
        <v>15</v>
      </c>
      <c r="H75" s="217">
        <f t="shared" ref="H75" si="38">I75/4*3</f>
        <v>22.5</v>
      </c>
      <c r="I75" s="217">
        <v>30</v>
      </c>
      <c r="J75" s="247" t="s">
        <v>543</v>
      </c>
      <c r="K75" s="243"/>
      <c r="L75" s="243"/>
      <c r="M75" s="244"/>
      <c r="N75" s="244"/>
    </row>
    <row r="76" spans="1:18" s="1" customFormat="1" ht="20.100000000000001" customHeight="1">
      <c r="A76" s="236" t="s">
        <v>66</v>
      </c>
      <c r="B76" s="317">
        <v>1055</v>
      </c>
      <c r="C76" s="217">
        <v>32</v>
      </c>
      <c r="D76" s="217">
        <v>82</v>
      </c>
      <c r="E76" s="217">
        <f>61/3*4</f>
        <v>81.333333333333329</v>
      </c>
      <c r="F76" s="217">
        <f>I76/4</f>
        <v>20.5</v>
      </c>
      <c r="G76" s="217">
        <f>I76/2</f>
        <v>41</v>
      </c>
      <c r="H76" s="217">
        <f>I76/4*3</f>
        <v>61.5</v>
      </c>
      <c r="I76" s="217">
        <v>82</v>
      </c>
      <c r="J76" s="236"/>
      <c r="K76" s="243"/>
      <c r="L76" s="243"/>
      <c r="M76" s="244"/>
      <c r="N76" s="244"/>
    </row>
    <row r="77" spans="1:18" s="1" customFormat="1" ht="20.100000000000001" customHeight="1">
      <c r="A77" s="236" t="s">
        <v>48</v>
      </c>
      <c r="B77" s="317">
        <v>1056</v>
      </c>
      <c r="C77" s="217"/>
      <c r="D77" s="217"/>
      <c r="E77" s="217"/>
      <c r="F77" s="223"/>
      <c r="G77" s="223"/>
      <c r="H77" s="223"/>
      <c r="I77" s="223"/>
      <c r="J77" s="236"/>
      <c r="K77" s="243"/>
      <c r="L77" s="243"/>
      <c r="M77" s="244"/>
      <c r="N77" s="244"/>
    </row>
    <row r="78" spans="1:18" s="1" customFormat="1" ht="20.100000000000001" customHeight="1">
      <c r="A78" s="236" t="s">
        <v>49</v>
      </c>
      <c r="B78" s="317">
        <v>1057</v>
      </c>
      <c r="C78" s="217"/>
      <c r="D78" s="217"/>
      <c r="E78" s="217"/>
      <c r="F78" s="223"/>
      <c r="G78" s="223"/>
      <c r="H78" s="223"/>
      <c r="I78" s="223"/>
      <c r="J78" s="236"/>
      <c r="K78" s="243"/>
      <c r="L78" s="243"/>
      <c r="M78" s="244"/>
      <c r="N78" s="244"/>
    </row>
    <row r="79" spans="1:18" s="1" customFormat="1" ht="37.5">
      <c r="A79" s="236" t="s">
        <v>50</v>
      </c>
      <c r="B79" s="317">
        <v>1058</v>
      </c>
      <c r="C79" s="217"/>
      <c r="D79" s="217"/>
      <c r="E79" s="217">
        <f>17/3*4</f>
        <v>22.666666666666668</v>
      </c>
      <c r="F79" s="223"/>
      <c r="G79" s="223"/>
      <c r="H79" s="223"/>
      <c r="I79" s="223"/>
      <c r="J79" s="236"/>
      <c r="K79" s="243"/>
      <c r="L79" s="243"/>
      <c r="M79" s="244"/>
      <c r="N79" s="244"/>
    </row>
    <row r="80" spans="1:18" s="1" customFormat="1" ht="37.5">
      <c r="A80" s="236" t="s">
        <v>51</v>
      </c>
      <c r="B80" s="317">
        <v>1059</v>
      </c>
      <c r="C80" s="217"/>
      <c r="D80" s="217"/>
      <c r="E80" s="217"/>
      <c r="F80" s="250"/>
      <c r="G80" s="250"/>
      <c r="H80" s="250"/>
      <c r="I80" s="250"/>
      <c r="J80" s="236"/>
      <c r="K80" s="243"/>
      <c r="L80" s="243"/>
      <c r="M80" s="244"/>
      <c r="N80" s="244"/>
    </row>
    <row r="81" spans="1:14" s="1" customFormat="1" ht="75">
      <c r="A81" s="236" t="s">
        <v>79</v>
      </c>
      <c r="B81" s="317">
        <v>1060</v>
      </c>
      <c r="C81" s="217"/>
      <c r="D81" s="217"/>
      <c r="E81" s="217"/>
      <c r="F81" s="217">
        <f>I81/4</f>
        <v>22.5</v>
      </c>
      <c r="G81" s="217">
        <f>I81/2</f>
        <v>45</v>
      </c>
      <c r="H81" s="217">
        <f>I81/4*3</f>
        <v>67.5</v>
      </c>
      <c r="I81" s="217">
        <v>90</v>
      </c>
      <c r="J81" s="236"/>
      <c r="K81" s="243"/>
      <c r="L81" s="243"/>
      <c r="M81" s="244"/>
      <c r="N81" s="244"/>
    </row>
    <row r="82" spans="1:14" s="1" customFormat="1" ht="39.75" customHeight="1">
      <c r="A82" s="236" t="s">
        <v>576</v>
      </c>
      <c r="B82" s="317">
        <v>1061</v>
      </c>
      <c r="C82" s="217"/>
      <c r="D82" s="217"/>
      <c r="E82" s="217"/>
      <c r="F82" s="223"/>
      <c r="G82" s="223"/>
      <c r="H82" s="223"/>
      <c r="I82" s="223"/>
      <c r="J82" s="236"/>
      <c r="K82" s="243"/>
      <c r="L82" s="243"/>
      <c r="M82" s="244"/>
      <c r="N82" s="244"/>
    </row>
    <row r="83" spans="1:14" s="1" customFormat="1" ht="37.5">
      <c r="A83" s="236" t="s">
        <v>121</v>
      </c>
      <c r="B83" s="317">
        <v>1062</v>
      </c>
      <c r="C83" s="216">
        <f>C84+C85+C86+C87+C88+C89</f>
        <v>723</v>
      </c>
      <c r="D83" s="216">
        <f>D84+D85+D86+D87+D88+D89</f>
        <v>1099</v>
      </c>
      <c r="E83" s="216">
        <f>E84+E85+E86+E87+E88+E97+E89</f>
        <v>625.33333333333326</v>
      </c>
      <c r="F83" s="216">
        <f>F84+F85+F86+F87+F88+F89</f>
        <v>318.8</v>
      </c>
      <c r="G83" s="216">
        <f t="shared" ref="G83:H83" si="39">G84+G85+G86+G87+G88+G89</f>
        <v>637.6</v>
      </c>
      <c r="H83" s="216">
        <f t="shared" si="39"/>
        <v>956.4</v>
      </c>
      <c r="I83" s="216">
        <f>I84+I85+I86+I87+I88+I89</f>
        <v>1275.2</v>
      </c>
      <c r="J83" s="236"/>
      <c r="K83" s="243"/>
      <c r="L83" s="243"/>
      <c r="M83" s="244"/>
      <c r="N83" s="244"/>
    </row>
    <row r="84" spans="1:14" s="1" customFormat="1">
      <c r="A84" s="236" t="s">
        <v>467</v>
      </c>
      <c r="B84" s="317" t="s">
        <v>468</v>
      </c>
      <c r="C84" s="216">
        <v>18</v>
      </c>
      <c r="D84" s="216">
        <v>22</v>
      </c>
      <c r="E84" s="216">
        <f>12/3*4</f>
        <v>16</v>
      </c>
      <c r="F84" s="217">
        <f t="shared" ref="F84" si="40">I84/4</f>
        <v>5.5</v>
      </c>
      <c r="G84" s="217">
        <f t="shared" ref="G84" si="41">I84/2</f>
        <v>11</v>
      </c>
      <c r="H84" s="217">
        <f t="shared" ref="H84:H89" si="42">I84/4*3</f>
        <v>16.5</v>
      </c>
      <c r="I84" s="216">
        <v>22</v>
      </c>
      <c r="J84" s="236"/>
      <c r="K84" s="243"/>
      <c r="L84" s="243"/>
      <c r="M84" s="244"/>
      <c r="N84" s="244"/>
    </row>
    <row r="85" spans="1:14" s="1" customFormat="1">
      <c r="A85" s="236" t="s">
        <v>469</v>
      </c>
      <c r="B85" s="317" t="s">
        <v>470</v>
      </c>
      <c r="C85" s="216">
        <v>18</v>
      </c>
      <c r="D85" s="216">
        <v>36</v>
      </c>
      <c r="E85" s="216">
        <f>19/3*4</f>
        <v>25.333333333333332</v>
      </c>
      <c r="F85" s="217">
        <f t="shared" ref="F85:F88" si="43">I85/4</f>
        <v>9</v>
      </c>
      <c r="G85" s="217">
        <f t="shared" ref="G85:G89" si="44">I85/2</f>
        <v>18</v>
      </c>
      <c r="H85" s="217">
        <f t="shared" si="42"/>
        <v>27</v>
      </c>
      <c r="I85" s="216">
        <v>36</v>
      </c>
      <c r="J85" s="236"/>
      <c r="K85" s="243"/>
      <c r="L85" s="243"/>
      <c r="M85" s="244"/>
      <c r="N85" s="244"/>
    </row>
    <row r="86" spans="1:14" s="1" customFormat="1" ht="38.25">
      <c r="A86" s="236" t="s">
        <v>471</v>
      </c>
      <c r="B86" s="317" t="s">
        <v>472</v>
      </c>
      <c r="C86" s="216">
        <v>265</v>
      </c>
      <c r="D86" s="216">
        <v>290</v>
      </c>
      <c r="E86" s="216">
        <f>197/3*4</f>
        <v>262.66666666666669</v>
      </c>
      <c r="F86" s="217">
        <f t="shared" si="43"/>
        <v>72.5</v>
      </c>
      <c r="G86" s="217">
        <f t="shared" si="44"/>
        <v>145</v>
      </c>
      <c r="H86" s="217">
        <f t="shared" si="42"/>
        <v>217.5</v>
      </c>
      <c r="I86" s="216">
        <v>290</v>
      </c>
      <c r="J86" s="242" t="s">
        <v>591</v>
      </c>
      <c r="K86" s="243"/>
      <c r="L86" s="243"/>
      <c r="M86" s="244"/>
      <c r="N86" s="244"/>
    </row>
    <row r="87" spans="1:14" s="1" customFormat="1" ht="75">
      <c r="A87" s="236" t="s">
        <v>540</v>
      </c>
      <c r="B87" s="317" t="s">
        <v>473</v>
      </c>
      <c r="C87" s="216">
        <v>41</v>
      </c>
      <c r="D87" s="216">
        <v>150</v>
      </c>
      <c r="E87" s="216">
        <f>19/3*4</f>
        <v>25.333333333333332</v>
      </c>
      <c r="F87" s="217">
        <f t="shared" si="43"/>
        <v>37.5</v>
      </c>
      <c r="G87" s="217">
        <f t="shared" si="44"/>
        <v>75</v>
      </c>
      <c r="H87" s="217">
        <f t="shared" si="42"/>
        <v>112.5</v>
      </c>
      <c r="I87" s="216">
        <v>150</v>
      </c>
      <c r="J87" s="236"/>
      <c r="K87" s="243"/>
      <c r="L87" s="243"/>
      <c r="M87" s="244"/>
      <c r="N87" s="244"/>
    </row>
    <row r="88" spans="1:14" s="1" customFormat="1">
      <c r="A88" s="236" t="s">
        <v>572</v>
      </c>
      <c r="B88" s="317" t="s">
        <v>474</v>
      </c>
      <c r="C88" s="216">
        <v>41</v>
      </c>
      <c r="D88" s="216">
        <v>51</v>
      </c>
      <c r="E88" s="216">
        <f>39/3*4</f>
        <v>52</v>
      </c>
      <c r="F88" s="217">
        <f t="shared" si="43"/>
        <v>14.3</v>
      </c>
      <c r="G88" s="217">
        <f t="shared" si="44"/>
        <v>28.6</v>
      </c>
      <c r="H88" s="217">
        <f t="shared" si="42"/>
        <v>42.900000000000006</v>
      </c>
      <c r="I88" s="216">
        <f>52*1.1</f>
        <v>57.2</v>
      </c>
      <c r="J88" s="236"/>
      <c r="K88" s="243"/>
      <c r="L88" s="243"/>
      <c r="M88" s="244"/>
      <c r="N88" s="244"/>
    </row>
    <row r="89" spans="1:14" s="1" customFormat="1" ht="37.5">
      <c r="A89" s="236" t="s">
        <v>568</v>
      </c>
      <c r="B89" s="317" t="s">
        <v>569</v>
      </c>
      <c r="C89" s="216">
        <v>340</v>
      </c>
      <c r="D89" s="216">
        <v>550</v>
      </c>
      <c r="E89" s="216">
        <f>183/3*4</f>
        <v>244</v>
      </c>
      <c r="F89" s="217">
        <f>I89/4</f>
        <v>180</v>
      </c>
      <c r="G89" s="217">
        <f t="shared" si="44"/>
        <v>360</v>
      </c>
      <c r="H89" s="217">
        <f t="shared" si="42"/>
        <v>540</v>
      </c>
      <c r="I89" s="216">
        <v>720</v>
      </c>
      <c r="J89" s="236"/>
      <c r="K89" s="243"/>
      <c r="L89" s="243"/>
      <c r="M89" s="244"/>
      <c r="N89" s="244"/>
    </row>
    <row r="90" spans="1:14" ht="20.100000000000001" customHeight="1">
      <c r="A90" s="236" t="s">
        <v>245</v>
      </c>
      <c r="B90" s="317">
        <v>1070</v>
      </c>
      <c r="C90" s="216"/>
      <c r="D90" s="216"/>
      <c r="E90" s="216"/>
      <c r="F90" s="222"/>
      <c r="G90" s="222"/>
      <c r="H90" s="222"/>
      <c r="I90" s="222"/>
      <c r="J90" s="236"/>
      <c r="K90" s="230"/>
      <c r="L90" s="230"/>
      <c r="M90" s="231"/>
      <c r="N90" s="231"/>
    </row>
    <row r="91" spans="1:14" s="1" customFormat="1" ht="20.100000000000001" customHeight="1">
      <c r="A91" s="236" t="s">
        <v>204</v>
      </c>
      <c r="B91" s="317">
        <v>1071</v>
      </c>
      <c r="C91" s="217"/>
      <c r="D91" s="217"/>
      <c r="E91" s="217"/>
      <c r="F91" s="223"/>
      <c r="G91" s="223"/>
      <c r="H91" s="223"/>
      <c r="I91" s="223"/>
      <c r="J91" s="236"/>
      <c r="K91" s="243"/>
      <c r="L91" s="243"/>
      <c r="M91" s="244"/>
      <c r="N91" s="244"/>
    </row>
    <row r="92" spans="1:14" s="1" customFormat="1" ht="20.100000000000001" customHeight="1">
      <c r="A92" s="236" t="s">
        <v>205</v>
      </c>
      <c r="B92" s="317">
        <v>1072</v>
      </c>
      <c r="C92" s="217"/>
      <c r="D92" s="217"/>
      <c r="E92" s="217"/>
      <c r="F92" s="223"/>
      <c r="G92" s="223"/>
      <c r="H92" s="223"/>
      <c r="I92" s="223"/>
      <c r="J92" s="236"/>
      <c r="K92" s="243"/>
      <c r="L92" s="243"/>
      <c r="M92" s="244"/>
      <c r="N92" s="244"/>
    </row>
    <row r="93" spans="1:14" s="1" customFormat="1" ht="20.100000000000001" customHeight="1">
      <c r="A93" s="236" t="s">
        <v>42</v>
      </c>
      <c r="B93" s="317">
        <v>1073</v>
      </c>
      <c r="C93" s="217"/>
      <c r="D93" s="217"/>
      <c r="E93" s="217"/>
      <c r="F93" s="223"/>
      <c r="G93" s="223"/>
      <c r="H93" s="223"/>
      <c r="I93" s="223"/>
      <c r="J93" s="236"/>
      <c r="K93" s="243"/>
      <c r="L93" s="243"/>
      <c r="M93" s="244"/>
      <c r="N93" s="244"/>
    </row>
    <row r="94" spans="1:14" s="1" customFormat="1" ht="37.5">
      <c r="A94" s="236" t="s">
        <v>63</v>
      </c>
      <c r="B94" s="317">
        <v>1074</v>
      </c>
      <c r="C94" s="217"/>
      <c r="D94" s="217"/>
      <c r="E94" s="217"/>
      <c r="F94" s="223"/>
      <c r="G94" s="223"/>
      <c r="H94" s="223"/>
      <c r="I94" s="223"/>
      <c r="J94" s="236"/>
      <c r="K94" s="243"/>
      <c r="L94" s="243"/>
      <c r="M94" s="244"/>
      <c r="N94" s="244"/>
    </row>
    <row r="95" spans="1:14" s="1" customFormat="1" ht="20.100000000000001" customHeight="1">
      <c r="A95" s="236" t="s">
        <v>82</v>
      </c>
      <c r="B95" s="317">
        <v>1075</v>
      </c>
      <c r="C95" s="217"/>
      <c r="D95" s="217"/>
      <c r="E95" s="217"/>
      <c r="F95" s="223"/>
      <c r="G95" s="223"/>
      <c r="H95" s="223"/>
      <c r="I95" s="223"/>
      <c r="J95" s="236"/>
      <c r="K95" s="243"/>
      <c r="L95" s="243"/>
      <c r="M95" s="244"/>
      <c r="N95" s="244"/>
    </row>
    <row r="96" spans="1:14" s="1" customFormat="1" ht="20.100000000000001" customHeight="1">
      <c r="A96" s="236" t="s">
        <v>136</v>
      </c>
      <c r="B96" s="317">
        <v>1076</v>
      </c>
      <c r="C96" s="217"/>
      <c r="D96" s="217"/>
      <c r="E96" s="217"/>
      <c r="F96" s="223"/>
      <c r="G96" s="223"/>
      <c r="H96" s="223"/>
      <c r="I96" s="223"/>
      <c r="J96" s="236"/>
      <c r="K96" s="243"/>
      <c r="L96" s="243"/>
      <c r="M96" s="244"/>
      <c r="N96" s="244"/>
    </row>
    <row r="97" spans="1:14" s="1" customFormat="1" ht="28.5" customHeight="1">
      <c r="A97" s="236" t="s">
        <v>43</v>
      </c>
      <c r="B97" s="319" t="s">
        <v>407</v>
      </c>
      <c r="C97" s="217"/>
      <c r="D97" s="217"/>
      <c r="E97" s="217"/>
      <c r="F97" s="223"/>
      <c r="G97" s="223"/>
      <c r="H97" s="223"/>
      <c r="I97" s="223"/>
      <c r="J97" s="242"/>
      <c r="K97" s="243"/>
      <c r="L97" s="243"/>
      <c r="M97" s="244"/>
      <c r="N97" s="244"/>
    </row>
    <row r="98" spans="1:14" s="1" customFormat="1" ht="37.5">
      <c r="A98" s="251" t="s">
        <v>84</v>
      </c>
      <c r="B98" s="317">
        <v>1080</v>
      </c>
      <c r="C98" s="216">
        <f>SUM(C99:C103)</f>
        <v>15989</v>
      </c>
      <c r="D98" s="216">
        <f t="shared" ref="D98" si="45">SUM(D99:D103)</f>
        <v>17707</v>
      </c>
      <c r="E98" s="216">
        <f>SUM(E99:E103)</f>
        <v>24490.333333333332</v>
      </c>
      <c r="F98" s="216">
        <f>SUM(F99:F103)</f>
        <v>6370</v>
      </c>
      <c r="G98" s="216">
        <f>SUM(G99:G103)</f>
        <v>12740</v>
      </c>
      <c r="H98" s="216">
        <f>SUM(H99:H103)</f>
        <v>19110</v>
      </c>
      <c r="I98" s="216">
        <f>SUM(I99:I103)</f>
        <v>25480</v>
      </c>
      <c r="J98" s="236"/>
      <c r="K98" s="243"/>
      <c r="L98" s="243"/>
      <c r="M98" s="244"/>
      <c r="N98" s="244"/>
    </row>
    <row r="99" spans="1:14" s="1" customFormat="1" ht="20.100000000000001" customHeight="1">
      <c r="A99" s="236" t="s">
        <v>73</v>
      </c>
      <c r="B99" s="317">
        <v>1081</v>
      </c>
      <c r="C99" s="217"/>
      <c r="D99" s="217"/>
      <c r="E99" s="217"/>
      <c r="F99" s="223"/>
      <c r="G99" s="223"/>
      <c r="H99" s="223"/>
      <c r="I99" s="223"/>
      <c r="J99" s="236"/>
      <c r="K99" s="243"/>
      <c r="L99" s="243"/>
      <c r="M99" s="244"/>
      <c r="N99" s="244"/>
    </row>
    <row r="100" spans="1:14" s="1" customFormat="1" ht="37.5">
      <c r="A100" s="236" t="s">
        <v>52</v>
      </c>
      <c r="B100" s="317">
        <v>1082</v>
      </c>
      <c r="C100" s="217"/>
      <c r="D100" s="217"/>
      <c r="E100" s="217"/>
      <c r="F100" s="223"/>
      <c r="G100" s="223"/>
      <c r="H100" s="223"/>
      <c r="I100" s="223"/>
      <c r="J100" s="236"/>
      <c r="K100" s="243"/>
      <c r="L100" s="243"/>
      <c r="M100" s="244"/>
      <c r="N100" s="244"/>
    </row>
    <row r="101" spans="1:14" s="1" customFormat="1">
      <c r="A101" s="236" t="s">
        <v>504</v>
      </c>
      <c r="B101" s="317">
        <v>1083</v>
      </c>
      <c r="C101" s="217"/>
      <c r="D101" s="217"/>
      <c r="E101" s="217"/>
      <c r="F101" s="223"/>
      <c r="G101" s="223"/>
      <c r="H101" s="223"/>
      <c r="I101" s="223"/>
      <c r="J101" s="236"/>
      <c r="K101" s="243"/>
      <c r="L101" s="243"/>
      <c r="M101" s="244"/>
      <c r="N101" s="244"/>
    </row>
    <row r="102" spans="1:14" s="1" customFormat="1" ht="20.100000000000001" customHeight="1">
      <c r="A102" s="236" t="s">
        <v>237</v>
      </c>
      <c r="B102" s="317">
        <v>1084</v>
      </c>
      <c r="C102" s="217"/>
      <c r="D102" s="217"/>
      <c r="E102" s="217"/>
      <c r="F102" s="223"/>
      <c r="G102" s="223"/>
      <c r="H102" s="223"/>
      <c r="I102" s="223"/>
      <c r="J102" s="236"/>
      <c r="K102" s="243"/>
      <c r="L102" s="243"/>
      <c r="M102" s="244"/>
      <c r="N102" s="244"/>
    </row>
    <row r="103" spans="1:14" s="1" customFormat="1" ht="20.100000000000001" customHeight="1">
      <c r="A103" s="236" t="s">
        <v>268</v>
      </c>
      <c r="B103" s="317">
        <v>1085</v>
      </c>
      <c r="C103" s="217">
        <f>C105+C106+C110+C111+C112+C113+C118+C119+C120+C121+C122+C107+C117</f>
        <v>15989</v>
      </c>
      <c r="D103" s="217">
        <f>D105+D110+D119+D120+D121+D106+D115+D118</f>
        <v>17707</v>
      </c>
      <c r="E103" s="217">
        <f>E104+E105+E106+E107+E108+E109+E110+E111++E113+E114+E115+E116+E118+E119+E120</f>
        <v>24490.333333333332</v>
      </c>
      <c r="F103" s="217">
        <f>F104+F105+F106+F107+F108+F109+F110+F111++F113+F114+F115+F116+F118+F119+F120+F112</f>
        <v>6370</v>
      </c>
      <c r="G103" s="217">
        <f>G104+G105+G106+G107+G108+G109+G110+G111++G113+G114+G115+G116+G118+G119+G120+G112</f>
        <v>12740</v>
      </c>
      <c r="H103" s="217">
        <f>H104+H105+H106+H107+H108+H109+H110+H111++H113+H114+H115+H116+H118+H119+H120</f>
        <v>19110</v>
      </c>
      <c r="I103" s="217">
        <f>I104+I105+I106+I107+I108+I109+I110+I111++I113+I114+I115+I116+I118+I119+I120</f>
        <v>25480</v>
      </c>
      <c r="J103" s="236"/>
      <c r="K103" s="243"/>
      <c r="L103" s="243"/>
      <c r="M103" s="244"/>
      <c r="N103" s="244"/>
    </row>
    <row r="104" spans="1:14" s="1" customFormat="1" ht="20.100000000000001" customHeight="1">
      <c r="A104" s="236" t="s">
        <v>475</v>
      </c>
      <c r="B104" s="317" t="s">
        <v>476</v>
      </c>
      <c r="C104" s="217"/>
      <c r="D104" s="217"/>
      <c r="E104" s="217"/>
      <c r="F104" s="217"/>
      <c r="G104" s="217"/>
      <c r="H104" s="217"/>
      <c r="I104" s="217"/>
      <c r="J104" s="236"/>
      <c r="K104" s="243"/>
      <c r="L104" s="243"/>
      <c r="M104" s="244"/>
      <c r="N104" s="244"/>
    </row>
    <row r="105" spans="1:14" s="1" customFormat="1" ht="20.100000000000001" customHeight="1">
      <c r="A105" s="236" t="s">
        <v>477</v>
      </c>
      <c r="B105" s="317" t="s">
        <v>478</v>
      </c>
      <c r="C105" s="217">
        <v>42</v>
      </c>
      <c r="D105" s="217">
        <v>70</v>
      </c>
      <c r="E105" s="217">
        <v>43</v>
      </c>
      <c r="F105" s="217">
        <f>I105/4</f>
        <v>17.5</v>
      </c>
      <c r="G105" s="217">
        <f t="shared" ref="G105" si="46">I105/2</f>
        <v>35</v>
      </c>
      <c r="H105" s="217">
        <f t="shared" ref="H105:H106" si="47">I105/4*3</f>
        <v>52.5</v>
      </c>
      <c r="I105" s="217">
        <v>70</v>
      </c>
      <c r="J105" s="236"/>
      <c r="K105" s="243"/>
      <c r="L105" s="243"/>
      <c r="M105" s="244"/>
      <c r="N105" s="244"/>
    </row>
    <row r="106" spans="1:14" s="1" customFormat="1" ht="40.5" customHeight="1">
      <c r="A106" s="236" t="s">
        <v>570</v>
      </c>
      <c r="B106" s="317" t="s">
        <v>479</v>
      </c>
      <c r="C106" s="217">
        <v>458</v>
      </c>
      <c r="D106" s="217">
        <v>607</v>
      </c>
      <c r="E106" s="217">
        <f>2/3*4</f>
        <v>2.6666666666666665</v>
      </c>
      <c r="F106" s="217">
        <f>I106/4</f>
        <v>100</v>
      </c>
      <c r="G106" s="217">
        <f t="shared" ref="G106" si="48">I106/2</f>
        <v>200</v>
      </c>
      <c r="H106" s="217">
        <f t="shared" si="47"/>
        <v>300</v>
      </c>
      <c r="I106" s="217">
        <v>400</v>
      </c>
      <c r="J106" s="236"/>
      <c r="K106" s="243"/>
      <c r="L106" s="243"/>
      <c r="M106" s="244"/>
      <c r="N106" s="244"/>
    </row>
    <row r="107" spans="1:14" s="1" customFormat="1" ht="37.5">
      <c r="A107" s="236" t="s">
        <v>480</v>
      </c>
      <c r="B107" s="317" t="s">
        <v>481</v>
      </c>
      <c r="C107" s="217">
        <v>211</v>
      </c>
      <c r="D107" s="217"/>
      <c r="E107" s="217"/>
      <c r="F107" s="223"/>
      <c r="G107" s="223"/>
      <c r="H107" s="223"/>
      <c r="I107" s="223"/>
      <c r="J107" s="236"/>
      <c r="K107" s="243"/>
      <c r="L107" s="243"/>
      <c r="M107" s="244"/>
      <c r="N107" s="244"/>
    </row>
    <row r="108" spans="1:14" s="1" customFormat="1" ht="20.100000000000001" customHeight="1">
      <c r="A108" s="236" t="s">
        <v>482</v>
      </c>
      <c r="B108" s="317" t="s">
        <v>483</v>
      </c>
      <c r="C108" s="217"/>
      <c r="D108" s="217"/>
      <c r="E108" s="217"/>
      <c r="F108" s="223"/>
      <c r="G108" s="223"/>
      <c r="H108" s="223"/>
      <c r="I108" s="223"/>
      <c r="J108" s="236"/>
      <c r="K108" s="243"/>
      <c r="L108" s="243"/>
      <c r="M108" s="244"/>
      <c r="N108" s="244"/>
    </row>
    <row r="109" spans="1:14" s="1" customFormat="1" ht="20.100000000000001" customHeight="1">
      <c r="A109" s="236" t="s">
        <v>484</v>
      </c>
      <c r="B109" s="317" t="s">
        <v>485</v>
      </c>
      <c r="C109" s="217"/>
      <c r="D109" s="217"/>
      <c r="E109" s="217"/>
      <c r="F109" s="223"/>
      <c r="G109" s="223"/>
      <c r="H109" s="223"/>
      <c r="I109" s="223"/>
      <c r="J109" s="236"/>
      <c r="K109" s="243"/>
      <c r="L109" s="243"/>
      <c r="M109" s="244"/>
      <c r="N109" s="244"/>
    </row>
    <row r="110" spans="1:14" s="1" customFormat="1" ht="20.100000000000001" customHeight="1">
      <c r="A110" s="236" t="s">
        <v>486</v>
      </c>
      <c r="B110" s="317" t="s">
        <v>487</v>
      </c>
      <c r="C110" s="217"/>
      <c r="D110" s="217"/>
      <c r="E110" s="217">
        <f>35/3*4</f>
        <v>46.666666666666664</v>
      </c>
      <c r="F110" s="132"/>
      <c r="G110" s="132"/>
      <c r="H110" s="132"/>
      <c r="I110" s="132"/>
      <c r="J110" s="236"/>
      <c r="K110" s="243"/>
      <c r="L110" s="243"/>
      <c r="M110" s="244"/>
      <c r="N110" s="244"/>
    </row>
    <row r="111" spans="1:14" s="1" customFormat="1" ht="39.75" customHeight="1">
      <c r="A111" s="236" t="s">
        <v>488</v>
      </c>
      <c r="B111" s="317" t="s">
        <v>489</v>
      </c>
      <c r="C111" s="217"/>
      <c r="D111" s="217"/>
      <c r="E111" s="217"/>
      <c r="F111" s="223"/>
      <c r="G111" s="223"/>
      <c r="H111" s="223"/>
      <c r="I111" s="223"/>
      <c r="J111" s="236"/>
      <c r="K111" s="243"/>
      <c r="L111" s="243"/>
      <c r="M111" s="244"/>
      <c r="N111" s="244"/>
    </row>
    <row r="112" spans="1:14" s="1" customFormat="1" ht="20.100000000000001" customHeight="1">
      <c r="A112" s="236" t="s">
        <v>490</v>
      </c>
      <c r="B112" s="317" t="s">
        <v>491</v>
      </c>
      <c r="C112" s="217"/>
      <c r="D112" s="217"/>
      <c r="E112" s="217"/>
      <c r="F112" s="223"/>
      <c r="G112" s="223"/>
      <c r="H112" s="223"/>
      <c r="I112" s="223"/>
      <c r="J112" s="236"/>
      <c r="K112" s="243"/>
      <c r="L112" s="243"/>
      <c r="M112" s="244"/>
      <c r="N112" s="244"/>
    </row>
    <row r="113" spans="1:14" s="1" customFormat="1" ht="20.100000000000001" customHeight="1">
      <c r="A113" s="236" t="s">
        <v>463</v>
      </c>
      <c r="B113" s="317" t="s">
        <v>492</v>
      </c>
      <c r="C113" s="217"/>
      <c r="D113" s="217"/>
      <c r="E113" s="217">
        <f>38/3*4</f>
        <v>50.666666666666664</v>
      </c>
      <c r="F113" s="223"/>
      <c r="G113" s="223"/>
      <c r="H113" s="223"/>
      <c r="I113" s="223"/>
      <c r="J113" s="236"/>
      <c r="K113" s="243"/>
      <c r="L113" s="243"/>
      <c r="M113" s="244"/>
      <c r="N113" s="244"/>
    </row>
    <row r="114" spans="1:14" s="1" customFormat="1" ht="38.25" customHeight="1">
      <c r="A114" s="236" t="s">
        <v>493</v>
      </c>
      <c r="B114" s="317" t="s">
        <v>494</v>
      </c>
      <c r="C114" s="217"/>
      <c r="D114" s="217"/>
      <c r="E114" s="217"/>
      <c r="F114" s="223"/>
      <c r="G114" s="223"/>
      <c r="H114" s="223"/>
      <c r="I114" s="223"/>
      <c r="J114" s="236"/>
      <c r="K114" s="243"/>
      <c r="L114" s="243"/>
      <c r="M114" s="244"/>
      <c r="N114" s="244"/>
    </row>
    <row r="115" spans="1:14" s="1" customFormat="1" ht="56.25">
      <c r="A115" s="236" t="s">
        <v>571</v>
      </c>
      <c r="B115" s="317" t="s">
        <v>495</v>
      </c>
      <c r="C115" s="217"/>
      <c r="D115" s="217">
        <v>10</v>
      </c>
      <c r="E115" s="217"/>
      <c r="F115" s="217">
        <f>I115/4</f>
        <v>2.5</v>
      </c>
      <c r="G115" s="217">
        <f t="shared" ref="G115" si="49">I115/2</f>
        <v>5</v>
      </c>
      <c r="H115" s="217">
        <f t="shared" ref="H115" si="50">I115/4*3</f>
        <v>7.5</v>
      </c>
      <c r="I115" s="217">
        <v>10</v>
      </c>
      <c r="J115" s="236"/>
      <c r="K115" s="243"/>
      <c r="L115" s="243"/>
      <c r="M115" s="244"/>
      <c r="N115" s="244"/>
    </row>
    <row r="116" spans="1:14" s="1" customFormat="1" ht="37.5">
      <c r="A116" s="236" t="s">
        <v>496</v>
      </c>
      <c r="B116" s="317" t="s">
        <v>497</v>
      </c>
      <c r="C116" s="217"/>
      <c r="D116" s="217"/>
      <c r="E116" s="217"/>
      <c r="F116" s="217"/>
      <c r="G116" s="217"/>
      <c r="H116" s="217"/>
      <c r="I116" s="217"/>
      <c r="J116" s="236"/>
      <c r="K116" s="243"/>
      <c r="L116" s="243"/>
      <c r="M116" s="244"/>
      <c r="N116" s="244"/>
    </row>
    <row r="117" spans="1:14" s="1" customFormat="1" ht="40.5" customHeight="1">
      <c r="A117" s="236" t="s">
        <v>599</v>
      </c>
      <c r="B117" s="317" t="s">
        <v>499</v>
      </c>
      <c r="C117" s="217">
        <v>1</v>
      </c>
      <c r="D117" s="217"/>
      <c r="E117" s="217"/>
      <c r="F117" s="217"/>
      <c r="G117" s="217"/>
      <c r="H117" s="217"/>
      <c r="I117" s="217"/>
      <c r="J117" s="236"/>
      <c r="K117" s="243"/>
      <c r="L117" s="243"/>
      <c r="M117" s="244"/>
      <c r="N117" s="244"/>
    </row>
    <row r="118" spans="1:14" s="1" customFormat="1" ht="20.100000000000001" customHeight="1">
      <c r="A118" s="236" t="s">
        <v>498</v>
      </c>
      <c r="B118" s="317" t="s">
        <v>501</v>
      </c>
      <c r="C118" s="217">
        <v>12</v>
      </c>
      <c r="D118" s="217">
        <v>20</v>
      </c>
      <c r="E118" s="217">
        <f>13/3*4</f>
        <v>17.333333333333332</v>
      </c>
      <c r="F118" s="132"/>
      <c r="G118" s="132"/>
      <c r="H118" s="132"/>
      <c r="I118" s="132"/>
      <c r="J118" s="236"/>
      <c r="K118" s="243"/>
      <c r="L118" s="243"/>
      <c r="M118" s="244"/>
      <c r="N118" s="244"/>
    </row>
    <row r="119" spans="1:14" s="1" customFormat="1" ht="27" customHeight="1">
      <c r="A119" s="236" t="s">
        <v>500</v>
      </c>
      <c r="B119" s="317" t="s">
        <v>502</v>
      </c>
      <c r="C119" s="217">
        <v>15254</v>
      </c>
      <c r="D119" s="217">
        <v>17000</v>
      </c>
      <c r="E119" s="217">
        <v>24330</v>
      </c>
      <c r="F119" s="217">
        <f>I119/4</f>
        <v>6250</v>
      </c>
      <c r="G119" s="217">
        <f>I119/2</f>
        <v>12500</v>
      </c>
      <c r="H119" s="217">
        <f>I119/4*3</f>
        <v>18750</v>
      </c>
      <c r="I119" s="217">
        <f>I53</f>
        <v>25000</v>
      </c>
      <c r="J119" s="249" t="s">
        <v>542</v>
      </c>
      <c r="K119" s="243"/>
      <c r="L119" s="243"/>
      <c r="M119" s="244"/>
      <c r="N119" s="244"/>
    </row>
    <row r="120" spans="1:14" s="1" customFormat="1" ht="39.75" customHeight="1">
      <c r="A120" s="236" t="s">
        <v>579</v>
      </c>
      <c r="B120" s="317" t="s">
        <v>577</v>
      </c>
      <c r="C120" s="217"/>
      <c r="D120" s="217"/>
      <c r="E120" s="217"/>
      <c r="F120" s="223"/>
      <c r="G120" s="223"/>
      <c r="H120" s="223"/>
      <c r="I120" s="223"/>
      <c r="J120" s="236"/>
      <c r="K120" s="243"/>
      <c r="L120" s="243"/>
      <c r="M120" s="244"/>
      <c r="N120" s="244"/>
    </row>
    <row r="121" spans="1:14" s="1" customFormat="1" ht="20.100000000000001" customHeight="1">
      <c r="A121" s="236" t="s">
        <v>562</v>
      </c>
      <c r="B121" s="317" t="s">
        <v>578</v>
      </c>
      <c r="C121" s="217"/>
      <c r="D121" s="217"/>
      <c r="E121" s="217"/>
      <c r="F121" s="223"/>
      <c r="G121" s="223"/>
      <c r="H121" s="223"/>
      <c r="I121" s="223"/>
      <c r="J121" s="236"/>
      <c r="K121" s="243"/>
      <c r="L121" s="243"/>
      <c r="M121" s="244"/>
      <c r="N121" s="244"/>
    </row>
    <row r="122" spans="1:14" s="1" customFormat="1" ht="20.100000000000001" customHeight="1">
      <c r="A122" s="236" t="s">
        <v>601</v>
      </c>
      <c r="B122" s="317" t="s">
        <v>598</v>
      </c>
      <c r="C122" s="217">
        <v>11</v>
      </c>
      <c r="D122" s="217"/>
      <c r="E122" s="217"/>
      <c r="F122" s="223"/>
      <c r="G122" s="223"/>
      <c r="H122" s="223"/>
      <c r="I122" s="223"/>
      <c r="J122" s="236"/>
      <c r="K122" s="243"/>
      <c r="L122" s="243"/>
      <c r="M122" s="244"/>
      <c r="N122" s="244"/>
    </row>
    <row r="123" spans="1:14" s="1" customFormat="1" ht="20.100000000000001" customHeight="1">
      <c r="A123" s="236" t="s">
        <v>580</v>
      </c>
      <c r="B123" s="317" t="s">
        <v>600</v>
      </c>
      <c r="C123" s="217"/>
      <c r="D123" s="217"/>
      <c r="E123" s="217"/>
      <c r="F123" s="223"/>
      <c r="G123" s="223"/>
      <c r="H123" s="223"/>
      <c r="I123" s="223"/>
      <c r="J123" s="236"/>
      <c r="K123" s="243"/>
      <c r="L123" s="243"/>
      <c r="M123" s="244"/>
      <c r="N123" s="244"/>
    </row>
    <row r="124" spans="1:14" s="162" customFormat="1" ht="37.5">
      <c r="A124" s="241" t="s">
        <v>3</v>
      </c>
      <c r="B124" s="318">
        <v>1100</v>
      </c>
      <c r="C124" s="216">
        <f t="shared" ref="C124:H124" si="51">C49+C50-C61-C90-C98</f>
        <v>968</v>
      </c>
      <c r="D124" s="216">
        <f t="shared" si="51"/>
        <v>1154</v>
      </c>
      <c r="E124" s="216">
        <f t="shared" si="51"/>
        <v>802.66666666666788</v>
      </c>
      <c r="F124" s="216">
        <f>F49+F50-F61-F90-F98</f>
        <v>416.21250000000146</v>
      </c>
      <c r="G124" s="216">
        <f t="shared" si="51"/>
        <v>831.42500000000291</v>
      </c>
      <c r="H124" s="216">
        <f t="shared" si="51"/>
        <v>1247.6374999999825</v>
      </c>
      <c r="I124" s="216">
        <f>I49+I50-I61-I90-I98</f>
        <v>1663.8500000000058</v>
      </c>
      <c r="J124" s="241"/>
      <c r="K124" s="234"/>
      <c r="L124" s="234"/>
      <c r="M124" s="235"/>
      <c r="N124" s="235"/>
    </row>
    <row r="125" spans="1:14" ht="37.5">
      <c r="A125" s="236" t="s">
        <v>119</v>
      </c>
      <c r="B125" s="317">
        <v>1110</v>
      </c>
      <c r="C125" s="217"/>
      <c r="D125" s="217"/>
      <c r="E125" s="217"/>
      <c r="F125" s="223"/>
      <c r="G125" s="223"/>
      <c r="H125" s="223"/>
      <c r="I125" s="223"/>
      <c r="J125" s="236"/>
      <c r="K125" s="230"/>
      <c r="L125" s="230"/>
      <c r="M125" s="231"/>
      <c r="N125" s="231"/>
    </row>
    <row r="126" spans="1:14" ht="20.100000000000001" customHeight="1">
      <c r="A126" s="236" t="s">
        <v>120</v>
      </c>
      <c r="B126" s="317">
        <v>1120</v>
      </c>
      <c r="C126" s="217"/>
      <c r="D126" s="217"/>
      <c r="E126" s="217"/>
      <c r="F126" s="223"/>
      <c r="G126" s="223"/>
      <c r="H126" s="223"/>
      <c r="I126" s="223"/>
      <c r="J126" s="236"/>
      <c r="K126" s="230"/>
      <c r="L126" s="230"/>
      <c r="M126" s="231"/>
      <c r="N126" s="231"/>
    </row>
    <row r="127" spans="1:14" ht="37.5">
      <c r="A127" s="236" t="s">
        <v>123</v>
      </c>
      <c r="B127" s="317">
        <v>1130</v>
      </c>
      <c r="C127" s="217"/>
      <c r="D127" s="217"/>
      <c r="E127" s="217"/>
      <c r="F127" s="223"/>
      <c r="G127" s="223"/>
      <c r="H127" s="223"/>
      <c r="I127" s="223"/>
      <c r="J127" s="236"/>
      <c r="K127" s="230"/>
      <c r="L127" s="230"/>
      <c r="M127" s="231"/>
      <c r="N127" s="231"/>
    </row>
    <row r="128" spans="1:14" ht="20.100000000000001" customHeight="1">
      <c r="A128" s="236" t="s">
        <v>122</v>
      </c>
      <c r="B128" s="317">
        <v>1140</v>
      </c>
      <c r="C128" s="217"/>
      <c r="D128" s="217"/>
      <c r="E128" s="217"/>
      <c r="F128" s="223"/>
      <c r="G128" s="223"/>
      <c r="H128" s="223"/>
      <c r="I128" s="223"/>
      <c r="J128" s="236"/>
      <c r="K128" s="230"/>
      <c r="L128" s="230"/>
      <c r="M128" s="231"/>
      <c r="N128" s="231"/>
    </row>
    <row r="129" spans="1:15" ht="37.5">
      <c r="A129" s="236" t="s">
        <v>238</v>
      </c>
      <c r="B129" s="317">
        <v>1150</v>
      </c>
      <c r="C129" s="217"/>
      <c r="D129" s="217"/>
      <c r="E129" s="217"/>
      <c r="F129" s="223"/>
      <c r="G129" s="223"/>
      <c r="H129" s="223"/>
      <c r="I129" s="223"/>
      <c r="J129" s="236"/>
      <c r="K129" s="230"/>
      <c r="L129" s="230"/>
      <c r="M129" s="231"/>
      <c r="N129" s="231"/>
    </row>
    <row r="130" spans="1:15" ht="20.100000000000001" customHeight="1">
      <c r="A130" s="236" t="s">
        <v>237</v>
      </c>
      <c r="B130" s="317">
        <v>1151</v>
      </c>
      <c r="C130" s="217"/>
      <c r="D130" s="217"/>
      <c r="E130" s="217"/>
      <c r="F130" s="223"/>
      <c r="G130" s="223"/>
      <c r="H130" s="223"/>
      <c r="I130" s="223"/>
      <c r="J130" s="236"/>
      <c r="K130" s="230"/>
      <c r="L130" s="230"/>
      <c r="M130" s="231"/>
      <c r="N130" s="231"/>
    </row>
    <row r="131" spans="1:15" ht="37.5">
      <c r="A131" s="236" t="s">
        <v>239</v>
      </c>
      <c r="B131" s="317">
        <v>1160</v>
      </c>
      <c r="C131" s="217">
        <f>C132</f>
        <v>370</v>
      </c>
      <c r="D131" s="217">
        <f t="shared" ref="D131:H131" si="52">D132</f>
        <v>493</v>
      </c>
      <c r="E131" s="217">
        <f>E132</f>
        <v>365.33333333333331</v>
      </c>
      <c r="F131" s="217">
        <f>F132</f>
        <v>123</v>
      </c>
      <c r="G131" s="217">
        <f t="shared" si="52"/>
        <v>246</v>
      </c>
      <c r="H131" s="217">
        <f t="shared" si="52"/>
        <v>370</v>
      </c>
      <c r="I131" s="217">
        <f>I132</f>
        <v>493</v>
      </c>
      <c r="J131" s="236"/>
      <c r="K131" s="230"/>
      <c r="L131" s="230"/>
      <c r="M131" s="231"/>
      <c r="N131" s="231"/>
    </row>
    <row r="132" spans="1:15">
      <c r="A132" s="236" t="s">
        <v>560</v>
      </c>
      <c r="B132" s="317" t="s">
        <v>503</v>
      </c>
      <c r="C132" s="217">
        <v>370</v>
      </c>
      <c r="D132" s="217">
        <v>493</v>
      </c>
      <c r="E132" s="217">
        <f>274/3*4</f>
        <v>365.33333333333331</v>
      </c>
      <c r="F132" s="217">
        <v>123</v>
      </c>
      <c r="G132" s="217">
        <v>246</v>
      </c>
      <c r="H132" s="217">
        <v>370</v>
      </c>
      <c r="I132" s="217">
        <v>493</v>
      </c>
      <c r="J132" s="236"/>
      <c r="K132" s="230"/>
      <c r="L132" s="230"/>
      <c r="M132" s="231"/>
      <c r="N132" s="231"/>
    </row>
    <row r="133" spans="1:15" ht="20.100000000000001" customHeight="1">
      <c r="A133" s="236" t="s">
        <v>237</v>
      </c>
      <c r="B133" s="317">
        <v>1161</v>
      </c>
      <c r="C133" s="217"/>
      <c r="D133" s="217"/>
      <c r="E133" s="217"/>
      <c r="F133" s="217"/>
      <c r="G133" s="217"/>
      <c r="H133" s="217"/>
      <c r="I133" s="217"/>
      <c r="J133" s="236"/>
      <c r="K133" s="230"/>
      <c r="L133" s="230"/>
      <c r="M133" s="231"/>
      <c r="N133" s="231"/>
    </row>
    <row r="134" spans="1:15" s="162" customFormat="1" ht="37.5">
      <c r="A134" s="241" t="s">
        <v>102</v>
      </c>
      <c r="B134" s="318">
        <v>1170</v>
      </c>
      <c r="C134" s="252">
        <f t="shared" ref="C134:D134" si="53">C124+C125+C126+C129-C128-C127-C131</f>
        <v>598</v>
      </c>
      <c r="D134" s="252">
        <f t="shared" si="53"/>
        <v>661</v>
      </c>
      <c r="E134" s="252">
        <f>E124+E125+E126+E129-E128-E127-E131</f>
        <v>437.33333333333456</v>
      </c>
      <c r="F134" s="252">
        <f>F124+F125+F126+F129-F128-F127-F131</f>
        <v>293.21250000000146</v>
      </c>
      <c r="G134" s="252">
        <f>G124+G125+G126+G129-G128-G127-G131</f>
        <v>585.42500000000291</v>
      </c>
      <c r="H134" s="252">
        <f>H124+H125+H126+H129-H128-H127-H131</f>
        <v>877.63749999998254</v>
      </c>
      <c r="I134" s="252">
        <f>I124+I125+I126+I129-I128-I127-I131</f>
        <v>1170.8500000000058</v>
      </c>
      <c r="J134" s="241"/>
      <c r="K134" s="234"/>
      <c r="L134" s="234"/>
      <c r="M134" s="235"/>
      <c r="N134" s="235"/>
    </row>
    <row r="135" spans="1:15" ht="20.100000000000001" customHeight="1">
      <c r="A135" s="236" t="s">
        <v>154</v>
      </c>
      <c r="B135" s="317">
        <v>1180</v>
      </c>
      <c r="C135" s="216">
        <f>ROUND(C134*0.18,0)</f>
        <v>108</v>
      </c>
      <c r="D135" s="216">
        <f>ROUND(D134*0.18,0)</f>
        <v>119</v>
      </c>
      <c r="E135" s="216">
        <f>ROUND(E134*0.18,0)</f>
        <v>79</v>
      </c>
      <c r="F135" s="216">
        <f>ROUND(F134*0.18,0)</f>
        <v>53</v>
      </c>
      <c r="G135" s="216">
        <f t="shared" ref="G135:I135" si="54">ROUND(G134*0.18,0)</f>
        <v>105</v>
      </c>
      <c r="H135" s="216">
        <f t="shared" si="54"/>
        <v>158</v>
      </c>
      <c r="I135" s="216">
        <f t="shared" si="54"/>
        <v>211</v>
      </c>
      <c r="J135" s="236"/>
      <c r="K135" s="230"/>
      <c r="L135" s="230"/>
      <c r="M135" s="231"/>
      <c r="N135" s="231"/>
    </row>
    <row r="136" spans="1:15" ht="37.5">
      <c r="A136" s="236" t="s">
        <v>155</v>
      </c>
      <c r="B136" s="317">
        <v>1190</v>
      </c>
      <c r="C136" s="217"/>
      <c r="D136" s="217"/>
      <c r="E136" s="217"/>
      <c r="F136" s="217"/>
      <c r="G136" s="217"/>
      <c r="H136" s="217"/>
      <c r="I136" s="217"/>
      <c r="J136" s="236"/>
      <c r="K136" s="230"/>
      <c r="L136" s="230"/>
      <c r="M136" s="231"/>
      <c r="N136" s="231"/>
    </row>
    <row r="137" spans="1:15" s="162" customFormat="1" ht="37.5">
      <c r="A137" s="241" t="s">
        <v>103</v>
      </c>
      <c r="B137" s="318">
        <v>1200</v>
      </c>
      <c r="C137" s="252">
        <f>C134-C135-C136</f>
        <v>490</v>
      </c>
      <c r="D137" s="252">
        <f t="shared" ref="D137" si="55">D134-D135-D136</f>
        <v>542</v>
      </c>
      <c r="E137" s="252">
        <f>E134-E135-E136</f>
        <v>358.33333333333456</v>
      </c>
      <c r="F137" s="252">
        <f>F134-F135-F136</f>
        <v>240.21250000000146</v>
      </c>
      <c r="G137" s="252">
        <f>G134-G135-G136</f>
        <v>480.42500000000291</v>
      </c>
      <c r="H137" s="252">
        <f>H134-H135-H136</f>
        <v>719.63749999998254</v>
      </c>
      <c r="I137" s="252">
        <f>I134-I135-I136</f>
        <v>959.85000000000582</v>
      </c>
      <c r="J137" s="241"/>
      <c r="K137" s="234">
        <f>I7*0.03</f>
        <v>3450.2999999999997</v>
      </c>
      <c r="L137" s="234"/>
      <c r="M137" s="235"/>
      <c r="N137" s="235"/>
      <c r="O137" s="324">
        <v>0.03</v>
      </c>
    </row>
    <row r="138" spans="1:15" ht="20.100000000000001" customHeight="1">
      <c r="A138" s="236" t="s">
        <v>24</v>
      </c>
      <c r="B138" s="319">
        <v>1201</v>
      </c>
      <c r="C138" s="252">
        <f>SUMIF(C137,"&gt;0")</f>
        <v>490</v>
      </c>
      <c r="D138" s="252">
        <f t="shared" ref="D138:H138" si="56">SUMIF(D137,"&gt;0")</f>
        <v>542</v>
      </c>
      <c r="E138" s="252">
        <f>SUMIF(E137,"&gt;0")</f>
        <v>358.33333333333456</v>
      </c>
      <c r="F138" s="252">
        <f t="shared" si="56"/>
        <v>240.21250000000146</v>
      </c>
      <c r="G138" s="252">
        <f t="shared" si="56"/>
        <v>480.42500000000291</v>
      </c>
      <c r="H138" s="252">
        <f t="shared" si="56"/>
        <v>719.63749999998254</v>
      </c>
      <c r="I138" s="252">
        <f>SUMIF(I137,"&gt;0")</f>
        <v>959.85000000000582</v>
      </c>
      <c r="J138" s="236"/>
      <c r="K138" s="230"/>
      <c r="L138" s="230"/>
      <c r="M138" s="231"/>
      <c r="N138" s="231"/>
    </row>
    <row r="139" spans="1:15" ht="20.100000000000001" customHeight="1">
      <c r="A139" s="236" t="s">
        <v>25</v>
      </c>
      <c r="B139" s="319">
        <v>1202</v>
      </c>
      <c r="C139" s="252">
        <f>SUMIF(C137,"&lt;0")</f>
        <v>0</v>
      </c>
      <c r="D139" s="252">
        <f t="shared" ref="D139:I139" si="57">SUMIF(D137,"&lt;0")</f>
        <v>0</v>
      </c>
      <c r="E139" s="252">
        <f t="shared" si="57"/>
        <v>0</v>
      </c>
      <c r="F139" s="252">
        <f t="shared" si="57"/>
        <v>0</v>
      </c>
      <c r="G139" s="252">
        <f t="shared" si="57"/>
        <v>0</v>
      </c>
      <c r="H139" s="252">
        <f t="shared" si="57"/>
        <v>0</v>
      </c>
      <c r="I139" s="252">
        <f t="shared" si="57"/>
        <v>0</v>
      </c>
      <c r="J139" s="236"/>
      <c r="K139" s="230"/>
      <c r="L139" s="230"/>
      <c r="M139" s="231"/>
      <c r="N139" s="231"/>
    </row>
    <row r="140" spans="1:15" ht="19.5" customHeight="1">
      <c r="A140" s="236" t="s">
        <v>269</v>
      </c>
      <c r="B140" s="317">
        <v>1210</v>
      </c>
      <c r="C140" s="223"/>
      <c r="D140" s="223"/>
      <c r="E140" s="223"/>
      <c r="F140" s="223"/>
      <c r="G140" s="223"/>
      <c r="H140" s="223"/>
      <c r="I140" s="223"/>
      <c r="J140" s="236"/>
      <c r="K140" s="230"/>
      <c r="L140" s="230"/>
      <c r="M140" s="231"/>
      <c r="N140" s="231"/>
    </row>
    <row r="141" spans="1:15" s="162" customFormat="1" ht="20.100000000000001" customHeight="1">
      <c r="A141" s="391" t="s">
        <v>313</v>
      </c>
      <c r="B141" s="392"/>
      <c r="C141" s="392"/>
      <c r="D141" s="392"/>
      <c r="E141" s="392"/>
      <c r="F141" s="392"/>
      <c r="G141" s="392"/>
      <c r="H141" s="392"/>
      <c r="I141" s="392"/>
      <c r="J141" s="393"/>
      <c r="K141" s="234"/>
      <c r="L141" s="234"/>
      <c r="M141" s="235"/>
      <c r="N141" s="235"/>
    </row>
    <row r="142" spans="1:15" ht="42.75" customHeight="1">
      <c r="A142" s="253" t="s">
        <v>291</v>
      </c>
      <c r="B142" s="233">
        <v>1300</v>
      </c>
      <c r="C142" s="216">
        <f t="shared" ref="C142:H142" si="58">C50-C98</f>
        <v>1221</v>
      </c>
      <c r="D142" s="216">
        <f t="shared" si="58"/>
        <v>588</v>
      </c>
      <c r="E142" s="216">
        <f t="shared" si="58"/>
        <v>3111.6666666666679</v>
      </c>
      <c r="F142" s="216">
        <f>F50-F98</f>
        <v>555</v>
      </c>
      <c r="G142" s="216">
        <f>G50-G98</f>
        <v>1110</v>
      </c>
      <c r="H142" s="216">
        <f t="shared" si="58"/>
        <v>1665</v>
      </c>
      <c r="I142" s="216">
        <f>I50-I98</f>
        <v>2220</v>
      </c>
      <c r="J142" s="236"/>
      <c r="K142" s="230"/>
      <c r="L142" s="230"/>
      <c r="M142" s="231"/>
      <c r="N142" s="231"/>
    </row>
    <row r="143" spans="1:15" ht="75">
      <c r="A143" s="254" t="s">
        <v>285</v>
      </c>
      <c r="B143" s="233">
        <v>1310</v>
      </c>
      <c r="C143" s="216">
        <f t="shared" ref="C143:I143" si="59">C125+C126-C127-C128</f>
        <v>0</v>
      </c>
      <c r="D143" s="216">
        <f t="shared" si="59"/>
        <v>0</v>
      </c>
      <c r="E143" s="216">
        <f t="shared" si="59"/>
        <v>0</v>
      </c>
      <c r="F143" s="216">
        <f t="shared" si="59"/>
        <v>0</v>
      </c>
      <c r="G143" s="216">
        <f t="shared" si="59"/>
        <v>0</v>
      </c>
      <c r="H143" s="216">
        <f t="shared" si="59"/>
        <v>0</v>
      </c>
      <c r="I143" s="216">
        <f t="shared" si="59"/>
        <v>0</v>
      </c>
      <c r="J143" s="236"/>
      <c r="K143" s="230"/>
      <c r="L143" s="230"/>
      <c r="M143" s="231"/>
      <c r="N143" s="231"/>
    </row>
    <row r="144" spans="1:15" ht="42.75" customHeight="1">
      <c r="A144" s="253" t="s">
        <v>286</v>
      </c>
      <c r="B144" s="233">
        <v>1320</v>
      </c>
      <c r="C144" s="216">
        <f t="shared" ref="C144:I144" si="60">C129-C131</f>
        <v>-370</v>
      </c>
      <c r="D144" s="216">
        <f t="shared" si="60"/>
        <v>-493</v>
      </c>
      <c r="E144" s="216">
        <f t="shared" si="60"/>
        <v>-365.33333333333331</v>
      </c>
      <c r="F144" s="216">
        <f t="shared" si="60"/>
        <v>-123</v>
      </c>
      <c r="G144" s="216">
        <f>G129-G131</f>
        <v>-246</v>
      </c>
      <c r="H144" s="216">
        <f t="shared" si="60"/>
        <v>-370</v>
      </c>
      <c r="I144" s="216">
        <f t="shared" si="60"/>
        <v>-493</v>
      </c>
      <c r="J144" s="236"/>
      <c r="K144" s="230"/>
      <c r="L144" s="230"/>
      <c r="M144" s="231"/>
      <c r="N144" s="231"/>
    </row>
    <row r="145" spans="1:18" ht="56.25">
      <c r="A145" s="254" t="s">
        <v>370</v>
      </c>
      <c r="B145" s="320">
        <v>1330</v>
      </c>
      <c r="C145" s="216">
        <f t="shared" ref="C145:I145" si="61">C7+C50+C125+C126+C129</f>
        <v>91519</v>
      </c>
      <c r="D145" s="216">
        <f t="shared" si="61"/>
        <v>128595</v>
      </c>
      <c r="E145" s="216">
        <f t="shared" si="61"/>
        <v>152997.33333333331</v>
      </c>
      <c r="F145" s="216">
        <f t="shared" si="61"/>
        <v>35677.5</v>
      </c>
      <c r="G145" s="216">
        <f t="shared" si="61"/>
        <v>71355</v>
      </c>
      <c r="H145" s="216">
        <f t="shared" si="61"/>
        <v>107032.5</v>
      </c>
      <c r="I145" s="216">
        <f t="shared" si="61"/>
        <v>142710</v>
      </c>
      <c r="J145" s="236"/>
      <c r="K145" s="230"/>
      <c r="L145" s="230"/>
      <c r="M145" s="231"/>
      <c r="N145" s="231"/>
    </row>
    <row r="146" spans="1:18" ht="75">
      <c r="A146" s="254" t="s">
        <v>371</v>
      </c>
      <c r="B146" s="320">
        <v>1340</v>
      </c>
      <c r="C146" s="216">
        <f t="shared" ref="C146:I146" si="62">C11+C61+C90+C98+C127+C128+C131+C135+C136</f>
        <v>91029</v>
      </c>
      <c r="D146" s="216">
        <f t="shared" si="62"/>
        <v>128053</v>
      </c>
      <c r="E146" s="216">
        <f t="shared" si="62"/>
        <v>152639</v>
      </c>
      <c r="F146" s="216">
        <f t="shared" si="62"/>
        <v>35437.287499999999</v>
      </c>
      <c r="G146" s="216">
        <f t="shared" si="62"/>
        <v>70874.574999999997</v>
      </c>
      <c r="H146" s="216">
        <f t="shared" si="62"/>
        <v>106312.86250000002</v>
      </c>
      <c r="I146" s="216">
        <f t="shared" si="62"/>
        <v>141750.15</v>
      </c>
      <c r="J146" s="236"/>
      <c r="K146" s="230"/>
      <c r="L146" s="230"/>
      <c r="M146" s="231"/>
      <c r="N146" s="231"/>
    </row>
    <row r="147" spans="1:18" ht="20.100000000000001" customHeight="1">
      <c r="A147" s="391" t="s">
        <v>184</v>
      </c>
      <c r="B147" s="392"/>
      <c r="C147" s="392"/>
      <c r="D147" s="392"/>
      <c r="E147" s="392"/>
      <c r="F147" s="392"/>
      <c r="G147" s="392"/>
      <c r="H147" s="392"/>
      <c r="I147" s="392"/>
      <c r="J147" s="393"/>
      <c r="K147" s="230"/>
      <c r="L147" s="230"/>
      <c r="M147" s="231"/>
      <c r="N147" s="231"/>
    </row>
    <row r="148" spans="1:18" ht="37.5">
      <c r="A148" s="254" t="s">
        <v>287</v>
      </c>
      <c r="B148" s="320">
        <v>1400</v>
      </c>
      <c r="C148" s="216">
        <f t="shared" ref="C148:D148" si="63">C124</f>
        <v>968</v>
      </c>
      <c r="D148" s="216">
        <f t="shared" si="63"/>
        <v>1154</v>
      </c>
      <c r="E148" s="216">
        <f>E124</f>
        <v>802.66666666666788</v>
      </c>
      <c r="F148" s="216">
        <f>F124</f>
        <v>416.21250000000146</v>
      </c>
      <c r="G148" s="216">
        <f>G124</f>
        <v>831.42500000000291</v>
      </c>
      <c r="H148" s="216">
        <f>H124</f>
        <v>1247.6374999999825</v>
      </c>
      <c r="I148" s="216">
        <f>I124</f>
        <v>1663.8500000000058</v>
      </c>
      <c r="J148" s="236"/>
      <c r="K148" s="230"/>
      <c r="L148" s="230"/>
      <c r="M148" s="231"/>
      <c r="N148" s="231"/>
    </row>
    <row r="149" spans="1:18">
      <c r="A149" s="254" t="s">
        <v>288</v>
      </c>
      <c r="B149" s="320">
        <v>1401</v>
      </c>
      <c r="C149" s="216">
        <f>C160</f>
        <v>16919</v>
      </c>
      <c r="D149" s="216">
        <f>D160</f>
        <v>18314</v>
      </c>
      <c r="E149" s="216">
        <f>E160</f>
        <v>28942</v>
      </c>
      <c r="F149" s="216">
        <f t="shared" ref="F149:H149" si="64">F160</f>
        <v>7415.8</v>
      </c>
      <c r="G149" s="216">
        <f t="shared" si="64"/>
        <v>14832.6</v>
      </c>
      <c r="H149" s="216">
        <f t="shared" si="64"/>
        <v>22249.4</v>
      </c>
      <c r="I149" s="216">
        <f>I160</f>
        <v>29665.200000000001</v>
      </c>
      <c r="J149" s="236"/>
      <c r="K149" s="230"/>
      <c r="L149" s="230"/>
      <c r="M149" s="231"/>
      <c r="N149" s="231"/>
    </row>
    <row r="150" spans="1:18" ht="37.5">
      <c r="A150" s="254" t="s">
        <v>289</v>
      </c>
      <c r="B150" s="320">
        <v>1402</v>
      </c>
      <c r="C150" s="216">
        <v>0</v>
      </c>
      <c r="D150" s="216">
        <v>0</v>
      </c>
      <c r="E150" s="216">
        <v>0</v>
      </c>
      <c r="F150" s="216">
        <v>0</v>
      </c>
      <c r="G150" s="216">
        <v>0</v>
      </c>
      <c r="H150" s="216">
        <v>0</v>
      </c>
      <c r="I150" s="216">
        <v>0</v>
      </c>
      <c r="J150" s="236"/>
      <c r="K150" s="230"/>
      <c r="L150" s="230"/>
      <c r="M150" s="231"/>
      <c r="N150" s="231"/>
    </row>
    <row r="151" spans="1:18" ht="37.5">
      <c r="A151" s="254" t="s">
        <v>290</v>
      </c>
      <c r="B151" s="320">
        <v>1403</v>
      </c>
      <c r="C151" s="216">
        <f t="shared" ref="C151:I151" si="65">C102</f>
        <v>0</v>
      </c>
      <c r="D151" s="216">
        <f t="shared" si="65"/>
        <v>0</v>
      </c>
      <c r="E151" s="216">
        <f t="shared" si="65"/>
        <v>0</v>
      </c>
      <c r="F151" s="216">
        <f t="shared" si="65"/>
        <v>0</v>
      </c>
      <c r="G151" s="216">
        <f t="shared" si="65"/>
        <v>0</v>
      </c>
      <c r="H151" s="216">
        <f t="shared" si="65"/>
        <v>0</v>
      </c>
      <c r="I151" s="216">
        <f t="shared" si="65"/>
        <v>0</v>
      </c>
      <c r="J151" s="236"/>
      <c r="K151" s="230"/>
      <c r="L151" s="230"/>
      <c r="M151" s="231"/>
      <c r="N151" s="231"/>
    </row>
    <row r="152" spans="1:18" ht="37.5">
      <c r="A152" s="254" t="s">
        <v>356</v>
      </c>
      <c r="B152" s="320">
        <v>1404</v>
      </c>
      <c r="C152" s="216"/>
      <c r="D152" s="216"/>
      <c r="E152" s="216"/>
      <c r="F152" s="216"/>
      <c r="G152" s="216"/>
      <c r="H152" s="216"/>
      <c r="I152" s="216"/>
      <c r="J152" s="236"/>
      <c r="K152" s="230"/>
      <c r="L152" s="230"/>
      <c r="M152" s="231"/>
      <c r="N152" s="231"/>
    </row>
    <row r="153" spans="1:18" s="162" customFormat="1" ht="20.100000000000001" customHeight="1">
      <c r="A153" s="238" t="s">
        <v>158</v>
      </c>
      <c r="B153" s="321">
        <v>1410</v>
      </c>
      <c r="C153" s="248">
        <f>C148+C149-C150+C151</f>
        <v>17887</v>
      </c>
      <c r="D153" s="248">
        <f>D148+D149-D150+D151</f>
        <v>19468</v>
      </c>
      <c r="E153" s="248">
        <f>E148+E149-E150+E151</f>
        <v>29744.666666666668</v>
      </c>
      <c r="F153" s="248">
        <f t="shared" ref="F153:I153" si="66">F148+F149-F150+F151</f>
        <v>7832.0125000000016</v>
      </c>
      <c r="G153" s="248">
        <f t="shared" si="66"/>
        <v>15664.025000000003</v>
      </c>
      <c r="H153" s="248">
        <f t="shared" si="66"/>
        <v>23497.037499999984</v>
      </c>
      <c r="I153" s="248">
        <f t="shared" si="66"/>
        <v>31329.050000000007</v>
      </c>
      <c r="J153" s="241"/>
      <c r="K153" s="234"/>
      <c r="L153" s="234"/>
      <c r="M153" s="235"/>
      <c r="N153" s="235"/>
    </row>
    <row r="154" spans="1:18" ht="20.100000000000001" customHeight="1">
      <c r="A154" s="391" t="s">
        <v>254</v>
      </c>
      <c r="B154" s="392"/>
      <c r="C154" s="392"/>
      <c r="D154" s="392"/>
      <c r="E154" s="392"/>
      <c r="F154" s="392"/>
      <c r="G154" s="392"/>
      <c r="H154" s="392"/>
      <c r="I154" s="392"/>
      <c r="J154" s="393"/>
      <c r="K154" s="230"/>
      <c r="L154" s="230"/>
      <c r="M154" s="231"/>
      <c r="N154" s="231"/>
    </row>
    <row r="155" spans="1:18" ht="20.100000000000001" customHeight="1">
      <c r="A155" s="255" t="s">
        <v>314</v>
      </c>
      <c r="B155" s="322">
        <v>1500</v>
      </c>
      <c r="C155" s="217">
        <f>C156+C157</f>
        <v>20019</v>
      </c>
      <c r="D155" s="217">
        <f>D169</f>
        <v>25557</v>
      </c>
      <c r="E155" s="217">
        <f>E156+E157</f>
        <v>28097</v>
      </c>
      <c r="F155" s="217">
        <f>F156+F157</f>
        <v>7437.1750000000011</v>
      </c>
      <c r="G155" s="217">
        <f>G156+G157</f>
        <v>14874.350000000002</v>
      </c>
      <c r="H155" s="217">
        <f>H156+H157</f>
        <v>22311.525000000005</v>
      </c>
      <c r="I155" s="217">
        <f>I156+I157</f>
        <v>29750.700000000004</v>
      </c>
      <c r="J155" s="236"/>
      <c r="K155" s="230"/>
      <c r="L155" s="230"/>
      <c r="M155" s="231"/>
      <c r="N155" s="231"/>
    </row>
    <row r="156" spans="1:18" ht="35.25" customHeight="1">
      <c r="A156" s="255" t="s">
        <v>312</v>
      </c>
      <c r="B156" s="252">
        <v>1501</v>
      </c>
      <c r="C156" s="217">
        <f t="shared" ref="C156:I156" si="67">C12</f>
        <v>17111</v>
      </c>
      <c r="D156" s="217">
        <f t="shared" si="67"/>
        <v>22255</v>
      </c>
      <c r="E156" s="217">
        <f t="shared" si="67"/>
        <v>24755</v>
      </c>
      <c r="F156" s="217">
        <f t="shared" si="67"/>
        <v>6507.6250000000009</v>
      </c>
      <c r="G156" s="217">
        <f t="shared" si="67"/>
        <v>13015.250000000002</v>
      </c>
      <c r="H156" s="217">
        <f t="shared" si="67"/>
        <v>19522.875000000004</v>
      </c>
      <c r="I156" s="217">
        <f t="shared" si="67"/>
        <v>26030.500000000004</v>
      </c>
      <c r="J156" s="236"/>
      <c r="K156" s="230"/>
      <c r="L156" s="230"/>
      <c r="M156" s="231"/>
      <c r="N156" s="231"/>
    </row>
    <row r="157" spans="1:18" ht="20.100000000000001" customHeight="1">
      <c r="A157" s="255" t="s">
        <v>28</v>
      </c>
      <c r="B157" s="252">
        <v>1502</v>
      </c>
      <c r="C157" s="217">
        <f>C13+C14+C176</f>
        <v>2908</v>
      </c>
      <c r="D157" s="217">
        <f>D13+D14+D176</f>
        <v>3302</v>
      </c>
      <c r="E157" s="217">
        <f>E13+E14+E176</f>
        <v>3342</v>
      </c>
      <c r="F157" s="217">
        <f>F13+F14+F176+26</f>
        <v>929.55000000000007</v>
      </c>
      <c r="G157" s="217">
        <f>G13+G14+G176+52</f>
        <v>1859.1000000000001</v>
      </c>
      <c r="H157" s="217">
        <f>H13+H14+H176+78</f>
        <v>2788.65</v>
      </c>
      <c r="I157" s="217">
        <f>I13+I14+I176+105</f>
        <v>3720.2000000000003</v>
      </c>
      <c r="J157" s="236"/>
      <c r="K157" s="230"/>
      <c r="L157" s="230"/>
      <c r="M157" s="231"/>
      <c r="N157" s="231"/>
    </row>
    <row r="158" spans="1:18" ht="20.100000000000001" customHeight="1">
      <c r="A158" s="255" t="s">
        <v>4</v>
      </c>
      <c r="B158" s="322">
        <v>1510</v>
      </c>
      <c r="C158" s="217">
        <f t="shared" ref="C158" si="68">C15+C69</f>
        <v>14678</v>
      </c>
      <c r="D158" s="217">
        <f t="shared" ref="D158" si="69">D15+D69</f>
        <v>19486</v>
      </c>
      <c r="E158" s="217">
        <f>E15+E69</f>
        <v>19112.666666666668</v>
      </c>
      <c r="F158" s="217">
        <f>F15+F69+50</f>
        <v>6068</v>
      </c>
      <c r="G158" s="217">
        <f>G15+G69+100</f>
        <v>12136</v>
      </c>
      <c r="H158" s="217">
        <f>H15+H69+150</f>
        <v>18204</v>
      </c>
      <c r="I158" s="217">
        <f>I15+I69+200</f>
        <v>24271</v>
      </c>
      <c r="J158" s="236"/>
      <c r="K158" s="230"/>
      <c r="L158" s="230"/>
      <c r="M158" s="231"/>
      <c r="N158" s="231"/>
    </row>
    <row r="159" spans="1:18">
      <c r="A159" s="255" t="s">
        <v>5</v>
      </c>
      <c r="B159" s="322">
        <v>1520</v>
      </c>
      <c r="C159" s="217">
        <f t="shared" ref="C159" si="70">C16+C70</f>
        <v>3139</v>
      </c>
      <c r="D159" s="217">
        <f t="shared" ref="D159" si="71">D16+D70</f>
        <v>4173</v>
      </c>
      <c r="E159" s="217">
        <f>E16+E70</f>
        <v>4009.3333333333335</v>
      </c>
      <c r="F159" s="217">
        <f>F16+F70+11</f>
        <v>1294</v>
      </c>
      <c r="G159" s="217">
        <f>G16+G70+22</f>
        <v>2589</v>
      </c>
      <c r="H159" s="217">
        <f>H16+H70+33</f>
        <v>3883</v>
      </c>
      <c r="I159" s="217">
        <f>I16+I70+43</f>
        <v>5177</v>
      </c>
      <c r="J159" s="236"/>
      <c r="K159" s="256">
        <f>K70+K16</f>
        <v>1283.3259</v>
      </c>
      <c r="L159" s="256">
        <f>L70+L16</f>
        <v>2566.6518000000001</v>
      </c>
      <c r="M159" s="256">
        <f>M70+M16</f>
        <v>3849.8418000000001</v>
      </c>
      <c r="N159" s="256">
        <f>N70+N16</f>
        <v>5132.9476999999997</v>
      </c>
      <c r="O159" s="139">
        <f>Лист1!C17</f>
        <v>1294.3259</v>
      </c>
      <c r="P159" s="139">
        <f>Лист1!D17</f>
        <v>2588.6518000000001</v>
      </c>
      <c r="Q159" s="139">
        <f>Лист1!E17</f>
        <v>3882.8418000000001</v>
      </c>
      <c r="R159" s="139">
        <f>Лист1!F17</f>
        <v>5176.9476999999997</v>
      </c>
    </row>
    <row r="160" spans="1:18" ht="20.100000000000001" customHeight="1">
      <c r="A160" s="255" t="s">
        <v>6</v>
      </c>
      <c r="B160" s="322">
        <v>1530</v>
      </c>
      <c r="C160" s="217">
        <f t="shared" ref="C160" si="72">C18+C71+C119</f>
        <v>16919</v>
      </c>
      <c r="D160" s="217">
        <f t="shared" ref="D160" si="73">D18+D71+D119</f>
        <v>18314</v>
      </c>
      <c r="E160" s="217">
        <f>E18+E71+E119</f>
        <v>28942</v>
      </c>
      <c r="F160" s="217">
        <f>F18+F71+F119+10</f>
        <v>7415.8</v>
      </c>
      <c r="G160" s="217">
        <f>G18+G71+G119+21</f>
        <v>14832.6</v>
      </c>
      <c r="H160" s="217">
        <f>H18+H71+H119+32</f>
        <v>22249.4</v>
      </c>
      <c r="I160" s="217">
        <f>I18+I71+I119+42</f>
        <v>29665.200000000001</v>
      </c>
      <c r="J160" s="236"/>
      <c r="K160" s="230"/>
      <c r="L160" s="230"/>
      <c r="M160" s="257"/>
      <c r="N160" s="257"/>
      <c r="O160" s="139">
        <f>O159-F159</f>
        <v>0.32590000000004693</v>
      </c>
      <c r="P160" s="139">
        <f t="shared" ref="P160:R160" si="74">P159-G159</f>
        <v>-0.34819999999990614</v>
      </c>
      <c r="Q160" s="139">
        <f t="shared" si="74"/>
        <v>-0.15819999999985157</v>
      </c>
      <c r="R160" s="139">
        <f t="shared" si="74"/>
        <v>-5.2300000000286673E-2</v>
      </c>
    </row>
    <row r="161" spans="1:14" ht="20.100000000000001" customHeight="1">
      <c r="A161" s="255" t="s">
        <v>29</v>
      </c>
      <c r="B161" s="322">
        <v>1540</v>
      </c>
      <c r="C161" s="217">
        <f>C146-C135-C131-C155-C158-C159-C160</f>
        <v>35796</v>
      </c>
      <c r="D161" s="217">
        <f t="shared" ref="D161:H161" si="75">D146-D135-D131-D155-D158-D159-D160</f>
        <v>59911</v>
      </c>
      <c r="E161" s="217">
        <f>E146-E135-E131-E155-E158-E159-E160</f>
        <v>72033.666666666657</v>
      </c>
      <c r="F161" s="217">
        <f t="shared" si="75"/>
        <v>13046.312499999996</v>
      </c>
      <c r="G161" s="217">
        <f t="shared" si="75"/>
        <v>26091.624999999993</v>
      </c>
      <c r="H161" s="217">
        <f t="shared" si="75"/>
        <v>39136.937500000007</v>
      </c>
      <c r="I161" s="217">
        <f>I146-I135-I131-I155-I158-I159-I160</f>
        <v>52182.249999999985</v>
      </c>
      <c r="J161" s="236"/>
      <c r="K161" s="230"/>
      <c r="L161" s="230"/>
      <c r="M161" s="231"/>
      <c r="N161" s="231"/>
    </row>
    <row r="162" spans="1:14" s="162" customFormat="1" ht="20.100000000000001" customHeight="1">
      <c r="A162" s="258" t="s">
        <v>58</v>
      </c>
      <c r="B162" s="323">
        <v>1550</v>
      </c>
      <c r="C162" s="259">
        <f>SUM(C155,C158:C161)</f>
        <v>90551</v>
      </c>
      <c r="D162" s="259">
        <f t="shared" ref="D162" si="76">SUM(D155,D158:D161)</f>
        <v>127441</v>
      </c>
      <c r="E162" s="259">
        <f>SUM(E155,E158:E161)</f>
        <v>152194.66666666666</v>
      </c>
      <c r="F162" s="259">
        <f>SUM(F155,F158:F161)</f>
        <v>35261.287499999999</v>
      </c>
      <c r="G162" s="259">
        <f>SUM(G155,G158:G161)</f>
        <v>70523.574999999997</v>
      </c>
      <c r="H162" s="259">
        <f>SUM(H155,H158:H161)</f>
        <v>105784.86250000002</v>
      </c>
      <c r="I162" s="259">
        <f>I155+I158+I159+I160+I161</f>
        <v>141046.15</v>
      </c>
      <c r="J162" s="241"/>
      <c r="K162" s="234"/>
      <c r="L162" s="234"/>
      <c r="M162" s="235"/>
      <c r="N162" s="235"/>
    </row>
    <row r="163" spans="1:14" s="189" customFormat="1" ht="20.100000000000001" customHeight="1">
      <c r="A163" s="201"/>
      <c r="B163" s="202"/>
      <c r="C163" s="203"/>
      <c r="D163" s="203"/>
      <c r="E163" s="203"/>
      <c r="F163" s="203"/>
      <c r="G163" s="203"/>
      <c r="H163" s="203"/>
      <c r="I163" s="203"/>
      <c r="J163" s="204"/>
      <c r="K163" s="172"/>
      <c r="L163" s="172"/>
    </row>
    <row r="164" spans="1:14" s="189" customFormat="1" ht="20.100000000000001" customHeight="1">
      <c r="A164" s="201"/>
      <c r="B164" s="202"/>
      <c r="C164" s="203"/>
      <c r="D164" s="203"/>
      <c r="E164" s="203"/>
      <c r="F164" s="203"/>
      <c r="G164" s="203"/>
      <c r="H164" s="203"/>
      <c r="I164" s="203"/>
      <c r="J164" s="204"/>
      <c r="K164" s="172"/>
      <c r="L164" s="172"/>
    </row>
    <row r="165" spans="1:14" s="189" customFormat="1" ht="20.100000000000001" customHeight="1">
      <c r="A165" s="201"/>
      <c r="B165" s="202"/>
      <c r="C165" s="203"/>
      <c r="D165" s="203"/>
      <c r="E165" s="203"/>
      <c r="F165" s="203"/>
      <c r="G165" s="203"/>
      <c r="H165" s="203"/>
      <c r="I165" s="203"/>
      <c r="J165" s="204"/>
      <c r="K165" s="172"/>
      <c r="L165" s="172"/>
    </row>
    <row r="166" spans="1:14" s="162" customFormat="1" ht="20.100000000000001" customHeight="1">
      <c r="A166" s="100"/>
      <c r="B166" s="104"/>
      <c r="C166" s="105"/>
      <c r="D166" s="105"/>
      <c r="E166" s="105"/>
      <c r="F166" s="106"/>
      <c r="G166" s="106"/>
      <c r="H166" s="106"/>
      <c r="I166" s="106"/>
      <c r="J166" s="107"/>
    </row>
    <row r="167" spans="1:14">
      <c r="A167" s="150" t="s">
        <v>603</v>
      </c>
      <c r="B167" s="101"/>
      <c r="C167" s="395" t="s">
        <v>264</v>
      </c>
      <c r="D167" s="395"/>
      <c r="E167" s="395"/>
      <c r="F167" s="102"/>
      <c r="G167" s="384" t="s">
        <v>604</v>
      </c>
      <c r="H167" s="384"/>
      <c r="I167" s="384"/>
      <c r="J167" s="158"/>
    </row>
    <row r="168" spans="1:14" s="1" customFormat="1" ht="20.100000000000001" customHeight="1">
      <c r="A168" s="159" t="s">
        <v>263</v>
      </c>
      <c r="B168" s="158"/>
      <c r="C168" s="386" t="s">
        <v>341</v>
      </c>
      <c r="D168" s="386"/>
      <c r="E168" s="386"/>
      <c r="F168" s="103"/>
      <c r="G168" s="366" t="s">
        <v>111</v>
      </c>
      <c r="H168" s="366"/>
      <c r="I168" s="366"/>
      <c r="J168" s="108"/>
    </row>
    <row r="169" spans="1:14" ht="20.100000000000001" customHeight="1">
      <c r="A169" s="19"/>
      <c r="C169" s="171">
        <f>C170+C171</f>
        <v>20019</v>
      </c>
      <c r="D169" s="171">
        <f t="shared" ref="D169:I169" si="77">D170+D171</f>
        <v>25557</v>
      </c>
      <c r="E169" s="171">
        <f t="shared" si="77"/>
        <v>28037</v>
      </c>
      <c r="F169" s="171">
        <f>F170+F171</f>
        <v>7411.1750000000011</v>
      </c>
      <c r="G169" s="171">
        <f t="shared" si="77"/>
        <v>14822.350000000002</v>
      </c>
      <c r="H169" s="171">
        <f t="shared" si="77"/>
        <v>22233.525000000005</v>
      </c>
      <c r="I169" s="171">
        <f t="shared" si="77"/>
        <v>29645.700000000004</v>
      </c>
    </row>
    <row r="170" spans="1:14">
      <c r="A170" s="19"/>
      <c r="C170" s="171">
        <f>C12</f>
        <v>17111</v>
      </c>
      <c r="D170" s="171">
        <f t="shared" ref="D170:I170" si="78">D12</f>
        <v>22255</v>
      </c>
      <c r="E170" s="171">
        <f t="shared" si="78"/>
        <v>24755</v>
      </c>
      <c r="F170" s="171">
        <f t="shared" si="78"/>
        <v>6507.6250000000009</v>
      </c>
      <c r="G170" s="171">
        <f t="shared" si="78"/>
        <v>13015.250000000002</v>
      </c>
      <c r="H170" s="171">
        <f t="shared" si="78"/>
        <v>19522.875000000004</v>
      </c>
      <c r="I170" s="171">
        <f t="shared" si="78"/>
        <v>26030.500000000004</v>
      </c>
    </row>
    <row r="171" spans="1:14">
      <c r="A171" s="19"/>
      <c r="C171" s="171">
        <f>C13+C14</f>
        <v>2908</v>
      </c>
      <c r="D171" s="171">
        <f>D13+D14+20</f>
        <v>3302</v>
      </c>
      <c r="E171" s="171">
        <f>E13+E14</f>
        <v>3282</v>
      </c>
      <c r="F171" s="171">
        <f>F13+F14+F176</f>
        <v>903.55000000000007</v>
      </c>
      <c r="G171" s="171">
        <f>G13+G14+G176</f>
        <v>1807.1000000000001</v>
      </c>
      <c r="H171" s="171">
        <f>H13+H14+H176</f>
        <v>2710.65</v>
      </c>
      <c r="I171" s="171">
        <f>I13+I14+I176</f>
        <v>3615.2000000000003</v>
      </c>
    </row>
    <row r="172" spans="1:14">
      <c r="A172" s="19"/>
      <c r="C172" s="171">
        <f t="shared" ref="C172:H173" si="79">C15+C69</f>
        <v>14678</v>
      </c>
      <c r="D172" s="171">
        <f t="shared" si="79"/>
        <v>19486</v>
      </c>
      <c r="E172" s="171">
        <f t="shared" si="79"/>
        <v>19112.666666666668</v>
      </c>
      <c r="F172" s="171">
        <f t="shared" si="79"/>
        <v>6018</v>
      </c>
      <c r="G172" s="171">
        <f t="shared" si="79"/>
        <v>12036</v>
      </c>
      <c r="H172" s="171">
        <f t="shared" si="79"/>
        <v>18054</v>
      </c>
      <c r="I172" s="171">
        <f>I15+I69</f>
        <v>24071</v>
      </c>
    </row>
    <row r="173" spans="1:14">
      <c r="A173" s="19"/>
      <c r="C173" s="171">
        <f t="shared" si="79"/>
        <v>3139</v>
      </c>
      <c r="D173" s="171">
        <f t="shared" si="79"/>
        <v>4173</v>
      </c>
      <c r="E173" s="171">
        <f t="shared" si="79"/>
        <v>4009.3333333333335</v>
      </c>
      <c r="F173" s="171">
        <f t="shared" si="79"/>
        <v>1283</v>
      </c>
      <c r="G173" s="171">
        <f t="shared" si="79"/>
        <v>2567</v>
      </c>
      <c r="H173" s="171">
        <f t="shared" si="79"/>
        <v>3850</v>
      </c>
      <c r="I173" s="171">
        <f>I16+I70</f>
        <v>5134</v>
      </c>
    </row>
    <row r="174" spans="1:14">
      <c r="A174" s="19"/>
      <c r="C174" s="171">
        <f>C18+C71+C119+4</f>
        <v>16923</v>
      </c>
      <c r="D174" s="171">
        <f>D18+D71+5</f>
        <v>1319</v>
      </c>
      <c r="E174" s="171">
        <f>E18+E71+E119</f>
        <v>28942</v>
      </c>
      <c r="F174" s="171">
        <f>F18+F71+F179</f>
        <v>1165.8</v>
      </c>
      <c r="G174" s="171">
        <f>G18+G71+G179</f>
        <v>2332.6</v>
      </c>
      <c r="H174" s="171">
        <f>H18+H71+H179</f>
        <v>3499.4</v>
      </c>
      <c r="I174" s="171">
        <f>I18+I71+I179</f>
        <v>4665.2</v>
      </c>
    </row>
    <row r="175" spans="1:14">
      <c r="A175" s="19"/>
      <c r="B175" s="157" t="s">
        <v>552</v>
      </c>
      <c r="E175" s="20"/>
      <c r="F175" s="20"/>
      <c r="G175" s="20"/>
      <c r="H175" s="20"/>
      <c r="I175" s="20"/>
    </row>
    <row r="176" spans="1:14">
      <c r="A176" s="19"/>
      <c r="B176" s="160" t="s">
        <v>551</v>
      </c>
      <c r="C176" s="153"/>
      <c r="D176" s="153">
        <v>20</v>
      </c>
      <c r="E176" s="153">
        <v>60</v>
      </c>
      <c r="F176" s="153">
        <v>26</v>
      </c>
      <c r="G176" s="153">
        <v>52</v>
      </c>
      <c r="H176" s="153">
        <v>78</v>
      </c>
      <c r="I176" s="153">
        <v>105</v>
      </c>
    </row>
    <row r="177" spans="1:9">
      <c r="A177" s="19"/>
      <c r="B177" s="160" t="s">
        <v>548</v>
      </c>
      <c r="C177" s="153">
        <v>50</v>
      </c>
      <c r="D177" s="153"/>
      <c r="E177" s="153"/>
      <c r="F177" s="153">
        <v>50</v>
      </c>
      <c r="G177" s="153">
        <v>100</v>
      </c>
      <c r="H177" s="153">
        <v>150</v>
      </c>
      <c r="I177" s="153">
        <v>200</v>
      </c>
    </row>
    <row r="178" spans="1:9">
      <c r="A178" s="19"/>
      <c r="B178" s="160" t="s">
        <v>549</v>
      </c>
      <c r="C178" s="153">
        <v>11</v>
      </c>
      <c r="D178" s="153"/>
      <c r="E178" s="153"/>
      <c r="F178" s="153">
        <v>11</v>
      </c>
      <c r="G178" s="153">
        <v>22</v>
      </c>
      <c r="H178" s="153">
        <v>33</v>
      </c>
      <c r="I178" s="153">
        <v>43</v>
      </c>
    </row>
    <row r="179" spans="1:9">
      <c r="A179" s="19"/>
      <c r="B179" s="160" t="s">
        <v>550</v>
      </c>
      <c r="C179" s="153">
        <v>2</v>
      </c>
      <c r="D179" s="153">
        <v>10</v>
      </c>
      <c r="E179" s="153">
        <v>4</v>
      </c>
      <c r="F179" s="153">
        <v>10</v>
      </c>
      <c r="G179" s="153">
        <v>21</v>
      </c>
      <c r="H179" s="153">
        <v>32</v>
      </c>
      <c r="I179" s="153">
        <v>42</v>
      </c>
    </row>
    <row r="180" spans="1:9">
      <c r="A180" s="19"/>
      <c r="B180" s="160"/>
      <c r="C180" s="154">
        <v>63</v>
      </c>
      <c r="D180" s="154">
        <v>30</v>
      </c>
      <c r="E180" s="132">
        <v>30</v>
      </c>
      <c r="F180" s="132">
        <f>F176+F177+F178+F179</f>
        <v>97</v>
      </c>
      <c r="G180" s="132">
        <f t="shared" ref="G180:I180" si="80">G176+G177+G178+G179</f>
        <v>195</v>
      </c>
      <c r="H180" s="132">
        <f t="shared" si="80"/>
        <v>293</v>
      </c>
      <c r="I180" s="132">
        <f t="shared" si="80"/>
        <v>390</v>
      </c>
    </row>
    <row r="181" spans="1:9">
      <c r="A181" s="19"/>
      <c r="C181" s="24"/>
      <c r="D181" s="20"/>
      <c r="E181" s="20"/>
      <c r="F181" s="20"/>
      <c r="G181" s="20"/>
      <c r="H181" s="20"/>
      <c r="I181" s="20"/>
    </row>
    <row r="182" spans="1:9">
      <c r="A182" s="19"/>
      <c r="C182" s="24"/>
      <c r="D182" s="20"/>
      <c r="E182" s="20"/>
      <c r="F182" s="20"/>
      <c r="G182" s="20"/>
      <c r="H182" s="20"/>
      <c r="I182" s="20"/>
    </row>
    <row r="183" spans="1:9">
      <c r="A183" s="19"/>
      <c r="C183" s="24"/>
      <c r="D183" s="20"/>
      <c r="E183" s="20"/>
      <c r="F183" s="20"/>
      <c r="G183" s="20"/>
      <c r="H183" s="20"/>
      <c r="I183" s="20"/>
    </row>
    <row r="184" spans="1:9">
      <c r="A184" s="19"/>
      <c r="C184" s="24"/>
      <c r="D184" s="20"/>
      <c r="E184" s="20"/>
      <c r="F184" s="20"/>
      <c r="G184" s="20"/>
      <c r="H184" s="20"/>
      <c r="I184" s="20"/>
    </row>
    <row r="185" spans="1:9">
      <c r="A185" s="19"/>
      <c r="C185" s="24"/>
      <c r="D185" s="20"/>
      <c r="E185" s="20"/>
      <c r="F185" s="20"/>
      <c r="G185" s="20"/>
      <c r="H185" s="20"/>
      <c r="I185" s="20"/>
    </row>
    <row r="186" spans="1:9">
      <c r="A186" s="19"/>
      <c r="C186" s="24"/>
      <c r="D186" s="20"/>
      <c r="E186" s="20"/>
      <c r="F186" s="20"/>
      <c r="G186" s="20"/>
      <c r="H186" s="20"/>
      <c r="I186" s="20"/>
    </row>
    <row r="187" spans="1:9">
      <c r="A187" s="19"/>
      <c r="C187" s="24"/>
      <c r="D187" s="20"/>
      <c r="E187" s="20"/>
      <c r="F187" s="20"/>
      <c r="G187" s="20"/>
      <c r="H187" s="20"/>
      <c r="I187" s="20"/>
    </row>
    <row r="188" spans="1:9">
      <c r="A188" s="19"/>
      <c r="C188" s="24"/>
      <c r="D188" s="20"/>
      <c r="E188" s="20"/>
      <c r="F188" s="20"/>
      <c r="G188" s="20"/>
      <c r="H188" s="20"/>
      <c r="I188" s="20"/>
    </row>
    <row r="189" spans="1:9">
      <c r="A189" s="19"/>
      <c r="C189" s="24"/>
      <c r="D189" s="20"/>
      <c r="E189" s="20"/>
      <c r="F189" s="20"/>
      <c r="G189" s="20"/>
      <c r="H189" s="20"/>
      <c r="I189" s="20"/>
    </row>
    <row r="190" spans="1:9">
      <c r="A190" s="19"/>
      <c r="C190" s="24"/>
      <c r="D190" s="20"/>
      <c r="E190" s="20"/>
      <c r="F190" s="20"/>
      <c r="G190" s="20"/>
      <c r="H190" s="20"/>
      <c r="I190" s="20"/>
    </row>
    <row r="191" spans="1:9">
      <c r="A191" s="19"/>
      <c r="C191" s="24"/>
      <c r="D191" s="20"/>
      <c r="E191" s="20"/>
      <c r="F191" s="20"/>
      <c r="G191" s="20"/>
      <c r="H191" s="20"/>
      <c r="I191" s="20"/>
    </row>
    <row r="192" spans="1:9">
      <c r="A192" s="19"/>
      <c r="C192" s="24"/>
      <c r="D192" s="20"/>
      <c r="E192" s="20"/>
      <c r="F192" s="20"/>
      <c r="G192" s="20"/>
      <c r="H192" s="20"/>
      <c r="I192" s="20"/>
    </row>
    <row r="193" spans="1:9">
      <c r="A193" s="19"/>
      <c r="C193" s="24"/>
      <c r="D193" s="20"/>
      <c r="E193" s="20"/>
      <c r="F193" s="20"/>
      <c r="G193" s="20"/>
      <c r="H193" s="20"/>
      <c r="I193" s="20"/>
    </row>
    <row r="194" spans="1:9">
      <c r="A194" s="19"/>
      <c r="C194" s="24"/>
      <c r="D194" s="20"/>
      <c r="E194" s="20"/>
      <c r="F194" s="20"/>
      <c r="G194" s="20"/>
      <c r="H194" s="20"/>
      <c r="I194" s="20"/>
    </row>
    <row r="195" spans="1:9">
      <c r="A195" s="19"/>
      <c r="C195" s="24"/>
      <c r="D195" s="20"/>
      <c r="E195" s="20"/>
      <c r="F195" s="20"/>
      <c r="G195" s="20"/>
      <c r="H195" s="20"/>
      <c r="I195" s="20"/>
    </row>
    <row r="196" spans="1:9">
      <c r="A196" s="19"/>
      <c r="C196" s="24"/>
      <c r="D196" s="20"/>
      <c r="E196" s="20"/>
      <c r="F196" s="20"/>
      <c r="G196" s="20"/>
      <c r="H196" s="20"/>
      <c r="I196" s="20"/>
    </row>
    <row r="197" spans="1:9">
      <c r="A197" s="19"/>
      <c r="C197" s="24"/>
      <c r="D197" s="20"/>
      <c r="E197" s="20"/>
      <c r="F197" s="20"/>
      <c r="G197" s="20"/>
      <c r="H197" s="20"/>
      <c r="I197" s="20"/>
    </row>
    <row r="198" spans="1:9">
      <c r="A198" s="19"/>
      <c r="C198" s="24"/>
      <c r="D198" s="20"/>
      <c r="E198" s="20"/>
      <c r="F198" s="20"/>
      <c r="G198" s="20"/>
      <c r="H198" s="20"/>
      <c r="I198" s="20"/>
    </row>
    <row r="199" spans="1:9">
      <c r="A199" s="19"/>
      <c r="C199" s="24"/>
      <c r="D199" s="20"/>
      <c r="E199" s="20"/>
      <c r="F199" s="20"/>
      <c r="G199" s="20"/>
      <c r="H199" s="20"/>
      <c r="I199" s="20"/>
    </row>
    <row r="200" spans="1:9">
      <c r="A200" s="19"/>
      <c r="C200" s="24"/>
      <c r="D200" s="20"/>
      <c r="E200" s="20"/>
      <c r="F200" s="20"/>
      <c r="G200" s="20"/>
      <c r="H200" s="20"/>
      <c r="I200" s="20"/>
    </row>
    <row r="201" spans="1:9">
      <c r="A201" s="19"/>
      <c r="C201" s="24"/>
      <c r="D201" s="20"/>
      <c r="E201" s="20"/>
      <c r="F201" s="20"/>
      <c r="G201" s="20"/>
      <c r="H201" s="20"/>
      <c r="I201" s="20"/>
    </row>
    <row r="202" spans="1:9">
      <c r="A202" s="19"/>
      <c r="C202" s="24"/>
      <c r="D202" s="20"/>
      <c r="E202" s="20"/>
      <c r="F202" s="20"/>
      <c r="G202" s="20"/>
      <c r="H202" s="20"/>
      <c r="I202" s="20"/>
    </row>
    <row r="203" spans="1:9">
      <c r="A203" s="19"/>
      <c r="C203" s="24"/>
      <c r="D203" s="20"/>
      <c r="E203" s="20"/>
      <c r="F203" s="20"/>
      <c r="G203" s="20"/>
      <c r="H203" s="20"/>
      <c r="I203" s="20"/>
    </row>
    <row r="204" spans="1:9">
      <c r="A204" s="19"/>
      <c r="C204" s="24"/>
      <c r="D204" s="20"/>
      <c r="E204" s="20"/>
      <c r="F204" s="20"/>
      <c r="G204" s="20"/>
      <c r="H204" s="20"/>
      <c r="I204" s="20"/>
    </row>
    <row r="205" spans="1:9">
      <c r="A205" s="19"/>
      <c r="C205" s="24"/>
      <c r="D205" s="20"/>
      <c r="E205" s="20"/>
      <c r="F205" s="20"/>
      <c r="G205" s="20"/>
      <c r="H205" s="20"/>
      <c r="I205" s="20"/>
    </row>
    <row r="206" spans="1:9">
      <c r="A206" s="19"/>
      <c r="C206" s="24"/>
      <c r="D206" s="20"/>
      <c r="E206" s="20"/>
      <c r="F206" s="20"/>
      <c r="G206" s="20"/>
      <c r="H206" s="20"/>
      <c r="I206" s="20"/>
    </row>
    <row r="207" spans="1:9">
      <c r="A207" s="19"/>
      <c r="C207" s="24"/>
      <c r="D207" s="20"/>
      <c r="E207" s="20"/>
      <c r="F207" s="20"/>
      <c r="G207" s="20"/>
      <c r="H207" s="20"/>
      <c r="I207" s="20"/>
    </row>
    <row r="208" spans="1:9">
      <c r="A208" s="19"/>
      <c r="C208" s="24"/>
      <c r="D208" s="20"/>
      <c r="E208" s="20"/>
      <c r="F208" s="20"/>
      <c r="G208" s="20"/>
      <c r="H208" s="20"/>
      <c r="I208" s="20"/>
    </row>
    <row r="209" spans="1:9">
      <c r="A209" s="19"/>
      <c r="C209" s="24"/>
      <c r="D209" s="20"/>
      <c r="E209" s="20"/>
      <c r="F209" s="20"/>
      <c r="G209" s="20"/>
      <c r="H209" s="20"/>
      <c r="I209" s="20"/>
    </row>
    <row r="210" spans="1:9">
      <c r="A210" s="19"/>
      <c r="C210" s="24"/>
      <c r="D210" s="20"/>
      <c r="E210" s="20"/>
      <c r="F210" s="20"/>
      <c r="G210" s="20"/>
      <c r="H210" s="20"/>
      <c r="I210" s="20"/>
    </row>
    <row r="211" spans="1:9">
      <c r="A211" s="19"/>
      <c r="C211" s="24"/>
      <c r="D211" s="20"/>
      <c r="E211" s="20"/>
      <c r="F211" s="20"/>
      <c r="G211" s="20"/>
      <c r="H211" s="20"/>
      <c r="I211" s="20"/>
    </row>
    <row r="212" spans="1:9">
      <c r="A212" s="19"/>
      <c r="C212" s="24"/>
      <c r="D212" s="20"/>
      <c r="E212" s="20"/>
      <c r="F212" s="20"/>
      <c r="G212" s="20"/>
      <c r="H212" s="20"/>
      <c r="I212" s="20"/>
    </row>
    <row r="213" spans="1:9">
      <c r="A213" s="19"/>
      <c r="C213" s="24"/>
      <c r="D213" s="20"/>
      <c r="E213" s="20"/>
      <c r="F213" s="20"/>
      <c r="G213" s="20"/>
      <c r="H213" s="20"/>
      <c r="I213" s="20"/>
    </row>
    <row r="214" spans="1:9">
      <c r="A214" s="19"/>
      <c r="C214" s="24"/>
      <c r="D214" s="20"/>
      <c r="E214" s="20"/>
      <c r="F214" s="20"/>
      <c r="G214" s="20"/>
      <c r="H214" s="20"/>
      <c r="I214" s="20"/>
    </row>
    <row r="215" spans="1:9">
      <c r="A215" s="19"/>
      <c r="C215" s="24"/>
      <c r="D215" s="20"/>
      <c r="E215" s="20"/>
      <c r="F215" s="20"/>
      <c r="G215" s="20"/>
      <c r="H215" s="20"/>
      <c r="I215" s="20"/>
    </row>
    <row r="216" spans="1:9">
      <c r="A216" s="19"/>
      <c r="C216" s="24"/>
      <c r="D216" s="20"/>
      <c r="E216" s="20"/>
      <c r="F216" s="20"/>
      <c r="G216" s="20"/>
      <c r="H216" s="20"/>
      <c r="I216" s="20"/>
    </row>
    <row r="217" spans="1:9">
      <c r="A217" s="19"/>
      <c r="C217" s="24"/>
      <c r="D217" s="20"/>
      <c r="E217" s="20"/>
      <c r="F217" s="20"/>
      <c r="G217" s="20"/>
      <c r="H217" s="20"/>
      <c r="I217" s="20"/>
    </row>
    <row r="218" spans="1:9">
      <c r="A218" s="19"/>
      <c r="C218" s="24"/>
      <c r="D218" s="20"/>
      <c r="E218" s="20"/>
      <c r="F218" s="20"/>
      <c r="G218" s="20"/>
      <c r="H218" s="20"/>
      <c r="I218" s="20"/>
    </row>
    <row r="219" spans="1:9">
      <c r="A219" s="19"/>
      <c r="C219" s="24"/>
      <c r="D219" s="20"/>
      <c r="E219" s="20"/>
      <c r="F219" s="20"/>
      <c r="G219" s="20"/>
      <c r="H219" s="20"/>
      <c r="I219" s="20"/>
    </row>
    <row r="220" spans="1:9">
      <c r="A220" s="19"/>
      <c r="C220" s="24"/>
      <c r="D220" s="20"/>
      <c r="E220" s="20"/>
      <c r="F220" s="20"/>
      <c r="G220" s="20"/>
      <c r="H220" s="20"/>
      <c r="I220" s="20"/>
    </row>
    <row r="221" spans="1:9">
      <c r="A221" s="19"/>
      <c r="C221" s="24"/>
      <c r="D221" s="20"/>
      <c r="E221" s="20"/>
      <c r="F221" s="20"/>
      <c r="G221" s="20"/>
      <c r="H221" s="20"/>
      <c r="I221" s="20"/>
    </row>
    <row r="222" spans="1:9">
      <c r="A222" s="19"/>
      <c r="C222" s="24"/>
      <c r="D222" s="20"/>
      <c r="E222" s="20"/>
      <c r="F222" s="20"/>
      <c r="G222" s="20"/>
      <c r="H222" s="20"/>
      <c r="I222" s="20"/>
    </row>
    <row r="223" spans="1:9">
      <c r="A223" s="19"/>
      <c r="C223" s="24"/>
      <c r="D223" s="20"/>
      <c r="E223" s="20"/>
      <c r="F223" s="20"/>
      <c r="G223" s="20"/>
      <c r="H223" s="20"/>
      <c r="I223" s="20"/>
    </row>
    <row r="224" spans="1:9">
      <c r="A224" s="19"/>
      <c r="C224" s="24"/>
      <c r="D224" s="20"/>
      <c r="E224" s="20"/>
      <c r="F224" s="20"/>
      <c r="G224" s="20"/>
      <c r="H224" s="20"/>
      <c r="I224" s="20"/>
    </row>
    <row r="225" spans="1:9">
      <c r="A225" s="19"/>
      <c r="C225" s="24"/>
      <c r="D225" s="20"/>
      <c r="E225" s="20"/>
      <c r="F225" s="20"/>
      <c r="G225" s="20"/>
      <c r="H225" s="20"/>
      <c r="I225" s="20"/>
    </row>
    <row r="226" spans="1:9">
      <c r="A226" s="19"/>
      <c r="C226" s="24"/>
      <c r="D226" s="20"/>
      <c r="E226" s="20"/>
      <c r="F226" s="20"/>
      <c r="G226" s="20"/>
      <c r="H226" s="20"/>
      <c r="I226" s="20"/>
    </row>
    <row r="227" spans="1:9">
      <c r="A227" s="39"/>
    </row>
    <row r="228" spans="1:9">
      <c r="A228" s="39"/>
    </row>
    <row r="229" spans="1:9">
      <c r="A229" s="39"/>
    </row>
    <row r="230" spans="1:9">
      <c r="A230" s="39"/>
    </row>
    <row r="231" spans="1:9">
      <c r="A231" s="39"/>
    </row>
    <row r="232" spans="1:9">
      <c r="A232" s="39"/>
    </row>
    <row r="233" spans="1:9">
      <c r="A233" s="39"/>
    </row>
    <row r="234" spans="1:9">
      <c r="A234" s="39"/>
    </row>
    <row r="235" spans="1:9">
      <c r="A235" s="39"/>
    </row>
    <row r="236" spans="1:9">
      <c r="A236" s="39"/>
    </row>
    <row r="237" spans="1:9">
      <c r="A237" s="39"/>
    </row>
    <row r="238" spans="1:9">
      <c r="A238" s="39"/>
    </row>
    <row r="239" spans="1:9">
      <c r="A239" s="39"/>
    </row>
    <row r="240" spans="1:9">
      <c r="A240" s="39"/>
    </row>
    <row r="241" spans="1:1">
      <c r="A241" s="39"/>
    </row>
    <row r="242" spans="1:1">
      <c r="A242" s="39"/>
    </row>
    <row r="243" spans="1:1">
      <c r="A243" s="39"/>
    </row>
    <row r="244" spans="1:1">
      <c r="A244" s="39"/>
    </row>
    <row r="245" spans="1:1">
      <c r="A245" s="39"/>
    </row>
    <row r="246" spans="1:1">
      <c r="A246" s="39"/>
    </row>
    <row r="247" spans="1:1">
      <c r="A247" s="39"/>
    </row>
    <row r="248" spans="1:1">
      <c r="A248" s="39"/>
    </row>
    <row r="249" spans="1:1">
      <c r="A249" s="39"/>
    </row>
    <row r="250" spans="1:1">
      <c r="A250" s="39"/>
    </row>
    <row r="251" spans="1:1">
      <c r="A251" s="39"/>
    </row>
    <row r="252" spans="1:1">
      <c r="A252" s="39"/>
    </row>
    <row r="253" spans="1:1">
      <c r="A253" s="39"/>
    </row>
    <row r="254" spans="1:1">
      <c r="A254" s="39"/>
    </row>
    <row r="255" spans="1:1">
      <c r="A255" s="39"/>
    </row>
    <row r="256" spans="1:1">
      <c r="A256" s="39"/>
    </row>
    <row r="257" spans="1:1">
      <c r="A257" s="39"/>
    </row>
    <row r="258" spans="1:1">
      <c r="A258" s="39"/>
    </row>
    <row r="259" spans="1:1">
      <c r="A259" s="39"/>
    </row>
    <row r="260" spans="1:1">
      <c r="A260" s="39"/>
    </row>
    <row r="261" spans="1:1">
      <c r="A261" s="39"/>
    </row>
    <row r="262" spans="1:1">
      <c r="A262" s="39"/>
    </row>
    <row r="263" spans="1:1">
      <c r="A263" s="39"/>
    </row>
    <row r="264" spans="1:1">
      <c r="A264" s="39"/>
    </row>
    <row r="265" spans="1:1">
      <c r="A265" s="39"/>
    </row>
    <row r="266" spans="1:1">
      <c r="A266" s="39"/>
    </row>
    <row r="267" spans="1:1">
      <c r="A267" s="39"/>
    </row>
    <row r="268" spans="1:1">
      <c r="A268" s="39"/>
    </row>
    <row r="269" spans="1:1">
      <c r="A269" s="39"/>
    </row>
    <row r="270" spans="1:1">
      <c r="A270" s="39"/>
    </row>
    <row r="271" spans="1:1">
      <c r="A271" s="39"/>
    </row>
    <row r="272" spans="1:1">
      <c r="A272" s="39"/>
    </row>
    <row r="273" spans="1:1">
      <c r="A273" s="39"/>
    </row>
    <row r="274" spans="1:1">
      <c r="A274" s="39"/>
    </row>
    <row r="275" spans="1:1">
      <c r="A275" s="39"/>
    </row>
    <row r="276" spans="1:1">
      <c r="A276" s="39"/>
    </row>
    <row r="277" spans="1:1">
      <c r="A277" s="39"/>
    </row>
    <row r="278" spans="1:1">
      <c r="A278" s="39"/>
    </row>
    <row r="279" spans="1:1">
      <c r="A279" s="39"/>
    </row>
    <row r="280" spans="1:1">
      <c r="A280" s="39"/>
    </row>
    <row r="281" spans="1:1">
      <c r="A281" s="39"/>
    </row>
    <row r="282" spans="1:1">
      <c r="A282" s="39"/>
    </row>
    <row r="283" spans="1:1">
      <c r="A283" s="39"/>
    </row>
    <row r="284" spans="1:1">
      <c r="A284" s="39"/>
    </row>
    <row r="285" spans="1:1">
      <c r="A285" s="39"/>
    </row>
    <row r="286" spans="1:1">
      <c r="A286" s="39"/>
    </row>
    <row r="287" spans="1:1">
      <c r="A287" s="39"/>
    </row>
    <row r="288" spans="1:1">
      <c r="A288" s="39"/>
    </row>
    <row r="289" spans="1:1">
      <c r="A289" s="39"/>
    </row>
    <row r="290" spans="1:1">
      <c r="A290" s="39"/>
    </row>
    <row r="291" spans="1:1">
      <c r="A291" s="39"/>
    </row>
    <row r="292" spans="1:1">
      <c r="A292" s="39"/>
    </row>
    <row r="293" spans="1:1">
      <c r="A293" s="39"/>
    </row>
    <row r="294" spans="1:1">
      <c r="A294" s="39"/>
    </row>
    <row r="295" spans="1:1">
      <c r="A295" s="39"/>
    </row>
    <row r="296" spans="1:1">
      <c r="A296" s="39"/>
    </row>
    <row r="297" spans="1:1">
      <c r="A297" s="39"/>
    </row>
    <row r="298" spans="1:1">
      <c r="A298" s="39"/>
    </row>
    <row r="299" spans="1:1">
      <c r="A299" s="39"/>
    </row>
    <row r="300" spans="1:1">
      <c r="A300" s="39"/>
    </row>
    <row r="301" spans="1:1">
      <c r="A301" s="39"/>
    </row>
    <row r="302" spans="1:1">
      <c r="A302" s="39"/>
    </row>
    <row r="303" spans="1:1">
      <c r="A303" s="39"/>
    </row>
    <row r="304" spans="1:1">
      <c r="A304" s="39"/>
    </row>
    <row r="305" spans="1:1">
      <c r="A305" s="39"/>
    </row>
    <row r="306" spans="1:1">
      <c r="A306" s="39"/>
    </row>
    <row r="307" spans="1:1">
      <c r="A307" s="39"/>
    </row>
    <row r="308" spans="1:1">
      <c r="A308" s="39"/>
    </row>
    <row r="309" spans="1:1">
      <c r="A309" s="39"/>
    </row>
    <row r="310" spans="1:1">
      <c r="A310" s="39"/>
    </row>
    <row r="311" spans="1:1">
      <c r="A311" s="39"/>
    </row>
    <row r="312" spans="1:1">
      <c r="A312" s="39"/>
    </row>
    <row r="313" spans="1:1">
      <c r="A313" s="39"/>
    </row>
    <row r="314" spans="1:1">
      <c r="A314" s="39"/>
    </row>
    <row r="315" spans="1:1">
      <c r="A315" s="39"/>
    </row>
    <row r="316" spans="1:1">
      <c r="A316" s="39"/>
    </row>
    <row r="317" spans="1:1">
      <c r="A317" s="39"/>
    </row>
    <row r="318" spans="1:1">
      <c r="A318" s="39"/>
    </row>
    <row r="319" spans="1:1">
      <c r="A319" s="39"/>
    </row>
    <row r="320" spans="1:1">
      <c r="A320" s="39"/>
    </row>
    <row r="321" spans="1:1">
      <c r="A321" s="39"/>
    </row>
    <row r="322" spans="1:1">
      <c r="A322" s="39"/>
    </row>
    <row r="323" spans="1:1">
      <c r="A323" s="39"/>
    </row>
    <row r="324" spans="1:1">
      <c r="A324" s="39"/>
    </row>
    <row r="325" spans="1:1">
      <c r="A325" s="39"/>
    </row>
    <row r="326" spans="1:1">
      <c r="A326" s="39"/>
    </row>
    <row r="327" spans="1:1">
      <c r="A327" s="39"/>
    </row>
    <row r="328" spans="1:1">
      <c r="A328" s="39"/>
    </row>
    <row r="329" spans="1:1">
      <c r="A329" s="39"/>
    </row>
    <row r="330" spans="1:1">
      <c r="A330" s="39"/>
    </row>
    <row r="331" spans="1:1">
      <c r="A331" s="39"/>
    </row>
    <row r="332" spans="1:1">
      <c r="A332" s="39"/>
    </row>
    <row r="333" spans="1:1">
      <c r="A333" s="39"/>
    </row>
    <row r="334" spans="1:1">
      <c r="A334" s="39"/>
    </row>
    <row r="335" spans="1:1">
      <c r="A335" s="39"/>
    </row>
    <row r="336" spans="1:1">
      <c r="A336" s="39"/>
    </row>
    <row r="337" spans="1:1">
      <c r="A337" s="39"/>
    </row>
    <row r="338" spans="1:1">
      <c r="A338" s="39"/>
    </row>
    <row r="339" spans="1:1">
      <c r="A339" s="39"/>
    </row>
    <row r="340" spans="1:1">
      <c r="A340" s="39"/>
    </row>
    <row r="341" spans="1:1">
      <c r="A341" s="39"/>
    </row>
    <row r="342" spans="1:1">
      <c r="A342" s="39"/>
    </row>
    <row r="343" spans="1:1">
      <c r="A343" s="39"/>
    </row>
    <row r="344" spans="1:1">
      <c r="A344" s="39"/>
    </row>
    <row r="345" spans="1:1">
      <c r="A345" s="39"/>
    </row>
    <row r="346" spans="1:1">
      <c r="A346" s="39"/>
    </row>
    <row r="347" spans="1:1">
      <c r="A347" s="39"/>
    </row>
    <row r="348" spans="1:1">
      <c r="A348" s="39"/>
    </row>
    <row r="349" spans="1:1">
      <c r="A349" s="39"/>
    </row>
    <row r="350" spans="1:1">
      <c r="A350" s="39"/>
    </row>
    <row r="351" spans="1:1">
      <c r="A351" s="39"/>
    </row>
    <row r="352" spans="1:1">
      <c r="A352" s="39"/>
    </row>
    <row r="353" spans="1:1">
      <c r="A353" s="39"/>
    </row>
    <row r="354" spans="1:1">
      <c r="A354" s="39"/>
    </row>
    <row r="355" spans="1:1">
      <c r="A355" s="39"/>
    </row>
    <row r="356" spans="1:1">
      <c r="A356" s="39"/>
    </row>
    <row r="357" spans="1:1">
      <c r="A357" s="39"/>
    </row>
    <row r="358" spans="1:1">
      <c r="A358" s="39"/>
    </row>
    <row r="359" spans="1:1">
      <c r="A359" s="39"/>
    </row>
    <row r="360" spans="1:1">
      <c r="A360" s="39"/>
    </row>
    <row r="361" spans="1:1">
      <c r="A361" s="39"/>
    </row>
    <row r="362" spans="1:1">
      <c r="A362" s="39"/>
    </row>
    <row r="363" spans="1:1">
      <c r="A363" s="39"/>
    </row>
    <row r="364" spans="1:1">
      <c r="A364" s="39"/>
    </row>
    <row r="365" spans="1:1">
      <c r="A365" s="39"/>
    </row>
    <row r="366" spans="1:1">
      <c r="A366" s="39"/>
    </row>
    <row r="367" spans="1:1">
      <c r="A367" s="39"/>
    </row>
    <row r="368" spans="1:1">
      <c r="A368" s="39"/>
    </row>
    <row r="369" spans="1:1">
      <c r="A369" s="39"/>
    </row>
    <row r="370" spans="1:1">
      <c r="A370" s="39"/>
    </row>
    <row r="371" spans="1:1">
      <c r="A371" s="39"/>
    </row>
    <row r="372" spans="1:1">
      <c r="A372" s="39"/>
    </row>
    <row r="373" spans="1:1">
      <c r="A373" s="39"/>
    </row>
    <row r="374" spans="1:1">
      <c r="A374" s="39"/>
    </row>
    <row r="375" spans="1:1">
      <c r="A375" s="39"/>
    </row>
    <row r="376" spans="1:1">
      <c r="A376" s="39"/>
    </row>
    <row r="377" spans="1:1">
      <c r="A377" s="39"/>
    </row>
    <row r="378" spans="1:1">
      <c r="A378" s="39"/>
    </row>
    <row r="379" spans="1:1">
      <c r="A379" s="39"/>
    </row>
    <row r="380" spans="1:1">
      <c r="A380" s="39"/>
    </row>
    <row r="381" spans="1:1">
      <c r="A381" s="39"/>
    </row>
    <row r="382" spans="1:1">
      <c r="A382" s="39"/>
    </row>
    <row r="383" spans="1:1">
      <c r="A383" s="39"/>
    </row>
    <row r="384" spans="1:1">
      <c r="A384" s="39"/>
    </row>
    <row r="385" spans="1:1">
      <c r="A385" s="39"/>
    </row>
    <row r="386" spans="1:1">
      <c r="A386" s="39"/>
    </row>
    <row r="387" spans="1:1">
      <c r="A387" s="39"/>
    </row>
    <row r="388" spans="1:1">
      <c r="A388" s="39"/>
    </row>
    <row r="389" spans="1:1">
      <c r="A389" s="39"/>
    </row>
    <row r="390" spans="1:1">
      <c r="A390" s="39"/>
    </row>
    <row r="391" spans="1:1">
      <c r="A391" s="39"/>
    </row>
    <row r="392" spans="1:1">
      <c r="A392" s="39"/>
    </row>
    <row r="393" spans="1:1">
      <c r="A393" s="39"/>
    </row>
  </sheetData>
  <sheetProtection formatCells="0" formatColumns="0" formatRows="0" insertRows="0" deleteRows="0"/>
  <mergeCells count="16">
    <mergeCell ref="A1:J1"/>
    <mergeCell ref="C168:E168"/>
    <mergeCell ref="G168:I168"/>
    <mergeCell ref="J3:J4"/>
    <mergeCell ref="A6:J6"/>
    <mergeCell ref="A141:J141"/>
    <mergeCell ref="A147:J147"/>
    <mergeCell ref="B3:B4"/>
    <mergeCell ref="A3:A4"/>
    <mergeCell ref="C3:C4"/>
    <mergeCell ref="F3:I3"/>
    <mergeCell ref="A154:J154"/>
    <mergeCell ref="C167:E167"/>
    <mergeCell ref="G167:I167"/>
    <mergeCell ref="E3:E4"/>
    <mergeCell ref="D3:D4"/>
  </mergeCells>
  <phoneticPr fontId="0" type="noConversion"/>
  <pageMargins left="0.59055118110236227" right="0.19685039370078741" top="0.39370078740157483" bottom="0.19685039370078741" header="0" footer="0"/>
  <pageSetup paperSize="9" scale="45" orientation="portrait" r:id="rId1"/>
  <headerFooter alignWithMargins="0"/>
  <rowBreaks count="2" manualBreakCount="2">
    <brk id="54" max="9" man="1"/>
    <brk id="114" max="9" man="1"/>
  </rowBreaks>
  <ignoredErrors>
    <ignoredError sqref="F155:H155 I155 F67:H68 F62:H62 I67:I68 F84:H88 G89:H89 I71 F71:H7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K194"/>
  <sheetViews>
    <sheetView view="pageBreakPreview" zoomScale="90" zoomScaleNormal="65" zoomScaleSheetLayoutView="90" workbookViewId="0">
      <pane ySplit="5" topLeftCell="A49" activePane="bottomLeft" state="frozen"/>
      <selection pane="bottomLeft" activeCell="I9" sqref="I9"/>
    </sheetView>
  </sheetViews>
  <sheetFormatPr defaultColWidth="77.85546875" defaultRowHeight="18.75" outlineLevelRow="1"/>
  <cols>
    <col min="1" max="1" width="61.28515625" style="35" customWidth="1"/>
    <col min="2" max="2" width="15.28515625" style="37" customWidth="1"/>
    <col min="3" max="3" width="13" style="37" customWidth="1"/>
    <col min="4" max="4" width="14.85546875" style="37" customWidth="1"/>
    <col min="5" max="5" width="13.42578125" style="37" customWidth="1"/>
    <col min="6" max="6" width="13.7109375" style="35" customWidth="1"/>
    <col min="7" max="7" width="13.28515625" style="35" customWidth="1"/>
    <col min="8" max="8" width="13" style="35" customWidth="1"/>
    <col min="9" max="9" width="11.7109375" style="35" customWidth="1"/>
    <col min="10" max="10" width="10" style="35" customWidth="1"/>
    <col min="11" max="11" width="9.5703125" style="35" customWidth="1"/>
    <col min="12" max="254" width="9.140625" style="35" customWidth="1"/>
    <col min="255" max="16384" width="77.85546875" style="35"/>
  </cols>
  <sheetData>
    <row r="1" spans="1:9">
      <c r="A1" s="402" t="s">
        <v>376</v>
      </c>
      <c r="B1" s="402"/>
      <c r="C1" s="402"/>
      <c r="D1" s="402"/>
      <c r="E1" s="402"/>
      <c r="F1" s="402"/>
      <c r="G1" s="402"/>
      <c r="H1" s="402"/>
      <c r="I1" s="402"/>
    </row>
    <row r="2" spans="1:9" outlineLevel="1">
      <c r="A2" s="34"/>
      <c r="B2" s="40"/>
      <c r="C2" s="34"/>
      <c r="D2" s="34"/>
      <c r="E2" s="34"/>
      <c r="F2" s="34"/>
      <c r="G2" s="34"/>
      <c r="H2" s="34"/>
      <c r="I2" s="34"/>
    </row>
    <row r="3" spans="1:9" ht="38.25" customHeight="1">
      <c r="A3" s="403" t="s">
        <v>277</v>
      </c>
      <c r="B3" s="404" t="s">
        <v>17</v>
      </c>
      <c r="C3" s="404" t="s">
        <v>31</v>
      </c>
      <c r="D3" s="404" t="s">
        <v>39</v>
      </c>
      <c r="E3" s="405" t="s">
        <v>183</v>
      </c>
      <c r="F3" s="406" t="s">
        <v>372</v>
      </c>
      <c r="G3" s="406"/>
      <c r="H3" s="406"/>
      <c r="I3" s="406"/>
    </row>
    <row r="4" spans="1:9" ht="50.25" customHeight="1">
      <c r="A4" s="403"/>
      <c r="B4" s="404"/>
      <c r="C4" s="404"/>
      <c r="D4" s="404"/>
      <c r="E4" s="405"/>
      <c r="F4" s="260" t="s">
        <v>373</v>
      </c>
      <c r="G4" s="260" t="s">
        <v>374</v>
      </c>
      <c r="H4" s="260" t="s">
        <v>375</v>
      </c>
      <c r="I4" s="260" t="s">
        <v>83</v>
      </c>
    </row>
    <row r="5" spans="1:9" ht="18" customHeight="1">
      <c r="A5" s="261">
        <v>1</v>
      </c>
      <c r="B5" s="262">
        <v>2</v>
      </c>
      <c r="C5" s="262">
        <v>3</v>
      </c>
      <c r="D5" s="262">
        <v>4</v>
      </c>
      <c r="E5" s="262">
        <v>5</v>
      </c>
      <c r="F5" s="263">
        <v>6</v>
      </c>
      <c r="G5" s="263">
        <v>7</v>
      </c>
      <c r="H5" s="263">
        <v>8</v>
      </c>
      <c r="I5" s="263">
        <v>9</v>
      </c>
    </row>
    <row r="6" spans="1:9" ht="24.95" customHeight="1">
      <c r="A6" s="398" t="s">
        <v>167</v>
      </c>
      <c r="B6" s="399"/>
      <c r="C6" s="399"/>
      <c r="D6" s="399"/>
      <c r="E6" s="399"/>
      <c r="F6" s="399"/>
      <c r="G6" s="399"/>
      <c r="H6" s="399"/>
      <c r="I6" s="400"/>
    </row>
    <row r="7" spans="1:9" ht="42.75" customHeight="1">
      <c r="A7" s="264" t="s">
        <v>60</v>
      </c>
      <c r="B7" s="263">
        <v>2000</v>
      </c>
      <c r="C7" s="217">
        <v>-294</v>
      </c>
      <c r="D7" s="217">
        <v>-180</v>
      </c>
      <c r="E7" s="252">
        <f>C19</f>
        <v>-251</v>
      </c>
      <c r="F7" s="252">
        <f>E19</f>
        <v>-129.66666666666544</v>
      </c>
      <c r="G7" s="252">
        <f>E19</f>
        <v>-129.66666666666544</v>
      </c>
      <c r="H7" s="252">
        <f>E19</f>
        <v>-129.66666666666544</v>
      </c>
      <c r="I7" s="252">
        <f>E19</f>
        <v>-129.66666666666544</v>
      </c>
    </row>
    <row r="8" spans="1:9" ht="37.5">
      <c r="A8" s="265" t="s">
        <v>225</v>
      </c>
      <c r="B8" s="263">
        <v>2010</v>
      </c>
      <c r="C8" s="252">
        <v>324</v>
      </c>
      <c r="D8" s="252">
        <f t="shared" ref="D8:H8" si="0">D9+D10</f>
        <v>358</v>
      </c>
      <c r="E8" s="252">
        <f t="shared" si="0"/>
        <v>237</v>
      </c>
      <c r="F8" s="252">
        <f>F9+F10</f>
        <v>159</v>
      </c>
      <c r="G8" s="252">
        <f t="shared" si="0"/>
        <v>317</v>
      </c>
      <c r="H8" s="252">
        <f t="shared" si="0"/>
        <v>475</v>
      </c>
      <c r="I8" s="252">
        <f>I9+I10</f>
        <v>634</v>
      </c>
    </row>
    <row r="9" spans="1:9" ht="42.75" customHeight="1">
      <c r="A9" s="266" t="s">
        <v>378</v>
      </c>
      <c r="B9" s="263">
        <v>2011</v>
      </c>
      <c r="C9" s="217">
        <v>74</v>
      </c>
      <c r="D9" s="217">
        <v>81</v>
      </c>
      <c r="E9" s="217">
        <f>ROUND('I. Фін результат'!E137*0.15,0)</f>
        <v>54</v>
      </c>
      <c r="F9" s="217">
        <f>ROUND('I. Фін результат'!F137*0.15,0)</f>
        <v>36</v>
      </c>
      <c r="G9" s="217">
        <f>ROUND('I. Фін результат'!G137*0.15,0)</f>
        <v>72</v>
      </c>
      <c r="H9" s="217">
        <f>ROUND('I. Фін результат'!H137*0.15,0)</f>
        <v>108</v>
      </c>
      <c r="I9" s="217">
        <f>ROUND('I. Фін результат'!I137*0.15,0)</f>
        <v>144</v>
      </c>
    </row>
    <row r="10" spans="1:9" ht="93.75">
      <c r="A10" s="266" t="s">
        <v>379</v>
      </c>
      <c r="B10" s="263">
        <v>2012</v>
      </c>
      <c r="C10" s="217">
        <v>250</v>
      </c>
      <c r="D10" s="217">
        <v>277</v>
      </c>
      <c r="E10" s="217">
        <f>ROUND(('I. Фін результат'!E137-'ІІ. Розр. з бюджетом'!E9)*0.6,0)</f>
        <v>183</v>
      </c>
      <c r="F10" s="217">
        <f>ROUND(('I. Фін результат'!F137-'ІІ. Розр. з бюджетом'!F9)*0.6,0)</f>
        <v>123</v>
      </c>
      <c r="G10" s="217">
        <f>ROUND(('I. Фін результат'!G137-'ІІ. Розр. з бюджетом'!G9)*0.6,0)</f>
        <v>245</v>
      </c>
      <c r="H10" s="217">
        <f>ROUND(('I. Фін результат'!H137-'ІІ. Розр. з бюджетом'!H9)*0.6,0)</f>
        <v>367</v>
      </c>
      <c r="I10" s="217">
        <f>ROUND(('I. Фін результат'!I137-'ІІ. Розр. з бюджетом'!I9)*0.6,0)</f>
        <v>490</v>
      </c>
    </row>
    <row r="11" spans="1:9" ht="20.100000000000001" customHeight="1">
      <c r="A11" s="266" t="s">
        <v>211</v>
      </c>
      <c r="B11" s="263">
        <v>2020</v>
      </c>
      <c r="C11" s="217"/>
      <c r="D11" s="217"/>
      <c r="E11" s="217"/>
      <c r="F11" s="217"/>
      <c r="G11" s="217"/>
      <c r="H11" s="217"/>
      <c r="I11" s="217"/>
    </row>
    <row r="12" spans="1:9" s="36" customFormat="1" ht="20.100000000000001" customHeight="1">
      <c r="A12" s="265" t="s">
        <v>72</v>
      </c>
      <c r="B12" s="263">
        <v>2030</v>
      </c>
      <c r="C12" s="217"/>
      <c r="D12" s="217"/>
      <c r="E12" s="217"/>
      <c r="F12" s="217"/>
      <c r="G12" s="217"/>
      <c r="H12" s="217"/>
      <c r="I12" s="217"/>
    </row>
    <row r="13" spans="1:9" ht="37.5">
      <c r="A13" s="265" t="s">
        <v>145</v>
      </c>
      <c r="B13" s="263">
        <v>2031</v>
      </c>
      <c r="C13" s="217"/>
      <c r="D13" s="217"/>
      <c r="E13" s="217"/>
      <c r="F13" s="217"/>
      <c r="G13" s="217"/>
      <c r="H13" s="217"/>
      <c r="I13" s="217"/>
    </row>
    <row r="14" spans="1:9" ht="20.100000000000001" customHeight="1">
      <c r="A14" s="265" t="s">
        <v>26</v>
      </c>
      <c r="B14" s="263">
        <v>2040</v>
      </c>
      <c r="C14" s="217"/>
      <c r="D14" s="217"/>
      <c r="E14" s="217"/>
      <c r="F14" s="217"/>
      <c r="G14" s="217"/>
      <c r="H14" s="217"/>
      <c r="I14" s="217"/>
    </row>
    <row r="15" spans="1:9" ht="20.100000000000001" customHeight="1">
      <c r="A15" s="267" t="s">
        <v>125</v>
      </c>
      <c r="B15" s="263">
        <v>2050</v>
      </c>
      <c r="C15" s="217"/>
      <c r="D15" s="217"/>
      <c r="E15" s="217"/>
      <c r="F15" s="217"/>
      <c r="G15" s="217"/>
      <c r="H15" s="217"/>
      <c r="I15" s="217"/>
    </row>
    <row r="16" spans="1:9" ht="20.100000000000001" customHeight="1">
      <c r="A16" s="267" t="s">
        <v>126</v>
      </c>
      <c r="B16" s="263">
        <v>2060</v>
      </c>
      <c r="C16" s="217">
        <v>123</v>
      </c>
      <c r="D16" s="217"/>
      <c r="E16" s="217"/>
      <c r="F16" s="217"/>
      <c r="G16" s="217"/>
      <c r="H16" s="217"/>
      <c r="I16" s="217"/>
    </row>
    <row r="17" spans="1:10" ht="20.100000000000001" hidden="1" customHeight="1">
      <c r="A17" s="267" t="s">
        <v>507</v>
      </c>
      <c r="B17" s="263" t="s">
        <v>505</v>
      </c>
      <c r="C17" s="217">
        <v>5</v>
      </c>
      <c r="D17" s="217"/>
      <c r="E17" s="217"/>
      <c r="F17" s="217"/>
      <c r="G17" s="217"/>
      <c r="H17" s="217"/>
      <c r="I17" s="217"/>
    </row>
    <row r="18" spans="1:10" ht="20.100000000000001" hidden="1" customHeight="1">
      <c r="A18" s="267" t="s">
        <v>508</v>
      </c>
      <c r="B18" s="263" t="s">
        <v>506</v>
      </c>
      <c r="C18" s="217">
        <v>18</v>
      </c>
      <c r="D18" s="217"/>
      <c r="E18" s="217"/>
      <c r="F18" s="217"/>
      <c r="G18" s="217"/>
      <c r="H18" s="217"/>
      <c r="I18" s="217"/>
    </row>
    <row r="19" spans="1:10" ht="42.75" customHeight="1">
      <c r="A19" s="264" t="s">
        <v>61</v>
      </c>
      <c r="B19" s="268">
        <v>2070</v>
      </c>
      <c r="C19" s="327">
        <f>'I. Фін результат'!C137+'ІІ. Розр. з бюджетом'!C7-('ІІ. Розр. з бюджетом'!C8+'ІІ. Розр. з бюджетом'!C11+'ІІ. Розр. з бюджетом'!C12+'ІІ. Розр. з бюджетом'!C14+'ІІ. Розр. з бюджетом'!C15+'ІІ. Розр. з бюджетом'!C16)</f>
        <v>-251</v>
      </c>
      <c r="D19" s="259">
        <f>'I. Фін результат'!D137+'ІІ. Розр. з бюджетом'!D7-('ІІ. Розр. з бюджетом'!D8+'ІІ. Розр. з бюджетом'!D11+'ІІ. Розр. з бюджетом'!D12+'ІІ. Розр. з бюджетом'!D14+'ІІ. Розр. з бюджетом'!D15+'ІІ. Розр. з бюджетом'!D16)</f>
        <v>4</v>
      </c>
      <c r="E19" s="259">
        <f>'I. Фін результат'!E137+'ІІ. Розр. з бюджетом'!E7-('ІІ. Розр. з бюджетом'!E8+'ІІ. Розр. з бюджетом'!E11+'ІІ. Розр. з бюджетом'!E12+'ІІ. Розр. з бюджетом'!E14+'ІІ. Розр. з бюджетом'!E15+'ІІ. Розр. з бюджетом'!E16)</f>
        <v>-129.66666666666544</v>
      </c>
      <c r="F19" s="259">
        <f>'I. Фін результат'!F137+'ІІ. Розр. з бюджетом'!F7-('ІІ. Розр. з бюджетом'!F8+'ІІ. Розр. з бюджетом'!F11+'ІІ. Розр. з бюджетом'!F12+'ІІ. Розр. з бюджетом'!F14+'ІІ. Розр. з бюджетом'!F15+'ІІ. Розр. з бюджетом'!F16)</f>
        <v>-48.45416666666398</v>
      </c>
      <c r="G19" s="259">
        <f>'I. Фін результат'!G137+'ІІ. Розр. з бюджетом'!G7-('ІІ. Розр. з бюджетом'!G8+'ІІ. Розр. з бюджетом'!G11+'ІІ. Розр. з бюджетом'!G12+'ІІ. Розр. з бюджетом'!G14+'ІІ. Розр. з бюджетом'!G15+'ІІ. Розр. з бюджетом'!G16)</f>
        <v>33.758333333337475</v>
      </c>
      <c r="H19" s="259">
        <f>'I. Фін результат'!H137+'ІІ. Розр. з бюджетом'!H7-('ІІ. Розр. з бюджетом'!H8+'ІІ. Розр. з бюджетом'!H11+'ІІ. Розр. з бюджетом'!H12+'ІІ. Розр. з бюджетом'!H14+'ІІ. Розр. з бюджетом'!H15+'ІІ. Розр. з бюджетом'!H16)</f>
        <v>114.97083333331716</v>
      </c>
      <c r="I19" s="259">
        <f>'I. Фін результат'!I137+'ІІ. Розр. з бюджетом'!I7-('ІІ. Розр. з бюджетом'!I8+'ІІ. Розр. з бюджетом'!I11+'ІІ. Розр. з бюджетом'!I12+'ІІ. Розр. з бюджетом'!I14+'ІІ. Розр. з бюджетом'!I15+'ІІ. Розр. з бюджетом'!I16)</f>
        <v>196.18333333334044</v>
      </c>
    </row>
    <row r="20" spans="1:10" ht="20.100000000000001" customHeight="1">
      <c r="A20" s="398" t="s">
        <v>168</v>
      </c>
      <c r="B20" s="399"/>
      <c r="C20" s="399"/>
      <c r="D20" s="399"/>
      <c r="E20" s="399"/>
      <c r="F20" s="399"/>
      <c r="G20" s="399"/>
      <c r="H20" s="399"/>
      <c r="I20" s="400"/>
    </row>
    <row r="21" spans="1:10" ht="37.5">
      <c r="A21" s="267" t="s">
        <v>225</v>
      </c>
      <c r="B21" s="269">
        <v>2100</v>
      </c>
      <c r="C21" s="252">
        <f t="shared" ref="C21" si="1">SUM(C22:C23)</f>
        <v>324</v>
      </c>
      <c r="D21" s="252">
        <f t="shared" ref="D21:H21" si="2">SUM(D22:D23)</f>
        <v>358</v>
      </c>
      <c r="E21" s="252">
        <f t="shared" si="2"/>
        <v>237</v>
      </c>
      <c r="F21" s="252">
        <f>SUM(F22:F23)</f>
        <v>159</v>
      </c>
      <c r="G21" s="252">
        <f t="shared" si="2"/>
        <v>317</v>
      </c>
      <c r="H21" s="252">
        <f t="shared" si="2"/>
        <v>475</v>
      </c>
      <c r="I21" s="252">
        <f>SUM(I22:I23)</f>
        <v>634</v>
      </c>
    </row>
    <row r="22" spans="1:10" ht="42.75" customHeight="1">
      <c r="A22" s="270" t="s">
        <v>378</v>
      </c>
      <c r="B22" s="269">
        <v>2101</v>
      </c>
      <c r="C22" s="252">
        <f>C9</f>
        <v>74</v>
      </c>
      <c r="D22" s="252">
        <f t="shared" ref="D22" si="3">D9</f>
        <v>81</v>
      </c>
      <c r="E22" s="252">
        <f t="shared" ref="E22:I23" si="4">E9</f>
        <v>54</v>
      </c>
      <c r="F22" s="252">
        <f t="shared" si="4"/>
        <v>36</v>
      </c>
      <c r="G22" s="252">
        <f t="shared" si="4"/>
        <v>72</v>
      </c>
      <c r="H22" s="252">
        <f t="shared" si="4"/>
        <v>108</v>
      </c>
      <c r="I22" s="252">
        <f t="shared" si="4"/>
        <v>144</v>
      </c>
    </row>
    <row r="23" spans="1:10" ht="93.75">
      <c r="A23" s="270" t="s">
        <v>379</v>
      </c>
      <c r="B23" s="269">
        <v>2102</v>
      </c>
      <c r="C23" s="252">
        <f>C10</f>
        <v>250</v>
      </c>
      <c r="D23" s="252">
        <f t="shared" ref="D23" si="5">D10</f>
        <v>277</v>
      </c>
      <c r="E23" s="252">
        <f t="shared" si="4"/>
        <v>183</v>
      </c>
      <c r="F23" s="252">
        <f t="shared" si="4"/>
        <v>123</v>
      </c>
      <c r="G23" s="252">
        <f t="shared" si="4"/>
        <v>245</v>
      </c>
      <c r="H23" s="252">
        <f t="shared" si="4"/>
        <v>367</v>
      </c>
      <c r="I23" s="252">
        <f t="shared" si="4"/>
        <v>490</v>
      </c>
    </row>
    <row r="24" spans="1:10" s="36" customFormat="1" ht="20.100000000000001" customHeight="1">
      <c r="A24" s="267" t="s">
        <v>170</v>
      </c>
      <c r="B24" s="271">
        <v>2110</v>
      </c>
      <c r="C24" s="252">
        <f>'I. Фін результат'!C135</f>
        <v>108</v>
      </c>
      <c r="D24" s="252">
        <f>'I. Фін результат'!D135</f>
        <v>119</v>
      </c>
      <c r="E24" s="252">
        <f>'I. Фін результат'!E135</f>
        <v>79</v>
      </c>
      <c r="F24" s="252">
        <f>'I. Фін результат'!F135</f>
        <v>53</v>
      </c>
      <c r="G24" s="252">
        <f>'I. Фін результат'!G135</f>
        <v>105</v>
      </c>
      <c r="H24" s="252">
        <f>'I. Фін результат'!H135</f>
        <v>158</v>
      </c>
      <c r="I24" s="252">
        <f>'I. Фін результат'!I135</f>
        <v>211</v>
      </c>
    </row>
    <row r="25" spans="1:10" ht="56.25">
      <c r="A25" s="267" t="s">
        <v>342</v>
      </c>
      <c r="B25" s="271">
        <v>2120</v>
      </c>
      <c r="C25" s="217">
        <v>2390</v>
      </c>
      <c r="D25" s="217">
        <v>4000</v>
      </c>
      <c r="E25" s="217">
        <v>4502</v>
      </c>
      <c r="F25" s="217">
        <f>I25/4</f>
        <v>1150</v>
      </c>
      <c r="G25" s="217">
        <f>I25/2</f>
        <v>2300</v>
      </c>
      <c r="H25" s="217">
        <f>I25/4*3</f>
        <v>3450</v>
      </c>
      <c r="I25" s="217">
        <v>4600</v>
      </c>
    </row>
    <row r="26" spans="1:10" ht="56.25">
      <c r="A26" s="267" t="s">
        <v>343</v>
      </c>
      <c r="B26" s="271">
        <v>2130</v>
      </c>
      <c r="C26" s="217"/>
      <c r="D26" s="217"/>
      <c r="E26" s="217"/>
      <c r="F26" s="217"/>
      <c r="G26" s="217"/>
      <c r="H26" s="217"/>
      <c r="I26" s="217"/>
    </row>
    <row r="27" spans="1:10" s="38" customFormat="1" ht="56.25">
      <c r="A27" s="272" t="s">
        <v>262</v>
      </c>
      <c r="B27" s="273">
        <v>2140</v>
      </c>
      <c r="C27" s="259">
        <f t="shared" ref="C27:H27" si="6">SUM(C28:C32,C35,C36)</f>
        <v>3105</v>
      </c>
      <c r="D27" s="259">
        <f t="shared" si="6"/>
        <v>4089</v>
      </c>
      <c r="E27" s="259">
        <f>SUM(E28:E32,E35,E36)</f>
        <v>3966</v>
      </c>
      <c r="F27" s="259">
        <f>SUM(F28:F32,F35,F36)</f>
        <v>1255.5</v>
      </c>
      <c r="G27" s="259">
        <f t="shared" si="6"/>
        <v>2511</v>
      </c>
      <c r="H27" s="259">
        <f t="shared" si="6"/>
        <v>3767.5</v>
      </c>
      <c r="I27" s="259">
        <f>SUM(I28:I32,I35,I36)</f>
        <v>5023</v>
      </c>
      <c r="J27" s="35"/>
    </row>
    <row r="28" spans="1:10" ht="20.100000000000001" customHeight="1">
      <c r="A28" s="267" t="s">
        <v>88</v>
      </c>
      <c r="B28" s="271">
        <v>2141</v>
      </c>
      <c r="C28" s="217"/>
      <c r="D28" s="217"/>
      <c r="E28" s="217"/>
      <c r="F28" s="217"/>
      <c r="G28" s="217"/>
      <c r="H28" s="217"/>
      <c r="I28" s="217"/>
    </row>
    <row r="29" spans="1:10" ht="20.100000000000001" customHeight="1">
      <c r="A29" s="267" t="s">
        <v>114</v>
      </c>
      <c r="B29" s="271">
        <v>2142</v>
      </c>
      <c r="C29" s="217"/>
      <c r="D29" s="217"/>
      <c r="E29" s="217"/>
      <c r="F29" s="217"/>
      <c r="G29" s="217"/>
      <c r="H29" s="217"/>
      <c r="I29" s="217"/>
    </row>
    <row r="30" spans="1:10" ht="20.100000000000001" customHeight="1">
      <c r="A30" s="267" t="s">
        <v>105</v>
      </c>
      <c r="B30" s="271">
        <v>2143</v>
      </c>
      <c r="C30" s="217">
        <v>265</v>
      </c>
      <c r="D30" s="217">
        <v>290</v>
      </c>
      <c r="E30" s="217">
        <v>262</v>
      </c>
      <c r="F30" s="217">
        <f>'I. Фін результат'!F86</f>
        <v>72.5</v>
      </c>
      <c r="G30" s="217">
        <f>'I. Фін результат'!G86</f>
        <v>145</v>
      </c>
      <c r="H30" s="217">
        <f>'I. Фін результат'!H36</f>
        <v>217.5</v>
      </c>
      <c r="I30" s="217">
        <f>'I. Фін результат'!I36</f>
        <v>290</v>
      </c>
    </row>
    <row r="31" spans="1:10" ht="20.100000000000001" customHeight="1">
      <c r="A31" s="267" t="s">
        <v>86</v>
      </c>
      <c r="B31" s="271">
        <v>2144</v>
      </c>
      <c r="C31" s="217">
        <v>2621</v>
      </c>
      <c r="D31" s="217">
        <v>3507</v>
      </c>
      <c r="E31" s="217">
        <f>2564/3*4</f>
        <v>3418.6666666666665</v>
      </c>
      <c r="F31" s="216">
        <f>ROUND(Лист1!C18,0)</f>
        <v>1092</v>
      </c>
      <c r="G31" s="216">
        <f>ROUND(Лист1!D18,0)</f>
        <v>2184</v>
      </c>
      <c r="H31" s="216">
        <f>ROUND(Лист1!E18,0)</f>
        <v>3277</v>
      </c>
      <c r="I31" s="216">
        <f>ROUND(Лист1!F18,0)</f>
        <v>4369</v>
      </c>
    </row>
    <row r="32" spans="1:10" s="36" customFormat="1" ht="20.100000000000001" customHeight="1">
      <c r="A32" s="267" t="s">
        <v>191</v>
      </c>
      <c r="B32" s="271">
        <v>2145</v>
      </c>
      <c r="C32" s="217"/>
      <c r="D32" s="217"/>
      <c r="E32" s="217"/>
      <c r="F32" s="217"/>
      <c r="G32" s="217"/>
      <c r="H32" s="217"/>
      <c r="I32" s="217"/>
    </row>
    <row r="33" spans="1:11" ht="56.25">
      <c r="A33" s="267" t="s">
        <v>273</v>
      </c>
      <c r="B33" s="271" t="s">
        <v>240</v>
      </c>
      <c r="C33" s="217"/>
      <c r="D33" s="217"/>
      <c r="E33" s="217"/>
      <c r="F33" s="217"/>
      <c r="G33" s="217"/>
      <c r="H33" s="217"/>
      <c r="I33" s="217"/>
    </row>
    <row r="34" spans="1:11" ht="20.100000000000001" customHeight="1">
      <c r="A34" s="267" t="s">
        <v>27</v>
      </c>
      <c r="B34" s="271" t="s">
        <v>241</v>
      </c>
      <c r="C34" s="217"/>
      <c r="D34" s="217"/>
      <c r="E34" s="217"/>
      <c r="F34" s="217"/>
      <c r="G34" s="217"/>
      <c r="H34" s="217"/>
      <c r="I34" s="217"/>
    </row>
    <row r="35" spans="1:11" s="36" customFormat="1" ht="20.100000000000001" customHeight="1">
      <c r="A35" s="267" t="s">
        <v>127</v>
      </c>
      <c r="B35" s="271">
        <v>2146</v>
      </c>
      <c r="C35" s="217"/>
      <c r="D35" s="217"/>
      <c r="E35" s="217"/>
      <c r="F35" s="217"/>
      <c r="G35" s="217"/>
      <c r="H35" s="217"/>
      <c r="I35" s="217"/>
    </row>
    <row r="36" spans="1:11" ht="20.100000000000001" customHeight="1">
      <c r="A36" s="267" t="s">
        <v>94</v>
      </c>
      <c r="B36" s="271">
        <v>2147</v>
      </c>
      <c r="C36" s="217">
        <f t="shared" ref="C36:G36" si="7">C37</f>
        <v>219</v>
      </c>
      <c r="D36" s="217">
        <f t="shared" si="7"/>
        <v>292</v>
      </c>
      <c r="E36" s="217">
        <f>E37</f>
        <v>285.33333333333331</v>
      </c>
      <c r="F36" s="217">
        <f>F37</f>
        <v>91</v>
      </c>
      <c r="G36" s="217">
        <f t="shared" si="7"/>
        <v>182</v>
      </c>
      <c r="H36" s="217">
        <f>H37</f>
        <v>273</v>
      </c>
      <c r="I36" s="217">
        <f>I37</f>
        <v>364</v>
      </c>
    </row>
    <row r="37" spans="1:11" ht="20.100000000000001" customHeight="1">
      <c r="A37" s="267" t="s">
        <v>395</v>
      </c>
      <c r="B37" s="271" t="s">
        <v>405</v>
      </c>
      <c r="C37" s="217">
        <v>219</v>
      </c>
      <c r="D37" s="217">
        <v>292</v>
      </c>
      <c r="E37" s="217">
        <f>214/3*4</f>
        <v>285.33333333333331</v>
      </c>
      <c r="F37" s="216">
        <f>ROUND(Лист1!C19,0)</f>
        <v>91</v>
      </c>
      <c r="G37" s="216">
        <f>ROUND(Лист1!D19,0)</f>
        <v>182</v>
      </c>
      <c r="H37" s="216">
        <f>ROUND(Лист1!E19,0)</f>
        <v>273</v>
      </c>
      <c r="I37" s="216">
        <f>ROUND(Лист1!F19,0)</f>
        <v>364</v>
      </c>
    </row>
    <row r="38" spans="1:11" s="36" customFormat="1" ht="37.5">
      <c r="A38" s="267" t="s">
        <v>87</v>
      </c>
      <c r="B38" s="271">
        <v>2150</v>
      </c>
      <c r="C38" s="132">
        <v>3139</v>
      </c>
      <c r="D38" s="217">
        <v>4173</v>
      </c>
      <c r="E38" s="132">
        <v>4009</v>
      </c>
      <c r="F38" s="326">
        <f>'I. Фін результат'!F159</f>
        <v>1294</v>
      </c>
      <c r="G38" s="326">
        <f>'I. Фін результат'!G159</f>
        <v>2589</v>
      </c>
      <c r="H38" s="326">
        <f>'I. Фін результат'!H159</f>
        <v>3883</v>
      </c>
      <c r="I38" s="326">
        <f>'I. Фін результат'!I159</f>
        <v>5177</v>
      </c>
    </row>
    <row r="39" spans="1:11" s="36" customFormat="1" ht="20.100000000000001" customHeight="1">
      <c r="A39" s="272" t="s">
        <v>369</v>
      </c>
      <c r="B39" s="273">
        <v>2200</v>
      </c>
      <c r="C39" s="248">
        <f>SUM(C21,C24:C26,C27,C38)</f>
        <v>9066</v>
      </c>
      <c r="D39" s="248">
        <f>SUM(D21,D24:D26,D27,D38)</f>
        <v>12739</v>
      </c>
      <c r="E39" s="248">
        <f t="shared" ref="E39:I39" si="8">SUM(E21,E24:E26,E27,E38)</f>
        <v>12793</v>
      </c>
      <c r="F39" s="248">
        <f>SUM(F21,F24:F26,F27,F38)</f>
        <v>3911.5</v>
      </c>
      <c r="G39" s="248">
        <f t="shared" si="8"/>
        <v>7822</v>
      </c>
      <c r="H39" s="248">
        <f t="shared" si="8"/>
        <v>11733.5</v>
      </c>
      <c r="I39" s="248">
        <f t="shared" si="8"/>
        <v>15645</v>
      </c>
      <c r="J39" s="35"/>
    </row>
    <row r="40" spans="1:11" s="36" customFormat="1" ht="20.100000000000001" customHeight="1">
      <c r="A40" s="109"/>
      <c r="B40" s="110"/>
      <c r="C40" s="111"/>
      <c r="D40" s="112"/>
      <c r="E40" s="112"/>
      <c r="F40" s="112"/>
      <c r="G40" s="112"/>
      <c r="H40" s="112"/>
      <c r="I40" s="112"/>
    </row>
    <row r="41" spans="1:11" s="36" customFormat="1" ht="20.100000000000001" customHeight="1">
      <c r="A41" s="109"/>
      <c r="B41" s="110"/>
      <c r="C41" s="111"/>
      <c r="D41" s="112"/>
      <c r="E41" s="112"/>
      <c r="F41" s="112"/>
      <c r="G41" s="112"/>
      <c r="H41" s="112"/>
      <c r="I41" s="112"/>
    </row>
    <row r="42" spans="1:11" s="36" customFormat="1" ht="20.100000000000001" customHeight="1">
      <c r="A42" s="109"/>
      <c r="B42" s="110"/>
      <c r="C42" s="111"/>
      <c r="D42" s="112"/>
      <c r="E42" s="112"/>
      <c r="F42" s="112"/>
      <c r="G42" s="112"/>
      <c r="H42" s="112"/>
      <c r="I42" s="112"/>
    </row>
    <row r="43" spans="1:11" s="2" customFormat="1" ht="20.100000000000001" customHeight="1">
      <c r="A43" s="151" t="s">
        <v>603</v>
      </c>
      <c r="B43" s="101"/>
      <c r="C43" s="395" t="s">
        <v>115</v>
      </c>
      <c r="D43" s="401"/>
      <c r="E43" s="401"/>
      <c r="F43" s="102"/>
      <c r="G43" s="384" t="s">
        <v>604</v>
      </c>
      <c r="H43" s="384"/>
      <c r="I43" s="384"/>
    </row>
    <row r="44" spans="1:11" s="1" customFormat="1" ht="20.100000000000001" customHeight="1">
      <c r="A44" s="60" t="s">
        <v>308</v>
      </c>
      <c r="B44" s="72"/>
      <c r="C44" s="386" t="s">
        <v>307</v>
      </c>
      <c r="D44" s="386"/>
      <c r="E44" s="386"/>
      <c r="F44" s="103"/>
      <c r="G44" s="366" t="s">
        <v>111</v>
      </c>
      <c r="H44" s="366"/>
      <c r="I44" s="366"/>
    </row>
    <row r="45" spans="1:11" s="37" customFormat="1">
      <c r="A45" s="45"/>
      <c r="F45" s="35"/>
      <c r="G45" s="35"/>
      <c r="H45" s="35"/>
      <c r="I45" s="35"/>
      <c r="J45" s="35"/>
      <c r="K45" s="35"/>
    </row>
    <row r="46" spans="1:11" s="37" customFormat="1">
      <c r="A46" s="45"/>
      <c r="F46" s="35"/>
      <c r="G46" s="35"/>
      <c r="H46" s="35"/>
      <c r="I46" s="35"/>
      <c r="J46" s="35"/>
      <c r="K46" s="35"/>
    </row>
    <row r="47" spans="1:11" s="37" customFormat="1">
      <c r="A47" s="45"/>
      <c r="F47" s="35"/>
      <c r="G47" s="35"/>
      <c r="H47" s="35"/>
      <c r="I47" s="35"/>
      <c r="J47" s="35"/>
      <c r="K47" s="35"/>
    </row>
    <row r="48" spans="1:11" s="37" customFormat="1">
      <c r="A48" s="45"/>
      <c r="F48" s="35"/>
      <c r="G48" s="35"/>
      <c r="H48" s="35"/>
      <c r="I48" s="35"/>
      <c r="J48" s="35"/>
      <c r="K48" s="35"/>
    </row>
    <row r="49" spans="1:11" s="37" customFormat="1">
      <c r="A49" s="45"/>
      <c r="F49" s="35"/>
      <c r="G49" s="35"/>
      <c r="H49" s="35"/>
      <c r="I49" s="35"/>
      <c r="J49" s="35"/>
      <c r="K49" s="35"/>
    </row>
    <row r="50" spans="1:11" s="37" customFormat="1">
      <c r="A50" s="45"/>
      <c r="F50" s="35"/>
      <c r="G50" s="35"/>
      <c r="H50" s="35"/>
      <c r="I50" s="35"/>
      <c r="J50" s="35"/>
      <c r="K50" s="35"/>
    </row>
    <row r="51" spans="1:11" s="37" customFormat="1">
      <c r="A51" s="45"/>
      <c r="F51" s="35"/>
      <c r="G51" s="35"/>
      <c r="H51" s="35"/>
      <c r="I51" s="35"/>
      <c r="J51" s="35"/>
      <c r="K51" s="35"/>
    </row>
    <row r="52" spans="1:11" s="37" customFormat="1">
      <c r="A52" s="45"/>
      <c r="F52" s="35"/>
      <c r="G52" s="35"/>
      <c r="H52" s="35"/>
      <c r="I52" s="35"/>
      <c r="J52" s="35"/>
      <c r="K52" s="35"/>
    </row>
    <row r="53" spans="1:11" s="37" customFormat="1">
      <c r="A53" s="45"/>
      <c r="F53" s="35"/>
      <c r="G53" s="35"/>
      <c r="H53" s="35"/>
      <c r="I53" s="35"/>
      <c r="J53" s="35"/>
      <c r="K53" s="35"/>
    </row>
    <row r="54" spans="1:11" s="37" customFormat="1">
      <c r="A54" s="45"/>
      <c r="F54" s="35"/>
      <c r="G54" s="35"/>
      <c r="H54" s="35"/>
      <c r="I54" s="35"/>
      <c r="J54" s="35"/>
      <c r="K54" s="35"/>
    </row>
    <row r="55" spans="1:11" s="37" customFormat="1">
      <c r="A55" s="45"/>
      <c r="F55" s="35"/>
      <c r="G55" s="35"/>
      <c r="H55" s="35"/>
      <c r="I55" s="35"/>
      <c r="J55" s="35"/>
      <c r="K55" s="35"/>
    </row>
    <row r="56" spans="1:11" s="37" customFormat="1">
      <c r="A56" s="45"/>
      <c r="F56" s="35"/>
      <c r="G56" s="35"/>
      <c r="H56" s="35"/>
      <c r="I56" s="35"/>
      <c r="J56" s="35"/>
      <c r="K56" s="35"/>
    </row>
    <row r="57" spans="1:11" s="37" customFormat="1">
      <c r="A57" s="45"/>
      <c r="F57" s="35"/>
      <c r="G57" s="35"/>
      <c r="H57" s="35"/>
      <c r="I57" s="35"/>
      <c r="J57" s="35"/>
      <c r="K57" s="35"/>
    </row>
    <row r="58" spans="1:11" s="37" customFormat="1">
      <c r="A58" s="45"/>
      <c r="F58" s="35"/>
      <c r="G58" s="35"/>
      <c r="H58" s="35"/>
      <c r="I58" s="35"/>
      <c r="J58" s="35"/>
      <c r="K58" s="35"/>
    </row>
    <row r="59" spans="1:11" s="37" customFormat="1">
      <c r="A59" s="45"/>
      <c r="F59" s="35"/>
      <c r="G59" s="35"/>
      <c r="H59" s="35"/>
      <c r="I59" s="35"/>
      <c r="J59" s="35"/>
      <c r="K59" s="35"/>
    </row>
    <row r="60" spans="1:11" s="37" customFormat="1">
      <c r="A60" s="45"/>
      <c r="F60" s="35"/>
      <c r="G60" s="35"/>
      <c r="H60" s="35"/>
      <c r="I60" s="35"/>
      <c r="J60" s="35"/>
      <c r="K60" s="35"/>
    </row>
    <row r="61" spans="1:11" s="37" customFormat="1">
      <c r="A61" s="45"/>
      <c r="F61" s="35"/>
      <c r="G61" s="35"/>
      <c r="H61" s="35"/>
      <c r="I61" s="35"/>
      <c r="J61" s="35"/>
      <c r="K61" s="35"/>
    </row>
    <row r="62" spans="1:11" s="37" customFormat="1">
      <c r="A62" s="45"/>
      <c r="F62" s="35"/>
      <c r="G62" s="35"/>
      <c r="H62" s="35"/>
      <c r="I62" s="35"/>
      <c r="J62" s="35"/>
      <c r="K62" s="35"/>
    </row>
    <row r="63" spans="1:11" s="37" customFormat="1">
      <c r="A63" s="45"/>
      <c r="F63" s="35"/>
      <c r="G63" s="35"/>
      <c r="H63" s="35"/>
      <c r="I63" s="35"/>
      <c r="J63" s="35"/>
      <c r="K63" s="35"/>
    </row>
    <row r="64" spans="1:11" s="37" customFormat="1">
      <c r="A64" s="45"/>
      <c r="F64" s="35"/>
      <c r="G64" s="35"/>
      <c r="H64" s="35"/>
      <c r="I64" s="35"/>
      <c r="J64" s="35"/>
      <c r="K64" s="35"/>
    </row>
    <row r="65" spans="1:11" s="37" customFormat="1">
      <c r="A65" s="45"/>
      <c r="F65" s="35"/>
      <c r="G65" s="35"/>
      <c r="H65" s="35"/>
      <c r="I65" s="35"/>
      <c r="J65" s="35"/>
      <c r="K65" s="35"/>
    </row>
    <row r="66" spans="1:11" s="37" customFormat="1">
      <c r="A66" s="45"/>
      <c r="F66" s="35"/>
      <c r="G66" s="35"/>
      <c r="H66" s="35"/>
      <c r="I66" s="35"/>
      <c r="J66" s="35"/>
      <c r="K66" s="35"/>
    </row>
    <row r="67" spans="1:11" s="37" customFormat="1">
      <c r="A67" s="45"/>
      <c r="F67" s="35"/>
      <c r="G67" s="35"/>
      <c r="H67" s="35"/>
      <c r="I67" s="35"/>
      <c r="J67" s="35"/>
      <c r="K67" s="35"/>
    </row>
    <row r="68" spans="1:11" s="37" customFormat="1">
      <c r="A68" s="45"/>
      <c r="F68" s="35"/>
      <c r="G68" s="35"/>
      <c r="H68" s="35"/>
      <c r="I68" s="35"/>
      <c r="J68" s="35"/>
      <c r="K68" s="35"/>
    </row>
    <row r="69" spans="1:11" s="37" customFormat="1">
      <c r="A69" s="45"/>
      <c r="F69" s="35"/>
      <c r="G69" s="35"/>
      <c r="H69" s="35"/>
      <c r="I69" s="35"/>
      <c r="J69" s="35"/>
      <c r="K69" s="35"/>
    </row>
    <row r="70" spans="1:11" s="37" customFormat="1">
      <c r="A70" s="45"/>
      <c r="F70" s="35"/>
      <c r="G70" s="35"/>
      <c r="H70" s="35"/>
      <c r="I70" s="35"/>
      <c r="J70" s="35"/>
      <c r="K70" s="35"/>
    </row>
    <row r="71" spans="1:11" s="37" customFormat="1">
      <c r="A71" s="45"/>
      <c r="F71" s="35"/>
      <c r="G71" s="35"/>
      <c r="H71" s="35"/>
      <c r="I71" s="35"/>
      <c r="J71" s="35"/>
      <c r="K71" s="35"/>
    </row>
    <row r="72" spans="1:11" s="37" customFormat="1">
      <c r="A72" s="45"/>
      <c r="F72" s="35"/>
      <c r="G72" s="35"/>
      <c r="H72" s="35"/>
      <c r="I72" s="35"/>
      <c r="J72" s="35"/>
      <c r="K72" s="35"/>
    </row>
    <row r="73" spans="1:11" s="37" customFormat="1">
      <c r="A73" s="45"/>
      <c r="F73" s="35"/>
      <c r="G73" s="35"/>
      <c r="H73" s="35"/>
      <c r="I73" s="35"/>
      <c r="J73" s="35"/>
      <c r="K73" s="35"/>
    </row>
    <row r="74" spans="1:11" s="37" customFormat="1">
      <c r="A74" s="45"/>
      <c r="F74" s="35"/>
      <c r="G74" s="35"/>
      <c r="H74" s="35"/>
      <c r="I74" s="35"/>
      <c r="J74" s="35"/>
      <c r="K74" s="35"/>
    </row>
    <row r="75" spans="1:11" s="37" customFormat="1">
      <c r="A75" s="45"/>
      <c r="F75" s="35"/>
      <c r="G75" s="35"/>
      <c r="H75" s="35"/>
      <c r="I75" s="35"/>
      <c r="J75" s="35"/>
      <c r="K75" s="35"/>
    </row>
    <row r="76" spans="1:11" s="37" customFormat="1">
      <c r="A76" s="45"/>
      <c r="F76" s="35"/>
      <c r="G76" s="35"/>
      <c r="H76" s="35"/>
      <c r="I76" s="35"/>
      <c r="J76" s="35"/>
      <c r="K76" s="35"/>
    </row>
    <row r="77" spans="1:11" s="37" customFormat="1">
      <c r="A77" s="45"/>
      <c r="F77" s="35"/>
      <c r="G77" s="35"/>
      <c r="H77" s="35"/>
      <c r="I77" s="35"/>
      <c r="J77" s="35"/>
      <c r="K77" s="35"/>
    </row>
    <row r="78" spans="1:11" s="37" customFormat="1">
      <c r="A78" s="45"/>
      <c r="F78" s="35"/>
      <c r="G78" s="35"/>
      <c r="H78" s="35"/>
      <c r="I78" s="35"/>
      <c r="J78" s="35"/>
      <c r="K78" s="35"/>
    </row>
    <row r="79" spans="1:11" s="37" customFormat="1">
      <c r="A79" s="45"/>
      <c r="F79" s="35"/>
      <c r="G79" s="35"/>
      <c r="H79" s="35"/>
      <c r="I79" s="35"/>
      <c r="J79" s="35"/>
      <c r="K79" s="35"/>
    </row>
    <row r="80" spans="1:11" s="37" customFormat="1">
      <c r="A80" s="45"/>
      <c r="F80" s="35"/>
      <c r="G80" s="35"/>
      <c r="H80" s="35"/>
      <c r="I80" s="35"/>
      <c r="J80" s="35"/>
      <c r="K80" s="35"/>
    </row>
    <row r="81" spans="1:11" s="37" customFormat="1">
      <c r="A81" s="45"/>
      <c r="F81" s="35"/>
      <c r="G81" s="35"/>
      <c r="H81" s="35"/>
      <c r="I81" s="35"/>
      <c r="J81" s="35"/>
      <c r="K81" s="35"/>
    </row>
    <row r="82" spans="1:11" s="37" customFormat="1">
      <c r="A82" s="45"/>
      <c r="F82" s="35"/>
      <c r="G82" s="35"/>
      <c r="H82" s="35"/>
      <c r="I82" s="35"/>
      <c r="J82" s="35"/>
      <c r="K82" s="35"/>
    </row>
    <row r="83" spans="1:11" s="37" customFormat="1">
      <c r="A83" s="45"/>
      <c r="F83" s="35"/>
      <c r="G83" s="35"/>
      <c r="H83" s="35"/>
      <c r="I83" s="35"/>
      <c r="J83" s="35"/>
      <c r="K83" s="35"/>
    </row>
    <row r="84" spans="1:11" s="37" customFormat="1">
      <c r="A84" s="45"/>
      <c r="F84" s="35"/>
      <c r="G84" s="35"/>
      <c r="H84" s="35"/>
      <c r="I84" s="35"/>
      <c r="J84" s="35"/>
      <c r="K84" s="35"/>
    </row>
    <row r="85" spans="1:11" s="37" customFormat="1">
      <c r="A85" s="45"/>
      <c r="F85" s="35"/>
      <c r="G85" s="35"/>
      <c r="H85" s="35"/>
      <c r="I85" s="35"/>
      <c r="J85" s="35"/>
      <c r="K85" s="35"/>
    </row>
    <row r="86" spans="1:11" s="37" customFormat="1">
      <c r="A86" s="45"/>
      <c r="F86" s="35"/>
      <c r="G86" s="35"/>
      <c r="H86" s="35"/>
      <c r="I86" s="35"/>
      <c r="J86" s="35"/>
      <c r="K86" s="35"/>
    </row>
    <row r="87" spans="1:11" s="37" customFormat="1">
      <c r="A87" s="45"/>
      <c r="F87" s="35"/>
      <c r="G87" s="35"/>
      <c r="H87" s="35"/>
      <c r="I87" s="35"/>
      <c r="J87" s="35"/>
      <c r="K87" s="35"/>
    </row>
    <row r="88" spans="1:11" s="37" customFormat="1">
      <c r="A88" s="45"/>
      <c r="F88" s="35"/>
      <c r="G88" s="35"/>
      <c r="H88" s="35"/>
      <c r="I88" s="35"/>
      <c r="J88" s="35"/>
      <c r="K88" s="35"/>
    </row>
    <row r="89" spans="1:11" s="37" customFormat="1">
      <c r="A89" s="45"/>
      <c r="F89" s="35"/>
      <c r="G89" s="35"/>
      <c r="H89" s="35"/>
      <c r="I89" s="35"/>
      <c r="J89" s="35"/>
      <c r="K89" s="35"/>
    </row>
    <row r="90" spans="1:11" s="37" customFormat="1">
      <c r="A90" s="45"/>
      <c r="F90" s="35"/>
      <c r="G90" s="35"/>
      <c r="H90" s="35"/>
      <c r="I90" s="35"/>
      <c r="J90" s="35"/>
      <c r="K90" s="35"/>
    </row>
    <row r="91" spans="1:11" s="37" customFormat="1">
      <c r="A91" s="45"/>
      <c r="F91" s="35"/>
      <c r="G91" s="35"/>
      <c r="H91" s="35"/>
      <c r="I91" s="35"/>
      <c r="J91" s="35"/>
      <c r="K91" s="35"/>
    </row>
    <row r="92" spans="1:11" s="37" customFormat="1">
      <c r="A92" s="45"/>
      <c r="F92" s="35"/>
      <c r="G92" s="35"/>
      <c r="H92" s="35"/>
      <c r="I92" s="35"/>
      <c r="J92" s="35"/>
      <c r="K92" s="35"/>
    </row>
    <row r="93" spans="1:11" s="37" customFormat="1">
      <c r="A93" s="45"/>
      <c r="F93" s="35"/>
      <c r="G93" s="35"/>
      <c r="H93" s="35"/>
      <c r="I93" s="35"/>
      <c r="J93" s="35"/>
      <c r="K93" s="35"/>
    </row>
    <row r="94" spans="1:11" s="37" customFormat="1">
      <c r="A94" s="45"/>
      <c r="F94" s="35"/>
      <c r="G94" s="35"/>
      <c r="H94" s="35"/>
      <c r="I94" s="35"/>
      <c r="J94" s="35"/>
      <c r="K94" s="35"/>
    </row>
    <row r="95" spans="1:11" s="37" customFormat="1">
      <c r="A95" s="45"/>
      <c r="F95" s="35"/>
      <c r="G95" s="35"/>
      <c r="H95" s="35"/>
      <c r="I95" s="35"/>
      <c r="J95" s="35"/>
      <c r="K95" s="35"/>
    </row>
    <row r="96" spans="1:11" s="37" customFormat="1">
      <c r="A96" s="45"/>
      <c r="F96" s="35"/>
      <c r="G96" s="35"/>
      <c r="H96" s="35"/>
      <c r="I96" s="35"/>
      <c r="J96" s="35"/>
      <c r="K96" s="35"/>
    </row>
    <row r="97" spans="1:11" s="37" customFormat="1">
      <c r="A97" s="45"/>
      <c r="F97" s="35"/>
      <c r="G97" s="35"/>
      <c r="H97" s="35"/>
      <c r="I97" s="35"/>
      <c r="J97" s="35"/>
      <c r="K97" s="35"/>
    </row>
    <row r="98" spans="1:11" s="37" customFormat="1">
      <c r="A98" s="45"/>
      <c r="F98" s="35"/>
      <c r="G98" s="35"/>
      <c r="H98" s="35"/>
      <c r="I98" s="35"/>
      <c r="J98" s="35"/>
      <c r="K98" s="35"/>
    </row>
    <row r="99" spans="1:11" s="37" customFormat="1">
      <c r="A99" s="45"/>
      <c r="F99" s="35"/>
      <c r="G99" s="35"/>
      <c r="H99" s="35"/>
      <c r="I99" s="35"/>
      <c r="J99" s="35"/>
      <c r="K99" s="35"/>
    </row>
    <row r="100" spans="1:11" s="37" customFormat="1">
      <c r="A100" s="45"/>
      <c r="F100" s="35"/>
      <c r="G100" s="35"/>
      <c r="H100" s="35"/>
      <c r="I100" s="35"/>
      <c r="J100" s="35"/>
      <c r="K100" s="35"/>
    </row>
    <row r="101" spans="1:11" s="37" customFormat="1">
      <c r="A101" s="45"/>
      <c r="F101" s="35"/>
      <c r="G101" s="35"/>
      <c r="H101" s="35"/>
      <c r="I101" s="35"/>
      <c r="J101" s="35"/>
      <c r="K101" s="35"/>
    </row>
    <row r="102" spans="1:11" s="37" customFormat="1">
      <c r="A102" s="45"/>
      <c r="F102" s="35"/>
      <c r="G102" s="35"/>
      <c r="H102" s="35"/>
      <c r="I102" s="35"/>
      <c r="J102" s="35"/>
      <c r="K102" s="35"/>
    </row>
    <row r="103" spans="1:11" s="37" customFormat="1">
      <c r="A103" s="45"/>
      <c r="F103" s="35"/>
      <c r="G103" s="35"/>
      <c r="H103" s="35"/>
      <c r="I103" s="35"/>
      <c r="J103" s="35"/>
      <c r="K103" s="35"/>
    </row>
    <row r="104" spans="1:11" s="37" customFormat="1">
      <c r="A104" s="45"/>
      <c r="F104" s="35"/>
      <c r="G104" s="35"/>
      <c r="H104" s="35"/>
      <c r="I104" s="35"/>
      <c r="J104" s="35"/>
      <c r="K104" s="35"/>
    </row>
    <row r="105" spans="1:11" s="37" customFormat="1">
      <c r="A105" s="45"/>
      <c r="F105" s="35"/>
      <c r="G105" s="35"/>
      <c r="H105" s="35"/>
      <c r="I105" s="35"/>
      <c r="J105" s="35"/>
      <c r="K105" s="35"/>
    </row>
    <row r="106" spans="1:11" s="37" customFormat="1">
      <c r="A106" s="45"/>
      <c r="F106" s="35"/>
      <c r="G106" s="35"/>
      <c r="H106" s="35"/>
      <c r="I106" s="35"/>
      <c r="J106" s="35"/>
      <c r="K106" s="35"/>
    </row>
    <row r="107" spans="1:11" s="37" customFormat="1">
      <c r="A107" s="45"/>
      <c r="F107" s="35"/>
      <c r="G107" s="35"/>
      <c r="H107" s="35"/>
      <c r="I107" s="35"/>
      <c r="J107" s="35"/>
      <c r="K107" s="35"/>
    </row>
    <row r="108" spans="1:11" s="37" customFormat="1">
      <c r="A108" s="45"/>
      <c r="F108" s="35"/>
      <c r="G108" s="35"/>
      <c r="H108" s="35"/>
      <c r="I108" s="35"/>
      <c r="J108" s="35"/>
      <c r="K108" s="35"/>
    </row>
    <row r="109" spans="1:11" s="37" customFormat="1">
      <c r="A109" s="45"/>
      <c r="F109" s="35"/>
      <c r="G109" s="35"/>
      <c r="H109" s="35"/>
      <c r="I109" s="35"/>
      <c r="J109" s="35"/>
      <c r="K109" s="35"/>
    </row>
    <row r="110" spans="1:11" s="37" customFormat="1">
      <c r="A110" s="45"/>
      <c r="F110" s="35"/>
      <c r="G110" s="35"/>
      <c r="H110" s="35"/>
      <c r="I110" s="35"/>
      <c r="J110" s="35"/>
      <c r="K110" s="35"/>
    </row>
    <row r="111" spans="1:11" s="37" customFormat="1">
      <c r="A111" s="45"/>
      <c r="F111" s="35"/>
      <c r="G111" s="35"/>
      <c r="H111" s="35"/>
      <c r="I111" s="35"/>
      <c r="J111" s="35"/>
      <c r="K111" s="35"/>
    </row>
    <row r="112" spans="1:11" s="37" customFormat="1">
      <c r="A112" s="45"/>
      <c r="F112" s="35"/>
      <c r="G112" s="35"/>
      <c r="H112" s="35"/>
      <c r="I112" s="35"/>
      <c r="J112" s="35"/>
      <c r="K112" s="35"/>
    </row>
    <row r="113" spans="1:11" s="37" customFormat="1">
      <c r="A113" s="45"/>
      <c r="F113" s="35"/>
      <c r="G113" s="35"/>
      <c r="H113" s="35"/>
      <c r="I113" s="35"/>
      <c r="J113" s="35"/>
      <c r="K113" s="35"/>
    </row>
    <row r="114" spans="1:11" s="37" customFormat="1">
      <c r="A114" s="45"/>
      <c r="F114" s="35"/>
      <c r="G114" s="35"/>
      <c r="H114" s="35"/>
      <c r="I114" s="35"/>
      <c r="J114" s="35"/>
      <c r="K114" s="35"/>
    </row>
    <row r="115" spans="1:11" s="37" customFormat="1">
      <c r="A115" s="45"/>
      <c r="F115" s="35"/>
      <c r="G115" s="35"/>
      <c r="H115" s="35"/>
      <c r="I115" s="35"/>
      <c r="J115" s="35"/>
      <c r="K115" s="35"/>
    </row>
    <row r="116" spans="1:11" s="37" customFormat="1">
      <c r="A116" s="45"/>
      <c r="F116" s="35"/>
      <c r="G116" s="35"/>
      <c r="H116" s="35"/>
      <c r="I116" s="35"/>
      <c r="J116" s="35"/>
      <c r="K116" s="35"/>
    </row>
    <row r="117" spans="1:11" s="37" customFormat="1">
      <c r="A117" s="45"/>
      <c r="F117" s="35"/>
      <c r="G117" s="35"/>
      <c r="H117" s="35"/>
      <c r="I117" s="35"/>
      <c r="J117" s="35"/>
      <c r="K117" s="35"/>
    </row>
    <row r="118" spans="1:11" s="37" customFormat="1">
      <c r="A118" s="45"/>
      <c r="F118" s="35"/>
      <c r="G118" s="35"/>
      <c r="H118" s="35"/>
      <c r="I118" s="35"/>
      <c r="J118" s="35"/>
      <c r="K118" s="35"/>
    </row>
    <row r="119" spans="1:11" s="37" customFormat="1">
      <c r="A119" s="45"/>
      <c r="F119" s="35"/>
      <c r="G119" s="35"/>
      <c r="H119" s="35"/>
      <c r="I119" s="35"/>
      <c r="J119" s="35"/>
      <c r="K119" s="35"/>
    </row>
    <row r="120" spans="1:11" s="37" customFormat="1">
      <c r="A120" s="45"/>
      <c r="F120" s="35"/>
      <c r="G120" s="35"/>
      <c r="H120" s="35"/>
      <c r="I120" s="35"/>
      <c r="J120" s="35"/>
      <c r="K120" s="35"/>
    </row>
    <row r="121" spans="1:11" s="37" customFormat="1">
      <c r="A121" s="45"/>
      <c r="F121" s="35"/>
      <c r="G121" s="35"/>
      <c r="H121" s="35"/>
      <c r="I121" s="35"/>
      <c r="J121" s="35"/>
      <c r="K121" s="35"/>
    </row>
    <row r="122" spans="1:11" s="37" customFormat="1">
      <c r="A122" s="45"/>
      <c r="F122" s="35"/>
      <c r="G122" s="35"/>
      <c r="H122" s="35"/>
      <c r="I122" s="35"/>
      <c r="J122" s="35"/>
      <c r="K122" s="35"/>
    </row>
    <row r="123" spans="1:11" s="37" customFormat="1">
      <c r="A123" s="45"/>
      <c r="F123" s="35"/>
      <c r="G123" s="35"/>
      <c r="H123" s="35"/>
      <c r="I123" s="35"/>
      <c r="J123" s="35"/>
      <c r="K123" s="35"/>
    </row>
    <row r="124" spans="1:11" s="37" customFormat="1">
      <c r="A124" s="45"/>
      <c r="F124" s="35"/>
      <c r="G124" s="35"/>
      <c r="H124" s="35"/>
      <c r="I124" s="35"/>
      <c r="J124" s="35"/>
      <c r="K124" s="35"/>
    </row>
    <row r="125" spans="1:11" s="37" customFormat="1">
      <c r="A125" s="45"/>
      <c r="F125" s="35"/>
      <c r="G125" s="35"/>
      <c r="H125" s="35"/>
      <c r="I125" s="35"/>
      <c r="J125" s="35"/>
      <c r="K125" s="35"/>
    </row>
    <row r="126" spans="1:11" s="37" customFormat="1">
      <c r="A126" s="45"/>
      <c r="F126" s="35"/>
      <c r="G126" s="35"/>
      <c r="H126" s="35"/>
      <c r="I126" s="35"/>
      <c r="J126" s="35"/>
      <c r="K126" s="35"/>
    </row>
    <row r="127" spans="1:11" s="37" customFormat="1">
      <c r="A127" s="45"/>
      <c r="F127" s="35"/>
      <c r="G127" s="35"/>
      <c r="H127" s="35"/>
      <c r="I127" s="35"/>
      <c r="J127" s="35"/>
      <c r="K127" s="35"/>
    </row>
    <row r="128" spans="1:11" s="37" customFormat="1">
      <c r="A128" s="45"/>
      <c r="F128" s="35"/>
      <c r="G128" s="35"/>
      <c r="H128" s="35"/>
      <c r="I128" s="35"/>
      <c r="J128" s="35"/>
      <c r="K128" s="35"/>
    </row>
    <row r="129" spans="1:11" s="37" customFormat="1">
      <c r="A129" s="45"/>
      <c r="F129" s="35"/>
      <c r="G129" s="35"/>
      <c r="H129" s="35"/>
      <c r="I129" s="35"/>
      <c r="J129" s="35"/>
      <c r="K129" s="35"/>
    </row>
    <row r="130" spans="1:11" s="37" customFormat="1">
      <c r="A130" s="45"/>
      <c r="F130" s="35"/>
      <c r="G130" s="35"/>
      <c r="H130" s="35"/>
      <c r="I130" s="35"/>
      <c r="J130" s="35"/>
      <c r="K130" s="35"/>
    </row>
    <row r="131" spans="1:11" s="37" customFormat="1">
      <c r="A131" s="45"/>
      <c r="F131" s="35"/>
      <c r="G131" s="35"/>
      <c r="H131" s="35"/>
      <c r="I131" s="35"/>
      <c r="J131" s="35"/>
      <c r="K131" s="35"/>
    </row>
    <row r="132" spans="1:11" s="37" customFormat="1">
      <c r="A132" s="45"/>
      <c r="F132" s="35"/>
      <c r="G132" s="35"/>
      <c r="H132" s="35"/>
      <c r="I132" s="35"/>
      <c r="J132" s="35"/>
      <c r="K132" s="35"/>
    </row>
    <row r="133" spans="1:11" s="37" customFormat="1">
      <c r="A133" s="45"/>
      <c r="F133" s="35"/>
      <c r="G133" s="35"/>
      <c r="H133" s="35"/>
      <c r="I133" s="35"/>
      <c r="J133" s="35"/>
      <c r="K133" s="35"/>
    </row>
    <row r="134" spans="1:11" s="37" customFormat="1">
      <c r="A134" s="45"/>
      <c r="F134" s="35"/>
      <c r="G134" s="35"/>
      <c r="H134" s="35"/>
      <c r="I134" s="35"/>
      <c r="J134" s="35"/>
      <c r="K134" s="35"/>
    </row>
    <row r="135" spans="1:11" s="37" customFormat="1">
      <c r="A135" s="45"/>
      <c r="F135" s="35"/>
      <c r="G135" s="35"/>
      <c r="H135" s="35"/>
      <c r="I135" s="35"/>
      <c r="J135" s="35"/>
      <c r="K135" s="35"/>
    </row>
    <row r="136" spans="1:11" s="37" customFormat="1">
      <c r="A136" s="45"/>
      <c r="F136" s="35"/>
      <c r="G136" s="35"/>
      <c r="H136" s="35"/>
      <c r="I136" s="35"/>
      <c r="J136" s="35"/>
      <c r="K136" s="35"/>
    </row>
    <row r="137" spans="1:11" s="37" customFormat="1">
      <c r="A137" s="45"/>
      <c r="F137" s="35"/>
      <c r="G137" s="35"/>
      <c r="H137" s="35"/>
      <c r="I137" s="35"/>
      <c r="J137" s="35"/>
      <c r="K137" s="35"/>
    </row>
    <row r="138" spans="1:11" s="37" customFormat="1">
      <c r="A138" s="45"/>
      <c r="F138" s="35"/>
      <c r="G138" s="35"/>
      <c r="H138" s="35"/>
      <c r="I138" s="35"/>
      <c r="J138" s="35"/>
      <c r="K138" s="35"/>
    </row>
    <row r="139" spans="1:11" s="37" customFormat="1">
      <c r="A139" s="45"/>
      <c r="F139" s="35"/>
      <c r="G139" s="35"/>
      <c r="H139" s="35"/>
      <c r="I139" s="35"/>
      <c r="J139" s="35"/>
      <c r="K139" s="35"/>
    </row>
    <row r="140" spans="1:11" s="37" customFormat="1">
      <c r="A140" s="45"/>
      <c r="F140" s="35"/>
      <c r="G140" s="35"/>
      <c r="H140" s="35"/>
      <c r="I140" s="35"/>
      <c r="J140" s="35"/>
      <c r="K140" s="35"/>
    </row>
    <row r="141" spans="1:11" s="37" customFormat="1">
      <c r="A141" s="45"/>
      <c r="F141" s="35"/>
      <c r="G141" s="35"/>
      <c r="H141" s="35"/>
      <c r="I141" s="35"/>
      <c r="J141" s="35"/>
      <c r="K141" s="35"/>
    </row>
    <row r="142" spans="1:11" s="37" customFormat="1">
      <c r="A142" s="45"/>
      <c r="F142" s="35"/>
      <c r="G142" s="35"/>
      <c r="H142" s="35"/>
      <c r="I142" s="35"/>
      <c r="J142" s="35"/>
      <c r="K142" s="35"/>
    </row>
    <row r="143" spans="1:11" s="37" customFormat="1">
      <c r="A143" s="45"/>
      <c r="F143" s="35"/>
      <c r="G143" s="35"/>
      <c r="H143" s="35"/>
      <c r="I143" s="35"/>
      <c r="J143" s="35"/>
      <c r="K143" s="35"/>
    </row>
    <row r="144" spans="1:11" s="37" customFormat="1">
      <c r="A144" s="45"/>
      <c r="F144" s="35"/>
      <c r="G144" s="35"/>
      <c r="H144" s="35"/>
      <c r="I144" s="35"/>
      <c r="J144" s="35"/>
      <c r="K144" s="35"/>
    </row>
    <row r="145" spans="1:11" s="37" customFormat="1">
      <c r="A145" s="45"/>
      <c r="F145" s="35"/>
      <c r="G145" s="35"/>
      <c r="H145" s="35"/>
      <c r="I145" s="35"/>
      <c r="J145" s="35"/>
      <c r="K145" s="35"/>
    </row>
    <row r="146" spans="1:11" s="37" customFormat="1">
      <c r="A146" s="45"/>
      <c r="F146" s="35"/>
      <c r="G146" s="35"/>
      <c r="H146" s="35"/>
      <c r="I146" s="35"/>
      <c r="J146" s="35"/>
      <c r="K146" s="35"/>
    </row>
    <row r="147" spans="1:11" s="37" customFormat="1">
      <c r="A147" s="45"/>
      <c r="F147" s="35"/>
      <c r="G147" s="35"/>
      <c r="H147" s="35"/>
      <c r="I147" s="35"/>
      <c r="J147" s="35"/>
      <c r="K147" s="35"/>
    </row>
    <row r="148" spans="1:11" s="37" customFormat="1">
      <c r="A148" s="45"/>
      <c r="F148" s="35"/>
      <c r="G148" s="35"/>
      <c r="H148" s="35"/>
      <c r="I148" s="35"/>
      <c r="J148" s="35"/>
      <c r="K148" s="35"/>
    </row>
    <row r="149" spans="1:11" s="37" customFormat="1">
      <c r="A149" s="45"/>
      <c r="F149" s="35"/>
      <c r="G149" s="35"/>
      <c r="H149" s="35"/>
      <c r="I149" s="35"/>
      <c r="J149" s="35"/>
      <c r="K149" s="35"/>
    </row>
    <row r="150" spans="1:11" s="37" customFormat="1">
      <c r="A150" s="45"/>
      <c r="F150" s="35"/>
      <c r="G150" s="35"/>
      <c r="H150" s="35"/>
      <c r="I150" s="35"/>
      <c r="J150" s="35"/>
      <c r="K150" s="35"/>
    </row>
    <row r="151" spans="1:11" s="37" customFormat="1">
      <c r="A151" s="45"/>
      <c r="F151" s="35"/>
      <c r="G151" s="35"/>
      <c r="H151" s="35"/>
      <c r="I151" s="35"/>
      <c r="J151" s="35"/>
      <c r="K151" s="35"/>
    </row>
    <row r="152" spans="1:11" s="37" customFormat="1">
      <c r="A152" s="45"/>
      <c r="F152" s="35"/>
      <c r="G152" s="35"/>
      <c r="H152" s="35"/>
      <c r="I152" s="35"/>
      <c r="J152" s="35"/>
      <c r="K152" s="35"/>
    </row>
    <row r="153" spans="1:11" s="37" customFormat="1">
      <c r="A153" s="45"/>
      <c r="F153" s="35"/>
      <c r="G153" s="35"/>
      <c r="H153" s="35"/>
      <c r="I153" s="35"/>
      <c r="J153" s="35"/>
      <c r="K153" s="35"/>
    </row>
    <row r="154" spans="1:11" s="37" customFormat="1">
      <c r="A154" s="45"/>
      <c r="F154" s="35"/>
      <c r="G154" s="35"/>
      <c r="H154" s="35"/>
      <c r="I154" s="35"/>
      <c r="J154" s="35"/>
      <c r="K154" s="35"/>
    </row>
    <row r="155" spans="1:11" s="37" customFormat="1">
      <c r="A155" s="45"/>
      <c r="F155" s="35"/>
      <c r="G155" s="35"/>
      <c r="H155" s="35"/>
      <c r="I155" s="35"/>
      <c r="J155" s="35"/>
      <c r="K155" s="35"/>
    </row>
    <row r="156" spans="1:11" s="37" customFormat="1">
      <c r="A156" s="45"/>
      <c r="F156" s="35"/>
      <c r="G156" s="35"/>
      <c r="H156" s="35"/>
      <c r="I156" s="35"/>
      <c r="J156" s="35"/>
      <c r="K156" s="35"/>
    </row>
    <row r="157" spans="1:11" s="37" customFormat="1">
      <c r="A157" s="45"/>
      <c r="F157" s="35"/>
      <c r="G157" s="35"/>
      <c r="H157" s="35"/>
      <c r="I157" s="35"/>
      <c r="J157" s="35"/>
      <c r="K157" s="35"/>
    </row>
    <row r="158" spans="1:11" s="37" customFormat="1">
      <c r="A158" s="45"/>
      <c r="F158" s="35"/>
      <c r="G158" s="35"/>
      <c r="H158" s="35"/>
      <c r="I158" s="35"/>
      <c r="J158" s="35"/>
      <c r="K158" s="35"/>
    </row>
    <row r="159" spans="1:11" s="37" customFormat="1">
      <c r="A159" s="45"/>
      <c r="F159" s="35"/>
      <c r="G159" s="35"/>
      <c r="H159" s="35"/>
      <c r="I159" s="35"/>
      <c r="J159" s="35"/>
      <c r="K159" s="35"/>
    </row>
    <row r="160" spans="1:11" s="37" customFormat="1">
      <c r="A160" s="45"/>
      <c r="F160" s="35"/>
      <c r="G160" s="35"/>
      <c r="H160" s="35"/>
      <c r="I160" s="35"/>
      <c r="J160" s="35"/>
      <c r="K160" s="35"/>
    </row>
    <row r="161" spans="1:11" s="37" customFormat="1">
      <c r="A161" s="45"/>
      <c r="F161" s="35"/>
      <c r="G161" s="35"/>
      <c r="H161" s="35"/>
      <c r="I161" s="35"/>
      <c r="J161" s="35"/>
      <c r="K161" s="35"/>
    </row>
    <row r="162" spans="1:11" s="37" customFormat="1">
      <c r="A162" s="45"/>
      <c r="F162" s="35"/>
      <c r="G162" s="35"/>
      <c r="H162" s="35"/>
      <c r="I162" s="35"/>
      <c r="J162" s="35"/>
      <c r="K162" s="35"/>
    </row>
    <row r="163" spans="1:11" s="37" customFormat="1">
      <c r="A163" s="45"/>
      <c r="F163" s="35"/>
      <c r="G163" s="35"/>
      <c r="H163" s="35"/>
      <c r="I163" s="35"/>
      <c r="J163" s="35"/>
      <c r="K163" s="35"/>
    </row>
    <row r="164" spans="1:11" s="37" customFormat="1">
      <c r="A164" s="45"/>
      <c r="F164" s="35"/>
      <c r="G164" s="35"/>
      <c r="H164" s="35"/>
      <c r="I164" s="35"/>
      <c r="J164" s="35"/>
      <c r="K164" s="35"/>
    </row>
    <row r="165" spans="1:11" s="37" customFormat="1">
      <c r="A165" s="45"/>
      <c r="F165" s="35"/>
      <c r="G165" s="35"/>
      <c r="H165" s="35"/>
      <c r="I165" s="35"/>
      <c r="J165" s="35"/>
      <c r="K165" s="35"/>
    </row>
    <row r="166" spans="1:11" s="37" customFormat="1">
      <c r="A166" s="45"/>
      <c r="F166" s="35"/>
      <c r="G166" s="35"/>
      <c r="H166" s="35"/>
      <c r="I166" s="35"/>
      <c r="J166" s="35"/>
      <c r="K166" s="35"/>
    </row>
    <row r="167" spans="1:11" s="37" customFormat="1">
      <c r="A167" s="45"/>
      <c r="F167" s="35"/>
      <c r="G167" s="35"/>
      <c r="H167" s="35"/>
      <c r="I167" s="35"/>
      <c r="J167" s="35"/>
      <c r="K167" s="35"/>
    </row>
    <row r="168" spans="1:11" s="37" customFormat="1">
      <c r="A168" s="45"/>
      <c r="F168" s="35"/>
      <c r="G168" s="35"/>
      <c r="H168" s="35"/>
      <c r="I168" s="35"/>
      <c r="J168" s="35"/>
      <c r="K168" s="35"/>
    </row>
    <row r="169" spans="1:11" s="37" customFormat="1">
      <c r="A169" s="45"/>
      <c r="F169" s="35"/>
      <c r="G169" s="35"/>
      <c r="H169" s="35"/>
      <c r="I169" s="35"/>
      <c r="J169" s="35"/>
      <c r="K169" s="35"/>
    </row>
    <row r="170" spans="1:11" s="37" customFormat="1">
      <c r="A170" s="45"/>
      <c r="F170" s="35"/>
      <c r="G170" s="35"/>
      <c r="H170" s="35"/>
      <c r="I170" s="35"/>
      <c r="J170" s="35"/>
      <c r="K170" s="35"/>
    </row>
    <row r="171" spans="1:11" s="37" customFormat="1">
      <c r="A171" s="45"/>
      <c r="F171" s="35"/>
      <c r="G171" s="35"/>
      <c r="H171" s="35"/>
      <c r="I171" s="35"/>
      <c r="J171" s="35"/>
      <c r="K171" s="35"/>
    </row>
    <row r="172" spans="1:11" s="37" customFormat="1">
      <c r="A172" s="45"/>
      <c r="F172" s="35"/>
      <c r="G172" s="35"/>
      <c r="H172" s="35"/>
      <c r="I172" s="35"/>
      <c r="J172" s="35"/>
      <c r="K172" s="35"/>
    </row>
    <row r="173" spans="1:11" s="37" customFormat="1">
      <c r="A173" s="45"/>
      <c r="F173" s="35"/>
      <c r="G173" s="35"/>
      <c r="H173" s="35"/>
      <c r="I173" s="35"/>
      <c r="J173" s="35"/>
      <c r="K173" s="35"/>
    </row>
    <row r="174" spans="1:11" s="37" customFormat="1">
      <c r="A174" s="45"/>
      <c r="F174" s="35"/>
      <c r="G174" s="35"/>
      <c r="H174" s="35"/>
      <c r="I174" s="35"/>
      <c r="J174" s="35"/>
      <c r="K174" s="35"/>
    </row>
    <row r="175" spans="1:11" s="37" customFormat="1">
      <c r="A175" s="45"/>
      <c r="F175" s="35"/>
      <c r="G175" s="35"/>
      <c r="H175" s="35"/>
      <c r="I175" s="35"/>
      <c r="J175" s="35"/>
      <c r="K175" s="35"/>
    </row>
    <row r="176" spans="1:11" s="37" customFormat="1">
      <c r="A176" s="45"/>
      <c r="F176" s="35"/>
      <c r="G176" s="35"/>
      <c r="H176" s="35"/>
      <c r="I176" s="35"/>
      <c r="J176" s="35"/>
      <c r="K176" s="35"/>
    </row>
    <row r="177" spans="1:11" s="37" customFormat="1">
      <c r="A177" s="45"/>
      <c r="F177" s="35"/>
      <c r="G177" s="35"/>
      <c r="H177" s="35"/>
      <c r="I177" s="35"/>
      <c r="J177" s="35"/>
      <c r="K177" s="35"/>
    </row>
    <row r="178" spans="1:11" s="37" customFormat="1">
      <c r="A178" s="45"/>
      <c r="F178" s="35"/>
      <c r="G178" s="35"/>
      <c r="H178" s="35"/>
      <c r="I178" s="35"/>
      <c r="J178" s="35"/>
      <c r="K178" s="35"/>
    </row>
    <row r="179" spans="1:11" s="37" customFormat="1">
      <c r="A179" s="45"/>
      <c r="F179" s="35"/>
      <c r="G179" s="35"/>
      <c r="H179" s="35"/>
      <c r="I179" s="35"/>
      <c r="J179" s="35"/>
      <c r="K179" s="35"/>
    </row>
    <row r="180" spans="1:11" s="37" customFormat="1">
      <c r="A180" s="45"/>
      <c r="F180" s="35"/>
      <c r="G180" s="35"/>
      <c r="H180" s="35"/>
      <c r="I180" s="35"/>
      <c r="J180" s="35"/>
      <c r="K180" s="35"/>
    </row>
    <row r="181" spans="1:11" s="37" customFormat="1">
      <c r="A181" s="45"/>
      <c r="F181" s="35"/>
      <c r="G181" s="35"/>
      <c r="H181" s="35"/>
      <c r="I181" s="35"/>
      <c r="J181" s="35"/>
      <c r="K181" s="35"/>
    </row>
    <row r="182" spans="1:11" s="37" customFormat="1">
      <c r="A182" s="45"/>
      <c r="F182" s="35"/>
      <c r="G182" s="35"/>
      <c r="H182" s="35"/>
      <c r="I182" s="35"/>
      <c r="J182" s="35"/>
      <c r="K182" s="35"/>
    </row>
    <row r="183" spans="1:11" s="37" customFormat="1">
      <c r="A183" s="45"/>
      <c r="F183" s="35"/>
      <c r="G183" s="35"/>
      <c r="H183" s="35"/>
      <c r="I183" s="35"/>
      <c r="J183" s="35"/>
      <c r="K183" s="35"/>
    </row>
    <row r="184" spans="1:11" s="37" customFormat="1">
      <c r="A184" s="45"/>
      <c r="F184" s="35"/>
      <c r="G184" s="35"/>
      <c r="H184" s="35"/>
      <c r="I184" s="35"/>
      <c r="J184" s="35"/>
      <c r="K184" s="35"/>
    </row>
    <row r="185" spans="1:11" s="37" customFormat="1">
      <c r="A185" s="45"/>
      <c r="F185" s="35"/>
      <c r="G185" s="35"/>
      <c r="H185" s="35"/>
      <c r="I185" s="35"/>
      <c r="J185" s="35"/>
      <c r="K185" s="35"/>
    </row>
    <row r="186" spans="1:11" s="37" customFormat="1">
      <c r="A186" s="45"/>
      <c r="F186" s="35"/>
      <c r="G186" s="35"/>
      <c r="H186" s="35"/>
      <c r="I186" s="35"/>
      <c r="J186" s="35"/>
      <c r="K186" s="35"/>
    </row>
    <row r="187" spans="1:11" s="37" customFormat="1">
      <c r="A187" s="45"/>
      <c r="F187" s="35"/>
      <c r="G187" s="35"/>
      <c r="H187" s="35"/>
      <c r="I187" s="35"/>
      <c r="J187" s="35"/>
      <c r="K187" s="35"/>
    </row>
    <row r="188" spans="1:11" s="37" customFormat="1">
      <c r="A188" s="45"/>
      <c r="F188" s="35"/>
      <c r="G188" s="35"/>
      <c r="H188" s="35"/>
      <c r="I188" s="35"/>
      <c r="J188" s="35"/>
      <c r="K188" s="35"/>
    </row>
    <row r="189" spans="1:11" s="37" customFormat="1">
      <c r="A189" s="45"/>
      <c r="F189" s="35"/>
      <c r="G189" s="35"/>
      <c r="H189" s="35"/>
      <c r="I189" s="35"/>
      <c r="J189" s="35"/>
      <c r="K189" s="35"/>
    </row>
    <row r="190" spans="1:11" s="37" customFormat="1">
      <c r="A190" s="45"/>
      <c r="F190" s="35"/>
      <c r="G190" s="35"/>
      <c r="H190" s="35"/>
      <c r="I190" s="35"/>
      <c r="J190" s="35"/>
      <c r="K190" s="35"/>
    </row>
    <row r="191" spans="1:11" s="37" customFormat="1">
      <c r="A191" s="45"/>
      <c r="F191" s="35"/>
      <c r="G191" s="35"/>
      <c r="H191" s="35"/>
      <c r="I191" s="35"/>
      <c r="J191" s="35"/>
      <c r="K191" s="35"/>
    </row>
    <row r="192" spans="1:11" s="37" customFormat="1">
      <c r="A192" s="45"/>
      <c r="F192" s="35"/>
      <c r="G192" s="35"/>
      <c r="H192" s="35"/>
      <c r="I192" s="35"/>
      <c r="J192" s="35"/>
      <c r="K192" s="35"/>
    </row>
    <row r="193" spans="1:11" s="37" customFormat="1">
      <c r="A193" s="45"/>
      <c r="F193" s="35"/>
      <c r="G193" s="35"/>
      <c r="H193" s="35"/>
      <c r="I193" s="35"/>
      <c r="J193" s="35"/>
      <c r="K193" s="35"/>
    </row>
    <row r="194" spans="1:11" s="37" customFormat="1">
      <c r="A194" s="45"/>
      <c r="F194" s="35"/>
      <c r="G194" s="35"/>
      <c r="H194" s="35"/>
      <c r="I194" s="35"/>
      <c r="J194" s="35"/>
      <c r="K194" s="35"/>
    </row>
  </sheetData>
  <sheetProtection formatCells="0" formatColumns="0" formatRows="0" insertRows="0" deleteRows="0"/>
  <mergeCells count="13">
    <mergeCell ref="A1:I1"/>
    <mergeCell ref="A3:A4"/>
    <mergeCell ref="B3:B4"/>
    <mergeCell ref="C3:C4"/>
    <mergeCell ref="D3:D4"/>
    <mergeCell ref="E3:E4"/>
    <mergeCell ref="F3:I3"/>
    <mergeCell ref="C44:E44"/>
    <mergeCell ref="G44:I44"/>
    <mergeCell ref="A6:I6"/>
    <mergeCell ref="A20:I20"/>
    <mergeCell ref="C43:E43"/>
    <mergeCell ref="G43:I43"/>
  </mergeCells>
  <phoneticPr fontId="3" type="noConversion"/>
  <pageMargins left="0.39370078740157483" right="0.39370078740157483" top="0.59055118110236227" bottom="0.39370078740157483" header="0.19685039370078741" footer="0.11811023622047245"/>
  <pageSetup paperSize="9" scale="57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J86"/>
  <sheetViews>
    <sheetView view="pageBreakPreview" zoomScale="80" zoomScaleNormal="75" zoomScaleSheetLayoutView="80" workbookViewId="0">
      <pane ySplit="5" topLeftCell="A72" activePane="bottomLeft" state="frozen"/>
      <selection pane="bottomLeft" activeCell="H65" sqref="H65"/>
    </sheetView>
  </sheetViews>
  <sheetFormatPr defaultRowHeight="18.75" outlineLevelRow="1"/>
  <cols>
    <col min="1" max="1" width="53.28515625" style="244" customWidth="1"/>
    <col min="2" max="2" width="13.7109375" style="293" customWidth="1"/>
    <col min="3" max="3" width="12.140625" style="293" customWidth="1"/>
    <col min="4" max="4" width="13.140625" style="293" customWidth="1"/>
    <col min="5" max="5" width="13.85546875" style="344" customWidth="1"/>
    <col min="6" max="6" width="12.42578125" style="293" bestFit="1" customWidth="1"/>
    <col min="7" max="7" width="10.7109375" style="293" bestFit="1" customWidth="1"/>
    <col min="8" max="8" width="11.85546875" style="293" customWidth="1"/>
    <col min="9" max="9" width="12.140625" style="293" customWidth="1"/>
    <col min="10" max="16384" width="9.140625" style="244"/>
  </cols>
  <sheetData>
    <row r="1" spans="1:9">
      <c r="A1" s="411" t="s">
        <v>380</v>
      </c>
      <c r="B1" s="411"/>
      <c r="C1" s="411"/>
      <c r="D1" s="411"/>
      <c r="E1" s="411"/>
      <c r="F1" s="411"/>
      <c r="G1" s="411"/>
      <c r="H1" s="411"/>
      <c r="I1" s="411"/>
    </row>
    <row r="2" spans="1:9" outlineLevel="1">
      <c r="A2" s="274"/>
      <c r="B2" s="275"/>
      <c r="C2" s="275"/>
      <c r="D2" s="275"/>
      <c r="E2" s="335"/>
      <c r="F2" s="275"/>
      <c r="G2" s="275"/>
      <c r="H2" s="275"/>
      <c r="I2" s="275"/>
    </row>
    <row r="3" spans="1:9" ht="57.75" customHeight="1">
      <c r="A3" s="418" t="s">
        <v>277</v>
      </c>
      <c r="B3" s="418" t="s">
        <v>0</v>
      </c>
      <c r="C3" s="418" t="s">
        <v>31</v>
      </c>
      <c r="D3" s="418" t="s">
        <v>67</v>
      </c>
      <c r="E3" s="420" t="s">
        <v>183</v>
      </c>
      <c r="F3" s="415" t="s">
        <v>372</v>
      </c>
      <c r="G3" s="416"/>
      <c r="H3" s="416"/>
      <c r="I3" s="417"/>
    </row>
    <row r="4" spans="1:9" ht="38.25" customHeight="1">
      <c r="A4" s="419"/>
      <c r="B4" s="419"/>
      <c r="C4" s="419"/>
      <c r="D4" s="419"/>
      <c r="E4" s="421"/>
      <c r="F4" s="271" t="s">
        <v>381</v>
      </c>
      <c r="G4" s="271" t="s">
        <v>374</v>
      </c>
      <c r="H4" s="271" t="s">
        <v>375</v>
      </c>
      <c r="I4" s="271" t="s">
        <v>83</v>
      </c>
    </row>
    <row r="5" spans="1:9" ht="18" customHeight="1">
      <c r="A5" s="271">
        <v>1</v>
      </c>
      <c r="B5" s="271">
        <v>2</v>
      </c>
      <c r="C5" s="271">
        <v>3</v>
      </c>
      <c r="D5" s="271">
        <v>4</v>
      </c>
      <c r="E5" s="336">
        <v>5</v>
      </c>
      <c r="F5" s="271">
        <v>6</v>
      </c>
      <c r="G5" s="271">
        <v>7</v>
      </c>
      <c r="H5" s="271">
        <v>8</v>
      </c>
      <c r="I5" s="271">
        <v>9</v>
      </c>
    </row>
    <row r="6" spans="1:9" s="276" customFormat="1" ht="20.100000000000001" customHeight="1">
      <c r="A6" s="412" t="s">
        <v>173</v>
      </c>
      <c r="B6" s="413"/>
      <c r="C6" s="413"/>
      <c r="D6" s="413"/>
      <c r="E6" s="413"/>
      <c r="F6" s="413"/>
      <c r="G6" s="413"/>
      <c r="H6" s="413"/>
      <c r="I6" s="414"/>
    </row>
    <row r="7" spans="1:9" ht="37.5">
      <c r="A7" s="267" t="s">
        <v>194</v>
      </c>
      <c r="B7" s="271">
        <v>1170</v>
      </c>
      <c r="C7" s="277">
        <f>'I. Фін результат'!C134</f>
        <v>598</v>
      </c>
      <c r="D7" s="277">
        <f>'I. Фін результат'!D134</f>
        <v>661</v>
      </c>
      <c r="E7" s="337">
        <f>'I. Фін результат'!E134</f>
        <v>437.33333333333456</v>
      </c>
      <c r="F7" s="277">
        <f>'I. Фін результат'!F134</f>
        <v>293.21250000000146</v>
      </c>
      <c r="G7" s="277">
        <f>'I. Фін результат'!G134</f>
        <v>585.42500000000291</v>
      </c>
      <c r="H7" s="277">
        <f>'I. Фін результат'!H134</f>
        <v>877.63749999998254</v>
      </c>
      <c r="I7" s="277">
        <f>'I. Фін результат'!I134</f>
        <v>1170.8500000000058</v>
      </c>
    </row>
    <row r="8" spans="1:9" ht="20.100000000000001" customHeight="1">
      <c r="A8" s="267" t="s">
        <v>195</v>
      </c>
      <c r="B8" s="271"/>
      <c r="C8" s="271"/>
      <c r="D8" s="271"/>
      <c r="E8" s="336"/>
      <c r="F8" s="271"/>
      <c r="G8" s="271"/>
      <c r="H8" s="271"/>
      <c r="I8" s="271"/>
    </row>
    <row r="9" spans="1:9" ht="20.100000000000001" customHeight="1">
      <c r="A9" s="267" t="s">
        <v>198</v>
      </c>
      <c r="B9" s="271">
        <v>3000</v>
      </c>
      <c r="C9" s="271">
        <f>'I. Фін результат'!C160</f>
        <v>16919</v>
      </c>
      <c r="D9" s="271">
        <f>'I. Фін результат'!D160</f>
        <v>18314</v>
      </c>
      <c r="E9" s="337">
        <f>'I. Фін результат'!E160</f>
        <v>28942</v>
      </c>
      <c r="F9" s="277">
        <f>'I. Фін результат'!F160</f>
        <v>7415.8</v>
      </c>
      <c r="G9" s="277">
        <f>'I. Фін результат'!G160</f>
        <v>14832.6</v>
      </c>
      <c r="H9" s="277">
        <f>'I. Фін результат'!H160</f>
        <v>22249.4</v>
      </c>
      <c r="I9" s="277">
        <f>'I. Фін результат'!I160</f>
        <v>29665.200000000001</v>
      </c>
    </row>
    <row r="10" spans="1:9" ht="20.100000000000001" customHeight="1">
      <c r="A10" s="267" t="s">
        <v>199</v>
      </c>
      <c r="B10" s="271">
        <v>3010</v>
      </c>
      <c r="C10" s="271"/>
      <c r="D10" s="271"/>
      <c r="E10" s="336"/>
      <c r="F10" s="271"/>
      <c r="G10" s="271"/>
      <c r="H10" s="271"/>
      <c r="I10" s="271"/>
    </row>
    <row r="11" spans="1:9" ht="37.5">
      <c r="A11" s="267" t="s">
        <v>200</v>
      </c>
      <c r="B11" s="271">
        <v>3020</v>
      </c>
      <c r="C11" s="271"/>
      <c r="D11" s="271"/>
      <c r="E11" s="336"/>
      <c r="F11" s="271"/>
      <c r="G11" s="271"/>
      <c r="H11" s="271"/>
      <c r="I11" s="271"/>
    </row>
    <row r="12" spans="1:9" ht="56.25">
      <c r="A12" s="267" t="s">
        <v>201</v>
      </c>
      <c r="B12" s="271">
        <v>3030</v>
      </c>
      <c r="C12" s="271">
        <f>C13</f>
        <v>-11895</v>
      </c>
      <c r="D12" s="271">
        <f t="shared" ref="D12" si="0">D13+D14</f>
        <v>-17000</v>
      </c>
      <c r="E12" s="337">
        <f>E13+E14</f>
        <v>-24330</v>
      </c>
      <c r="F12" s="277">
        <f>F13+F14</f>
        <v>-6250</v>
      </c>
      <c r="G12" s="277">
        <f>G13</f>
        <v>-12500</v>
      </c>
      <c r="H12" s="277">
        <f>H13</f>
        <v>-18750</v>
      </c>
      <c r="I12" s="277">
        <f>I13+I14</f>
        <v>-25000</v>
      </c>
    </row>
    <row r="13" spans="1:9">
      <c r="A13" s="267" t="s">
        <v>553</v>
      </c>
      <c r="B13" s="271" t="s">
        <v>510</v>
      </c>
      <c r="C13" s="271">
        <v>-11895</v>
      </c>
      <c r="D13" s="271">
        <v>-17000</v>
      </c>
      <c r="E13" s="337">
        <f>'I. Фін результат'!E119*-1</f>
        <v>-24330</v>
      </c>
      <c r="F13" s="277">
        <f>'I. Фін результат'!F119*-1</f>
        <v>-6250</v>
      </c>
      <c r="G13" s="277">
        <f>'I. Фін результат'!G119*-1</f>
        <v>-12500</v>
      </c>
      <c r="H13" s="277">
        <f>'I. Фін результат'!H119*-1</f>
        <v>-18750</v>
      </c>
      <c r="I13" s="277">
        <f>'I. Фін результат'!I119*-1</f>
        <v>-25000</v>
      </c>
    </row>
    <row r="14" spans="1:9">
      <c r="A14" s="267" t="s">
        <v>509</v>
      </c>
      <c r="B14" s="271" t="s">
        <v>511</v>
      </c>
      <c r="C14" s="271"/>
      <c r="D14" s="271"/>
      <c r="E14" s="336"/>
      <c r="F14" s="271"/>
      <c r="G14" s="271"/>
      <c r="H14" s="271"/>
      <c r="I14" s="271"/>
    </row>
    <row r="15" spans="1:9" ht="42.75" customHeight="1">
      <c r="A15" s="267" t="s">
        <v>261</v>
      </c>
      <c r="B15" s="271">
        <v>3040</v>
      </c>
      <c r="C15" s="277">
        <f>SUM(C7:C12)</f>
        <v>5622</v>
      </c>
      <c r="D15" s="277">
        <f>SUM(D7:D12)</f>
        <v>1975</v>
      </c>
      <c r="E15" s="337">
        <f>SUM(E7:E12)</f>
        <v>5049.3333333333358</v>
      </c>
      <c r="F15" s="277">
        <f>SUM(F7:F12)</f>
        <v>1459.0125000000016</v>
      </c>
      <c r="G15" s="277">
        <f>G7+G9+G12</f>
        <v>2918.0250000000033</v>
      </c>
      <c r="H15" s="277">
        <f>H7+H9+H12</f>
        <v>4377.037499999984</v>
      </c>
      <c r="I15" s="277">
        <f>SUM(I7:I12)</f>
        <v>5836.0500000000065</v>
      </c>
    </row>
    <row r="16" spans="1:9" ht="37.5">
      <c r="A16" s="267" t="s">
        <v>202</v>
      </c>
      <c r="B16" s="271">
        <v>3050</v>
      </c>
      <c r="C16" s="271">
        <f>C17+C18+C19+C20</f>
        <v>-605</v>
      </c>
      <c r="D16" s="271">
        <f>D17+D18+D19+D20</f>
        <v>0</v>
      </c>
      <c r="E16" s="337">
        <f>E17+E18+E19+E20</f>
        <v>-5158.666666666667</v>
      </c>
      <c r="F16" s="277">
        <f>F17+F18+F19+F20</f>
        <v>0</v>
      </c>
      <c r="G16" s="277">
        <f>G17+G18+G19+G20</f>
        <v>0</v>
      </c>
      <c r="H16" s="277">
        <f>H17+H18+H19</f>
        <v>0</v>
      </c>
      <c r="I16" s="277">
        <f>I17+I18+I19</f>
        <v>0</v>
      </c>
    </row>
    <row r="17" spans="1:9">
      <c r="A17" s="265" t="s">
        <v>512</v>
      </c>
      <c r="B17" s="262" t="s">
        <v>513</v>
      </c>
      <c r="C17" s="329">
        <f>-616+108</f>
        <v>-508</v>
      </c>
      <c r="D17" s="329"/>
      <c r="E17" s="338">
        <f>-3895/3*4</f>
        <v>-5193.333333333333</v>
      </c>
      <c r="F17" s="278"/>
      <c r="G17" s="278"/>
      <c r="H17" s="278"/>
      <c r="I17" s="329"/>
    </row>
    <row r="18" spans="1:9">
      <c r="A18" s="265" t="s">
        <v>514</v>
      </c>
      <c r="B18" s="262" t="s">
        <v>515</v>
      </c>
      <c r="C18" s="329">
        <v>-110</v>
      </c>
      <c r="D18" s="329"/>
      <c r="E18" s="338">
        <f>46/3*4</f>
        <v>61.333333333333336</v>
      </c>
      <c r="F18" s="329"/>
      <c r="G18" s="329"/>
      <c r="H18" s="329"/>
      <c r="I18" s="278"/>
    </row>
    <row r="19" spans="1:9">
      <c r="A19" s="265" t="s">
        <v>516</v>
      </c>
      <c r="B19" s="262" t="s">
        <v>517</v>
      </c>
      <c r="C19" s="329">
        <v>13</v>
      </c>
      <c r="D19" s="329"/>
      <c r="E19" s="338">
        <f>-20/3*4</f>
        <v>-26.666666666666668</v>
      </c>
      <c r="F19" s="329"/>
      <c r="G19" s="329"/>
      <c r="H19" s="329"/>
      <c r="I19" s="329"/>
    </row>
    <row r="20" spans="1:9">
      <c r="A20" s="265" t="s">
        <v>544</v>
      </c>
      <c r="B20" s="262" t="s">
        <v>545</v>
      </c>
      <c r="C20" s="329"/>
      <c r="D20" s="329"/>
      <c r="E20" s="339"/>
      <c r="F20" s="329"/>
      <c r="G20" s="329"/>
      <c r="H20" s="329"/>
      <c r="I20" s="329"/>
    </row>
    <row r="21" spans="1:9" ht="37.5">
      <c r="A21" s="265" t="s">
        <v>203</v>
      </c>
      <c r="B21" s="262">
        <v>3060</v>
      </c>
      <c r="C21" s="329">
        <f t="shared" ref="C21:G21" si="1">C22+C23</f>
        <v>-4277</v>
      </c>
      <c r="D21" s="329">
        <f t="shared" si="1"/>
        <v>0</v>
      </c>
      <c r="E21" s="338">
        <f>E22+E23</f>
        <v>32</v>
      </c>
      <c r="F21" s="329">
        <f t="shared" si="1"/>
        <v>0</v>
      </c>
      <c r="G21" s="329">
        <f t="shared" si="1"/>
        <v>0</v>
      </c>
      <c r="H21" s="329">
        <f>H22+H23</f>
        <v>0</v>
      </c>
      <c r="I21" s="278">
        <f>I22+I23</f>
        <v>0</v>
      </c>
    </row>
    <row r="22" spans="1:9" ht="37.5">
      <c r="A22" s="265" t="s">
        <v>518</v>
      </c>
      <c r="B22" s="262" t="s">
        <v>519</v>
      </c>
      <c r="C22" s="329">
        <v>-4278</v>
      </c>
      <c r="D22" s="329"/>
      <c r="E22" s="338">
        <f>-226/3*4</f>
        <v>-301.33333333333331</v>
      </c>
      <c r="F22" s="329"/>
      <c r="G22" s="329"/>
      <c r="H22" s="329"/>
      <c r="I22" s="278"/>
    </row>
    <row r="23" spans="1:9">
      <c r="A23" s="265" t="s">
        <v>520</v>
      </c>
      <c r="B23" s="262" t="s">
        <v>521</v>
      </c>
      <c r="C23" s="329">
        <v>1</v>
      </c>
      <c r="D23" s="329"/>
      <c r="E23" s="338">
        <f>250/3*4</f>
        <v>333.33333333333331</v>
      </c>
      <c r="F23" s="329"/>
      <c r="G23" s="329"/>
      <c r="H23" s="329"/>
      <c r="I23" s="329"/>
    </row>
    <row r="24" spans="1:9" ht="20.100000000000001" customHeight="1">
      <c r="A24" s="265" t="s">
        <v>196</v>
      </c>
      <c r="B24" s="262">
        <v>3070</v>
      </c>
      <c r="C24" s="329">
        <f t="shared" ref="C24:H24" si="2">C15+C16+C21</f>
        <v>740</v>
      </c>
      <c r="D24" s="278">
        <f t="shared" si="2"/>
        <v>1975</v>
      </c>
      <c r="E24" s="338">
        <f>E15+E16+E21</f>
        <v>-77.333333333331211</v>
      </c>
      <c r="F24" s="278">
        <f>F15+F16+F21</f>
        <v>1459.0125000000016</v>
      </c>
      <c r="G24" s="278">
        <f t="shared" si="2"/>
        <v>2918.0250000000033</v>
      </c>
      <c r="H24" s="278">
        <f t="shared" si="2"/>
        <v>4377.037499999984</v>
      </c>
      <c r="I24" s="278">
        <f>I15+I16+I21</f>
        <v>5836.0500000000065</v>
      </c>
    </row>
    <row r="25" spans="1:9" ht="20.100000000000001" customHeight="1">
      <c r="A25" s="265" t="s">
        <v>197</v>
      </c>
      <c r="B25" s="262">
        <v>3080</v>
      </c>
      <c r="C25" s="278">
        <f>'I. Фін результат'!C135</f>
        <v>108</v>
      </c>
      <c r="D25" s="278">
        <f>'I. Фін результат'!D135</f>
        <v>119</v>
      </c>
      <c r="E25" s="338">
        <f>'I. Фін результат'!E135</f>
        <v>79</v>
      </c>
      <c r="F25" s="278">
        <f>'I. Фін результат'!F135</f>
        <v>53</v>
      </c>
      <c r="G25" s="278">
        <f>'I. Фін результат'!G135</f>
        <v>105</v>
      </c>
      <c r="H25" s="278">
        <f>'I. Фін результат'!H135</f>
        <v>158</v>
      </c>
      <c r="I25" s="278">
        <f>'I. Фін результат'!I135</f>
        <v>211</v>
      </c>
    </row>
    <row r="26" spans="1:9" ht="37.5">
      <c r="A26" s="265" t="s">
        <v>172</v>
      </c>
      <c r="B26" s="262">
        <v>3090</v>
      </c>
      <c r="C26" s="278">
        <f t="shared" ref="C26:H26" si="3">C24-C25</f>
        <v>632</v>
      </c>
      <c r="D26" s="278">
        <f t="shared" si="3"/>
        <v>1856</v>
      </c>
      <c r="E26" s="338">
        <f>E24-E25</f>
        <v>-156.33333333333121</v>
      </c>
      <c r="F26" s="278">
        <f t="shared" si="3"/>
        <v>1406.0125000000016</v>
      </c>
      <c r="G26" s="278">
        <f t="shared" si="3"/>
        <v>2813.0250000000033</v>
      </c>
      <c r="H26" s="278">
        <f t="shared" si="3"/>
        <v>4219.037499999984</v>
      </c>
      <c r="I26" s="278">
        <f>I24-I25</f>
        <v>5625.0500000000065</v>
      </c>
    </row>
    <row r="27" spans="1:9" ht="20.100000000000001" customHeight="1">
      <c r="A27" s="398" t="s">
        <v>174</v>
      </c>
      <c r="B27" s="399"/>
      <c r="C27" s="399"/>
      <c r="D27" s="399"/>
      <c r="E27" s="399"/>
      <c r="F27" s="399"/>
      <c r="G27" s="399"/>
      <c r="H27" s="399"/>
      <c r="I27" s="400"/>
    </row>
    <row r="28" spans="1:9" ht="20.100000000000001" customHeight="1">
      <c r="A28" s="265" t="s">
        <v>292</v>
      </c>
      <c r="B28" s="262"/>
      <c r="C28" s="262"/>
      <c r="D28" s="262"/>
      <c r="E28" s="339"/>
      <c r="F28" s="262"/>
      <c r="G28" s="262"/>
      <c r="H28" s="262"/>
      <c r="I28" s="262"/>
    </row>
    <row r="29" spans="1:9" ht="20.100000000000001" customHeight="1">
      <c r="A29" s="265" t="s">
        <v>32</v>
      </c>
      <c r="B29" s="262">
        <v>3200</v>
      </c>
      <c r="C29" s="262"/>
      <c r="D29" s="262"/>
      <c r="E29" s="339"/>
      <c r="F29" s="262"/>
      <c r="G29" s="262"/>
      <c r="H29" s="262"/>
      <c r="I29" s="262"/>
    </row>
    <row r="30" spans="1:9" ht="20.100000000000001" customHeight="1">
      <c r="A30" s="270" t="s">
        <v>33</v>
      </c>
      <c r="B30" s="279">
        <v>3210</v>
      </c>
      <c r="C30" s="217"/>
      <c r="D30" s="217"/>
      <c r="E30" s="340"/>
      <c r="F30" s="262"/>
      <c r="G30" s="262"/>
      <c r="H30" s="217"/>
      <c r="I30" s="217"/>
    </row>
    <row r="31" spans="1:9" ht="20.100000000000001" customHeight="1">
      <c r="A31" s="270" t="s">
        <v>54</v>
      </c>
      <c r="B31" s="279">
        <v>3220</v>
      </c>
      <c r="C31" s="217"/>
      <c r="D31" s="217"/>
      <c r="E31" s="340"/>
      <c r="F31" s="262"/>
      <c r="G31" s="262"/>
      <c r="H31" s="217"/>
      <c r="I31" s="217"/>
    </row>
    <row r="32" spans="1:9" ht="20.100000000000001" customHeight="1">
      <c r="A32" s="267" t="s">
        <v>178</v>
      </c>
      <c r="B32" s="279"/>
      <c r="C32" s="217"/>
      <c r="D32" s="217"/>
      <c r="E32" s="340"/>
      <c r="F32" s="262"/>
      <c r="G32" s="262"/>
      <c r="H32" s="217"/>
      <c r="I32" s="217"/>
    </row>
    <row r="33" spans="1:10" ht="20.100000000000001" customHeight="1">
      <c r="A33" s="270" t="s">
        <v>179</v>
      </c>
      <c r="B33" s="279">
        <v>3230</v>
      </c>
      <c r="C33" s="217"/>
      <c r="D33" s="217"/>
      <c r="E33" s="340"/>
      <c r="F33" s="262"/>
      <c r="G33" s="262"/>
      <c r="H33" s="217"/>
      <c r="I33" s="217"/>
    </row>
    <row r="34" spans="1:10" ht="20.100000000000001" customHeight="1">
      <c r="A34" s="270" t="s">
        <v>180</v>
      </c>
      <c r="B34" s="279">
        <v>3240</v>
      </c>
      <c r="C34" s="217"/>
      <c r="D34" s="217"/>
      <c r="E34" s="340"/>
      <c r="F34" s="262"/>
      <c r="G34" s="262"/>
      <c r="H34" s="217"/>
      <c r="I34" s="217"/>
    </row>
    <row r="35" spans="1:10" ht="20.100000000000001" customHeight="1">
      <c r="A35" s="267" t="s">
        <v>181</v>
      </c>
      <c r="B35" s="279">
        <v>3250</v>
      </c>
      <c r="C35" s="217"/>
      <c r="D35" s="217"/>
      <c r="E35" s="340"/>
      <c r="F35" s="262"/>
      <c r="G35" s="262"/>
      <c r="H35" s="217"/>
      <c r="I35" s="217"/>
    </row>
    <row r="36" spans="1:10" ht="20.100000000000001" customHeight="1">
      <c r="A36" s="270" t="s">
        <v>129</v>
      </c>
      <c r="B36" s="279">
        <v>3260</v>
      </c>
      <c r="C36" s="217"/>
      <c r="D36" s="217"/>
      <c r="E36" s="340"/>
      <c r="F36" s="262"/>
      <c r="G36" s="262"/>
      <c r="H36" s="217"/>
      <c r="I36" s="217"/>
    </row>
    <row r="37" spans="1:10" ht="20.100000000000001" customHeight="1">
      <c r="A37" s="272" t="s">
        <v>294</v>
      </c>
      <c r="B37" s="279"/>
      <c r="C37" s="217"/>
      <c r="D37" s="217"/>
      <c r="E37" s="340"/>
      <c r="F37" s="262"/>
      <c r="G37" s="262"/>
      <c r="H37" s="217"/>
      <c r="I37" s="217"/>
    </row>
    <row r="38" spans="1:10" ht="37.5">
      <c r="A38" s="270" t="s">
        <v>130</v>
      </c>
      <c r="B38" s="279">
        <v>3270</v>
      </c>
      <c r="C38" s="217">
        <f>C39+C40</f>
        <v>15873</v>
      </c>
      <c r="D38" s="217"/>
      <c r="E38" s="340"/>
      <c r="F38" s="262"/>
      <c r="G38" s="278">
        <f t="shared" ref="G38:H38" si="4">G39</f>
        <v>5900</v>
      </c>
      <c r="H38" s="278">
        <f t="shared" si="4"/>
        <v>8795</v>
      </c>
      <c r="I38" s="278">
        <f>I39</f>
        <v>8795</v>
      </c>
    </row>
    <row r="39" spans="1:10">
      <c r="A39" s="270" t="s">
        <v>523</v>
      </c>
      <c r="B39" s="279" t="s">
        <v>522</v>
      </c>
      <c r="C39" s="217">
        <v>15435</v>
      </c>
      <c r="D39" s="217"/>
      <c r="E39" s="340"/>
      <c r="F39" s="262"/>
      <c r="G39" s="262">
        <v>5900</v>
      </c>
      <c r="H39" s="217">
        <v>8795</v>
      </c>
      <c r="I39" s="217">
        <v>8795</v>
      </c>
    </row>
    <row r="40" spans="1:10" ht="37.5">
      <c r="A40" s="270" t="s">
        <v>602</v>
      </c>
      <c r="B40" s="279" t="s">
        <v>524</v>
      </c>
      <c r="C40" s="217">
        <v>438</v>
      </c>
      <c r="D40" s="217"/>
      <c r="E40" s="340"/>
      <c r="F40" s="262"/>
      <c r="G40" s="262"/>
      <c r="H40" s="217"/>
      <c r="I40" s="217"/>
    </row>
    <row r="41" spans="1:10" ht="20.100000000000001" customHeight="1">
      <c r="A41" s="270" t="s">
        <v>131</v>
      </c>
      <c r="B41" s="279">
        <v>3280</v>
      </c>
      <c r="C41" s="217"/>
      <c r="D41" s="217"/>
      <c r="E41" s="340"/>
      <c r="F41" s="262"/>
      <c r="G41" s="262"/>
      <c r="H41" s="217"/>
      <c r="I41" s="217"/>
    </row>
    <row r="42" spans="1:10" ht="37.5">
      <c r="A42" s="270" t="s">
        <v>132</v>
      </c>
      <c r="B42" s="279">
        <v>3290</v>
      </c>
      <c r="C42" s="217"/>
      <c r="D42" s="217">
        <f>D44</f>
        <v>2500</v>
      </c>
      <c r="E42" s="340">
        <f>E44+E45</f>
        <v>10161</v>
      </c>
      <c r="F42" s="262">
        <f>F44</f>
        <v>667</v>
      </c>
      <c r="G42" s="325">
        <f t="shared" ref="G42:H42" si="5">G44</f>
        <v>667</v>
      </c>
      <c r="H42" s="325">
        <f t="shared" si="5"/>
        <v>667</v>
      </c>
      <c r="I42" s="217">
        <f>I44</f>
        <v>667</v>
      </c>
    </row>
    <row r="43" spans="1:10">
      <c r="A43" s="270" t="s">
        <v>527</v>
      </c>
      <c r="B43" s="279" t="s">
        <v>528</v>
      </c>
      <c r="C43" s="217"/>
      <c r="D43" s="217"/>
      <c r="E43" s="340"/>
      <c r="F43" s="262"/>
      <c r="G43" s="262"/>
      <c r="H43" s="217"/>
      <c r="I43" s="217"/>
    </row>
    <row r="44" spans="1:10" ht="112.5">
      <c r="A44" s="270" t="s">
        <v>588</v>
      </c>
      <c r="B44" s="279" t="s">
        <v>582</v>
      </c>
      <c r="C44" s="217"/>
      <c r="D44" s="217">
        <v>2500</v>
      </c>
      <c r="E44" s="340">
        <v>1700</v>
      </c>
      <c r="F44" s="331">
        <v>667</v>
      </c>
      <c r="G44" s="331">
        <v>667</v>
      </c>
      <c r="H44" s="217">
        <v>667</v>
      </c>
      <c r="I44" s="217">
        <v>667</v>
      </c>
      <c r="J44" s="244" t="s">
        <v>619</v>
      </c>
    </row>
    <row r="45" spans="1:10" ht="56.25">
      <c r="A45" s="270" t="s">
        <v>622</v>
      </c>
      <c r="B45" s="279" t="s">
        <v>621</v>
      </c>
      <c r="C45" s="217"/>
      <c r="D45" s="217"/>
      <c r="E45" s="340">
        <v>8461</v>
      </c>
      <c r="F45" s="333"/>
      <c r="G45" s="333"/>
      <c r="H45" s="217"/>
      <c r="I45" s="217"/>
    </row>
    <row r="46" spans="1:10" ht="20.100000000000001" customHeight="1">
      <c r="A46" s="265" t="s">
        <v>55</v>
      </c>
      <c r="B46" s="262">
        <v>3300</v>
      </c>
      <c r="C46" s="262"/>
      <c r="D46" s="262"/>
      <c r="E46" s="339"/>
      <c r="F46" s="262"/>
      <c r="G46" s="262"/>
      <c r="H46" s="262"/>
      <c r="I46" s="262"/>
    </row>
    <row r="47" spans="1:10" ht="20.100000000000001" customHeight="1">
      <c r="A47" s="265" t="s">
        <v>124</v>
      </c>
      <c r="B47" s="262">
        <v>3310</v>
      </c>
      <c r="C47" s="262"/>
      <c r="D47" s="262"/>
      <c r="E47" s="339"/>
      <c r="F47" s="262"/>
      <c r="G47" s="262"/>
      <c r="H47" s="262"/>
      <c r="I47" s="262"/>
    </row>
    <row r="48" spans="1:10" ht="37.5">
      <c r="A48" s="265" t="s">
        <v>175</v>
      </c>
      <c r="B48" s="262">
        <v>3320</v>
      </c>
      <c r="C48" s="278">
        <f t="shared" ref="C48:E48" si="6">(C29+C30+C31+C33+C34+C35+C36)-(C38+C41+C42+C46+C47)</f>
        <v>-15873</v>
      </c>
      <c r="D48" s="278">
        <f t="shared" si="6"/>
        <v>-2500</v>
      </c>
      <c r="E48" s="339">
        <f t="shared" si="6"/>
        <v>-10161</v>
      </c>
      <c r="F48" s="262">
        <f>(F29+F30+F31+F33+F34+F35+F36)-(F38+F41+F42+F46+F47)</f>
        <v>-667</v>
      </c>
      <c r="G48" s="278">
        <f>(G29+G30+G31+G33+G34+G35+G36)-(G38+G41+G42+G46+G47)</f>
        <v>-6567</v>
      </c>
      <c r="H48" s="278">
        <f>(H29+H30+H31+H33+H34+H35+H36)-(H38+H41+H42+H46+H47)</f>
        <v>-9462</v>
      </c>
      <c r="I48" s="278">
        <f>(I29+I30+I31+I33+I34+I35+I36)-(I38+I41+I42+I46+I47)</f>
        <v>-9462</v>
      </c>
    </row>
    <row r="49" spans="1:10">
      <c r="A49" s="398" t="s">
        <v>176</v>
      </c>
      <c r="B49" s="399"/>
      <c r="C49" s="399"/>
      <c r="D49" s="399"/>
      <c r="E49" s="399"/>
      <c r="F49" s="399"/>
      <c r="G49" s="399"/>
      <c r="H49" s="399"/>
      <c r="I49" s="400"/>
    </row>
    <row r="50" spans="1:10" ht="20.100000000000001" customHeight="1">
      <c r="A50" s="265" t="s">
        <v>293</v>
      </c>
      <c r="B50" s="262"/>
      <c r="C50" s="262"/>
      <c r="D50" s="262"/>
      <c r="E50" s="339"/>
      <c r="F50" s="262"/>
      <c r="G50" s="262"/>
      <c r="H50" s="262"/>
      <c r="I50" s="262"/>
    </row>
    <row r="51" spans="1:10" ht="20.100000000000001" customHeight="1">
      <c r="A51" s="265" t="s">
        <v>182</v>
      </c>
      <c r="B51" s="262">
        <v>3400</v>
      </c>
      <c r="C51" s="262"/>
      <c r="D51" s="262"/>
      <c r="E51" s="339"/>
      <c r="F51" s="262"/>
      <c r="G51" s="262"/>
      <c r="H51" s="262"/>
      <c r="I51" s="262"/>
    </row>
    <row r="52" spans="1:10" ht="37.5">
      <c r="A52" s="265" t="s">
        <v>96</v>
      </c>
      <c r="B52" s="262"/>
      <c r="C52" s="262"/>
      <c r="D52" s="262"/>
      <c r="E52" s="339"/>
      <c r="F52" s="262"/>
      <c r="G52" s="262"/>
      <c r="H52" s="262"/>
      <c r="I52" s="262"/>
    </row>
    <row r="53" spans="1:10" ht="20.100000000000001" customHeight="1">
      <c r="A53" s="265" t="s">
        <v>95</v>
      </c>
      <c r="B53" s="262">
        <v>3410</v>
      </c>
      <c r="C53" s="262"/>
      <c r="D53" s="262"/>
      <c r="E53" s="339"/>
      <c r="F53" s="262"/>
      <c r="G53" s="262"/>
      <c r="H53" s="262"/>
      <c r="I53" s="262"/>
    </row>
    <row r="54" spans="1:10" ht="20.100000000000001" customHeight="1">
      <c r="A54" s="265" t="s">
        <v>100</v>
      </c>
      <c r="B54" s="262">
        <v>3420</v>
      </c>
      <c r="C54" s="262"/>
      <c r="D54" s="262"/>
      <c r="E54" s="339"/>
      <c r="F54" s="262"/>
      <c r="G54" s="262"/>
      <c r="H54" s="262"/>
      <c r="I54" s="262"/>
    </row>
    <row r="55" spans="1:10" ht="20.100000000000001" customHeight="1">
      <c r="A55" s="265" t="s">
        <v>133</v>
      </c>
      <c r="B55" s="262">
        <v>3430</v>
      </c>
      <c r="C55" s="262"/>
      <c r="D55" s="262"/>
      <c r="E55" s="339"/>
      <c r="F55" s="262"/>
      <c r="G55" s="262"/>
      <c r="H55" s="262"/>
      <c r="I55" s="262"/>
    </row>
    <row r="56" spans="1:10" ht="37.5">
      <c r="A56" s="265" t="s">
        <v>98</v>
      </c>
      <c r="B56" s="262"/>
      <c r="C56" s="262"/>
      <c r="D56" s="262"/>
      <c r="E56" s="339"/>
      <c r="F56" s="262"/>
      <c r="G56" s="262"/>
      <c r="H56" s="262"/>
      <c r="I56" s="262"/>
    </row>
    <row r="57" spans="1:10" ht="20.100000000000001" customHeight="1">
      <c r="A57" s="270" t="s">
        <v>95</v>
      </c>
      <c r="B57" s="280">
        <v>3440</v>
      </c>
      <c r="C57" s="217"/>
      <c r="D57" s="217"/>
      <c r="E57" s="340"/>
      <c r="F57" s="217"/>
      <c r="G57" s="217"/>
      <c r="H57" s="217"/>
      <c r="I57" s="217"/>
    </row>
    <row r="58" spans="1:10" ht="20.100000000000001" customHeight="1">
      <c r="A58" s="270" t="s">
        <v>100</v>
      </c>
      <c r="B58" s="280">
        <v>3450</v>
      </c>
      <c r="C58" s="217"/>
      <c r="D58" s="217"/>
      <c r="E58" s="340"/>
      <c r="F58" s="262"/>
      <c r="G58" s="262"/>
      <c r="H58" s="262"/>
      <c r="I58" s="262"/>
    </row>
    <row r="59" spans="1:10" ht="20.100000000000001" customHeight="1">
      <c r="A59" s="270" t="s">
        <v>133</v>
      </c>
      <c r="B59" s="280">
        <v>3460</v>
      </c>
      <c r="C59" s="217"/>
      <c r="D59" s="217"/>
      <c r="E59" s="340"/>
      <c r="F59" s="262"/>
      <c r="G59" s="262"/>
      <c r="H59" s="262"/>
      <c r="I59" s="262"/>
    </row>
    <row r="60" spans="1:10" ht="20.100000000000001" customHeight="1">
      <c r="A60" s="270" t="s">
        <v>128</v>
      </c>
      <c r="B60" s="280">
        <v>3470</v>
      </c>
      <c r="C60" s="217"/>
      <c r="D60" s="217"/>
      <c r="E60" s="340"/>
      <c r="F60" s="262"/>
      <c r="G60" s="262"/>
      <c r="H60" s="262"/>
      <c r="I60" s="262"/>
    </row>
    <row r="61" spans="1:10" ht="20.100000000000001" customHeight="1">
      <c r="A61" s="270" t="s">
        <v>129</v>
      </c>
      <c r="B61" s="280">
        <v>3480</v>
      </c>
      <c r="C61" s="217"/>
      <c r="D61" s="217">
        <f>D62</f>
        <v>2500</v>
      </c>
      <c r="E61" s="340">
        <f>E62</f>
        <v>10961</v>
      </c>
      <c r="F61" s="262">
        <f>F62</f>
        <v>800</v>
      </c>
      <c r="G61" s="262">
        <f t="shared" ref="G61:H61" si="7">G62</f>
        <v>5900</v>
      </c>
      <c r="H61" s="262">
        <f t="shared" si="7"/>
        <v>8795</v>
      </c>
      <c r="I61" s="262">
        <f>I62</f>
        <v>8795</v>
      </c>
    </row>
    <row r="62" spans="1:10" ht="37.5" customHeight="1">
      <c r="A62" s="270" t="s">
        <v>525</v>
      </c>
      <c r="B62" s="280" t="s">
        <v>526</v>
      </c>
      <c r="C62" s="217"/>
      <c r="D62" s="217">
        <v>2500</v>
      </c>
      <c r="E62" s="340">
        <f>2500+8461</f>
        <v>10961</v>
      </c>
      <c r="F62" s="262">
        <v>800</v>
      </c>
      <c r="G62" s="262">
        <v>5900</v>
      </c>
      <c r="H62" s="217">
        <v>8795</v>
      </c>
      <c r="I62" s="328">
        <v>8795</v>
      </c>
      <c r="J62" s="281"/>
    </row>
    <row r="63" spans="1:10" ht="20.100000000000001" customHeight="1">
      <c r="A63" s="272" t="s">
        <v>294</v>
      </c>
      <c r="B63" s="279"/>
      <c r="C63" s="217"/>
      <c r="D63" s="217"/>
      <c r="E63" s="340"/>
      <c r="F63" s="262"/>
      <c r="G63" s="262"/>
      <c r="H63" s="262"/>
      <c r="I63" s="262"/>
    </row>
    <row r="64" spans="1:10" ht="37.5">
      <c r="A64" s="270" t="s">
        <v>378</v>
      </c>
      <c r="B64" s="279">
        <v>3490</v>
      </c>
      <c r="C64" s="252">
        <f>'ІІ. Розр. з бюджетом'!C9</f>
        <v>74</v>
      </c>
      <c r="D64" s="252">
        <f>'ІІ. Розр. з бюджетом'!D9</f>
        <v>81</v>
      </c>
      <c r="E64" s="341">
        <f>'ІІ. Розр. з бюджетом'!E9</f>
        <v>54</v>
      </c>
      <c r="F64" s="278">
        <f>'ІІ. Розр. з бюджетом'!F9</f>
        <v>36</v>
      </c>
      <c r="G64" s="278">
        <f>'ІІ. Розр. з бюджетом'!G9</f>
        <v>72</v>
      </c>
      <c r="H64" s="278">
        <f>'ІІ. Розр. з бюджетом'!H9</f>
        <v>108</v>
      </c>
      <c r="I64" s="278">
        <f>'ІІ. Розр. з бюджетом'!I9</f>
        <v>144</v>
      </c>
    </row>
    <row r="65" spans="1:9" ht="112.5">
      <c r="A65" s="270" t="s">
        <v>379</v>
      </c>
      <c r="B65" s="279">
        <v>3500</v>
      </c>
      <c r="C65" s="252">
        <f>'ІІ. Розр. з бюджетом'!C10</f>
        <v>250</v>
      </c>
      <c r="D65" s="252">
        <f>'ІІ. Розр. з бюджетом'!D10</f>
        <v>277</v>
      </c>
      <c r="E65" s="341">
        <f>'ІІ. Розр. з бюджетом'!E10</f>
        <v>183</v>
      </c>
      <c r="F65" s="278">
        <f>'ІІ. Розр. з бюджетом'!F10</f>
        <v>123</v>
      </c>
      <c r="G65" s="278">
        <f>'ІІ. Розр. з бюджетом'!G10</f>
        <v>245</v>
      </c>
      <c r="H65" s="278">
        <f>'ІІ. Розр. з бюджетом'!H10</f>
        <v>367</v>
      </c>
      <c r="I65" s="278">
        <f>'ІІ. Розр. з бюджетом'!I10</f>
        <v>490</v>
      </c>
    </row>
    <row r="66" spans="1:9" ht="37.5">
      <c r="A66" s="270" t="s">
        <v>99</v>
      </c>
      <c r="B66" s="279"/>
      <c r="C66" s="217"/>
      <c r="D66" s="217"/>
      <c r="E66" s="340"/>
      <c r="F66" s="262"/>
      <c r="G66" s="262"/>
      <c r="H66" s="262"/>
      <c r="I66" s="262"/>
    </row>
    <row r="67" spans="1:9" ht="20.100000000000001" customHeight="1">
      <c r="A67" s="270" t="s">
        <v>95</v>
      </c>
      <c r="B67" s="280">
        <v>3510</v>
      </c>
      <c r="C67" s="217"/>
      <c r="D67" s="217"/>
      <c r="E67" s="340"/>
      <c r="F67" s="262"/>
      <c r="G67" s="262"/>
      <c r="H67" s="262"/>
      <c r="I67" s="262"/>
    </row>
    <row r="68" spans="1:9" ht="20.100000000000001" customHeight="1">
      <c r="A68" s="270" t="s">
        <v>100</v>
      </c>
      <c r="B68" s="280">
        <v>3520</v>
      </c>
      <c r="C68" s="217"/>
      <c r="D68" s="217"/>
      <c r="E68" s="340"/>
      <c r="F68" s="262"/>
      <c r="G68" s="262"/>
      <c r="H68" s="262"/>
      <c r="I68" s="262"/>
    </row>
    <row r="69" spans="1:9" ht="20.100000000000001" customHeight="1">
      <c r="A69" s="270" t="s">
        <v>133</v>
      </c>
      <c r="B69" s="280">
        <v>3530</v>
      </c>
      <c r="C69" s="217"/>
      <c r="D69" s="217"/>
      <c r="E69" s="340"/>
      <c r="F69" s="217"/>
      <c r="G69" s="217"/>
      <c r="H69" s="217"/>
      <c r="I69" s="217"/>
    </row>
    <row r="70" spans="1:9" ht="37.5">
      <c r="A70" s="270" t="s">
        <v>97</v>
      </c>
      <c r="B70" s="279"/>
      <c r="C70" s="217"/>
      <c r="D70" s="217"/>
      <c r="E70" s="340"/>
      <c r="F70" s="217"/>
      <c r="G70" s="217"/>
      <c r="H70" s="217"/>
      <c r="I70" s="217"/>
    </row>
    <row r="71" spans="1:9" ht="20.100000000000001" customHeight="1">
      <c r="A71" s="270" t="s">
        <v>95</v>
      </c>
      <c r="B71" s="280">
        <v>3540</v>
      </c>
      <c r="C71" s="217"/>
      <c r="D71" s="217"/>
      <c r="E71" s="340"/>
      <c r="F71" s="217"/>
      <c r="G71" s="217"/>
      <c r="H71" s="217"/>
      <c r="I71" s="217"/>
    </row>
    <row r="72" spans="1:9" ht="20.100000000000001" customHeight="1">
      <c r="A72" s="270" t="s">
        <v>100</v>
      </c>
      <c r="B72" s="280">
        <v>3550</v>
      </c>
      <c r="C72" s="217"/>
      <c r="D72" s="217"/>
      <c r="E72" s="340"/>
      <c r="F72" s="217"/>
      <c r="G72" s="217"/>
      <c r="H72" s="217"/>
      <c r="I72" s="217"/>
    </row>
    <row r="73" spans="1:9" ht="20.100000000000001" customHeight="1">
      <c r="A73" s="270" t="s">
        <v>133</v>
      </c>
      <c r="B73" s="280">
        <v>3560</v>
      </c>
      <c r="C73" s="217"/>
      <c r="D73" s="217"/>
      <c r="E73" s="340"/>
      <c r="F73" s="217"/>
      <c r="G73" s="217"/>
      <c r="H73" s="217"/>
      <c r="I73" s="217"/>
    </row>
    <row r="74" spans="1:9" ht="20.100000000000001" customHeight="1">
      <c r="A74" s="270" t="s">
        <v>124</v>
      </c>
      <c r="B74" s="280">
        <v>3570</v>
      </c>
      <c r="C74" s="217"/>
      <c r="D74" s="217"/>
      <c r="E74" s="340"/>
      <c r="F74" s="217"/>
      <c r="G74" s="217"/>
      <c r="H74" s="217"/>
      <c r="I74" s="217"/>
    </row>
    <row r="75" spans="1:9" ht="37.5">
      <c r="A75" s="264" t="s">
        <v>177</v>
      </c>
      <c r="B75" s="282">
        <v>3580</v>
      </c>
      <c r="C75" s="259">
        <v>-323</v>
      </c>
      <c r="D75" s="259">
        <f>(D51+D53+D54+D55+D57+D58+D59+D60+D61)-(D64+D65+D67+D68+D69+D71+D72+D73+D74)</f>
        <v>2142</v>
      </c>
      <c r="E75" s="342">
        <f t="shared" ref="E75:H75" si="8">(E51+E53+E54+E55+E57+E58+E59+E60+E61)-(E64+E65+E67+E68+E69+E71+E72+E73+E74)</f>
        <v>10724</v>
      </c>
      <c r="F75" s="217">
        <f>(F51+F53+F54+F55+F57+F58+F59+F60+F61)-(F64+F65+F67+F68+F69+F71+F72+F73+F74)</f>
        <v>641</v>
      </c>
      <c r="G75" s="217">
        <f>(G51+G53+G54+G55+G57+G58+G59+G60+G61)-(G64+G65+G67+G68+G69+G71+G72+G73+G74)</f>
        <v>5583</v>
      </c>
      <c r="H75" s="259">
        <f t="shared" si="8"/>
        <v>8320</v>
      </c>
      <c r="I75" s="259">
        <f>(I51+I53+I54+I55+I57+I58+I59+I60+I61)-(I64+I65+I67+I68+I69+I71+I72+I73+I74)</f>
        <v>8161</v>
      </c>
    </row>
    <row r="76" spans="1:9" s="281" customFormat="1" ht="20.100000000000001" customHeight="1">
      <c r="A76" s="266" t="s">
        <v>34</v>
      </c>
      <c r="B76" s="283"/>
      <c r="C76" s="252"/>
      <c r="D76" s="252"/>
      <c r="E76" s="341"/>
      <c r="F76" s="217"/>
      <c r="G76" s="217"/>
      <c r="H76" s="252"/>
      <c r="I76" s="252"/>
    </row>
    <row r="77" spans="1:9" s="281" customFormat="1" ht="20.100000000000001" customHeight="1">
      <c r="A77" s="284" t="s">
        <v>35</v>
      </c>
      <c r="B77" s="283">
        <v>3600</v>
      </c>
      <c r="C77" s="217">
        <v>23205</v>
      </c>
      <c r="D77" s="217">
        <v>5074</v>
      </c>
      <c r="E77" s="341">
        <f>C79</f>
        <v>7641</v>
      </c>
      <c r="F77" s="217">
        <f>E79</f>
        <v>8047.6666666666688</v>
      </c>
      <c r="G77" s="217">
        <f>E79</f>
        <v>8047.6666666666688</v>
      </c>
      <c r="H77" s="252">
        <f>E79</f>
        <v>8047.6666666666688</v>
      </c>
      <c r="I77" s="252">
        <f>E79</f>
        <v>8047.6666666666688</v>
      </c>
    </row>
    <row r="78" spans="1:9" s="281" customFormat="1" ht="37.5">
      <c r="A78" s="270" t="s">
        <v>187</v>
      </c>
      <c r="B78" s="283">
        <v>3610</v>
      </c>
      <c r="C78" s="217"/>
      <c r="D78" s="217"/>
      <c r="E78" s="340"/>
      <c r="F78" s="217"/>
      <c r="G78" s="217"/>
      <c r="H78" s="217"/>
      <c r="I78" s="217"/>
    </row>
    <row r="79" spans="1:9" s="281" customFormat="1" ht="20.100000000000001" customHeight="1">
      <c r="A79" s="284" t="s">
        <v>56</v>
      </c>
      <c r="B79" s="283">
        <v>3620</v>
      </c>
      <c r="C79" s="327">
        <f>C77+C26+C48+C75</f>
        <v>7641</v>
      </c>
      <c r="D79" s="259">
        <f t="shared" ref="D79:I79" si="9">D77+D26+D48+D75</f>
        <v>6572</v>
      </c>
      <c r="E79" s="342">
        <f t="shared" si="9"/>
        <v>8047.6666666666688</v>
      </c>
      <c r="F79" s="217">
        <f t="shared" si="9"/>
        <v>9427.6791666666704</v>
      </c>
      <c r="G79" s="217">
        <f t="shared" si="9"/>
        <v>9876.691666666673</v>
      </c>
      <c r="H79" s="259">
        <f t="shared" si="9"/>
        <v>11124.704166666652</v>
      </c>
      <c r="I79" s="259">
        <f t="shared" si="9"/>
        <v>12371.716666666674</v>
      </c>
    </row>
    <row r="80" spans="1:9" s="281" customFormat="1" ht="20.100000000000001" customHeight="1">
      <c r="A80" s="284" t="s">
        <v>36</v>
      </c>
      <c r="B80" s="283">
        <v>3630</v>
      </c>
      <c r="C80" s="259">
        <f>SUM(C26,C48,C75)</f>
        <v>-15564</v>
      </c>
      <c r="D80" s="259">
        <f t="shared" ref="D80:I80" si="10">SUM(D26,D48,D75)</f>
        <v>1498</v>
      </c>
      <c r="E80" s="342">
        <f t="shared" si="10"/>
        <v>406.66666666666788</v>
      </c>
      <c r="F80" s="217">
        <f t="shared" si="10"/>
        <v>1380.0125000000016</v>
      </c>
      <c r="G80" s="217">
        <f t="shared" si="10"/>
        <v>1829.0250000000033</v>
      </c>
      <c r="H80" s="259">
        <f t="shared" si="10"/>
        <v>3077.037499999984</v>
      </c>
      <c r="I80" s="259">
        <f t="shared" si="10"/>
        <v>4324.0500000000065</v>
      </c>
    </row>
    <row r="81" spans="1:9" s="281" customFormat="1" ht="20.100000000000001" customHeight="1">
      <c r="A81" s="285"/>
      <c r="B81" s="286"/>
      <c r="C81" s="287"/>
      <c r="D81" s="287"/>
      <c r="E81" s="343"/>
      <c r="F81" s="288"/>
      <c r="G81" s="288"/>
      <c r="H81" s="287"/>
      <c r="I81" s="287"/>
    </row>
    <row r="82" spans="1:9" s="281" customFormat="1" ht="20.100000000000001" customHeight="1">
      <c r="A82" s="285"/>
      <c r="B82" s="286"/>
      <c r="C82" s="287"/>
      <c r="D82" s="287"/>
      <c r="E82" s="343"/>
      <c r="F82" s="288"/>
      <c r="G82" s="288"/>
      <c r="H82" s="287"/>
      <c r="I82" s="287"/>
    </row>
    <row r="83" spans="1:9" s="281" customFormat="1" ht="20.100000000000001" customHeight="1">
      <c r="A83" s="285"/>
      <c r="B83" s="286"/>
      <c r="C83" s="287"/>
      <c r="D83" s="287"/>
      <c r="E83" s="343"/>
      <c r="F83" s="288"/>
      <c r="G83" s="288"/>
      <c r="H83" s="288"/>
      <c r="I83" s="287"/>
    </row>
    <row r="84" spans="1:9" s="281" customFormat="1" ht="20.100000000000001" customHeight="1">
      <c r="A84" s="285"/>
      <c r="B84" s="286"/>
      <c r="C84" s="287"/>
      <c r="D84" s="287"/>
      <c r="E84" s="343"/>
      <c r="F84" s="288"/>
      <c r="G84" s="288"/>
      <c r="H84" s="287"/>
      <c r="I84" s="287"/>
    </row>
    <row r="85" spans="1:9" s="231" customFormat="1">
      <c r="A85" s="289" t="s">
        <v>603</v>
      </c>
      <c r="B85" s="290"/>
      <c r="C85" s="408"/>
      <c r="D85" s="409"/>
      <c r="E85" s="409"/>
      <c r="F85" s="288"/>
      <c r="G85" s="410" t="s">
        <v>604</v>
      </c>
      <c r="H85" s="410"/>
      <c r="I85" s="410"/>
    </row>
    <row r="86" spans="1:9" ht="20.100000000000001" customHeight="1">
      <c r="A86" s="291" t="s">
        <v>394</v>
      </c>
      <c r="B86" s="292"/>
      <c r="C86" s="407" t="s">
        <v>81</v>
      </c>
      <c r="D86" s="407"/>
      <c r="E86" s="407"/>
      <c r="F86" s="288"/>
      <c r="G86" s="407" t="s">
        <v>111</v>
      </c>
      <c r="H86" s="407"/>
      <c r="I86" s="407"/>
    </row>
  </sheetData>
  <sheetProtection formatCells="0" formatColumns="0" formatRows="0" insertRows="0"/>
  <mergeCells count="14">
    <mergeCell ref="C86:E86"/>
    <mergeCell ref="G86:I86"/>
    <mergeCell ref="C85:E85"/>
    <mergeCell ref="G85:I85"/>
    <mergeCell ref="A1:I1"/>
    <mergeCell ref="A49:I49"/>
    <mergeCell ref="A27:I27"/>
    <mergeCell ref="A6:I6"/>
    <mergeCell ref="F3:I3"/>
    <mergeCell ref="A3:A4"/>
    <mergeCell ref="B3:B4"/>
    <mergeCell ref="C3:C4"/>
    <mergeCell ref="D3:D4"/>
    <mergeCell ref="E3:E4"/>
  </mergeCells>
  <phoneticPr fontId="3" type="noConversion"/>
  <pageMargins left="0.39370078740157483" right="0.39370078740157483" top="0.39370078740157483" bottom="0.39370078740157483" header="0.19685039370078741" footer="0.23622047244094491"/>
  <pageSetup paperSize="9" scale="63" fitToHeight="2" orientation="portrait" r:id="rId1"/>
  <headerFooter alignWithMargins="0"/>
  <ignoredErrors>
    <ignoredError sqref="F75:I76 F78:I80 G77:I77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CD42C"/>
    <pageSetUpPr fitToPage="1"/>
  </sheetPr>
  <dimension ref="A1:P184"/>
  <sheetViews>
    <sheetView zoomScale="70" zoomScaleNormal="70" workbookViewId="0">
      <selection activeCell="E11" sqref="E11"/>
    </sheetView>
  </sheetViews>
  <sheetFormatPr defaultRowHeight="18.75"/>
  <cols>
    <col min="1" max="1" width="47.85546875" style="166" customWidth="1"/>
    <col min="2" max="2" width="11.7109375" style="16" customWidth="1"/>
    <col min="3" max="4" width="16" style="16" customWidth="1"/>
    <col min="5" max="5" width="15.28515625" style="16" customWidth="1"/>
    <col min="6" max="7" width="16.28515625" style="166" customWidth="1"/>
    <col min="8" max="8" width="15.85546875" style="166" customWidth="1"/>
    <col min="9" max="9" width="15.28515625" style="166" customWidth="1"/>
    <col min="10" max="10" width="9.5703125" style="166" customWidth="1"/>
    <col min="11" max="11" width="9.85546875" style="166" customWidth="1"/>
    <col min="12" max="16384" width="9.140625" style="166"/>
  </cols>
  <sheetData>
    <row r="1" spans="1:16">
      <c r="A1" s="360" t="s">
        <v>232</v>
      </c>
      <c r="B1" s="360"/>
      <c r="C1" s="360"/>
      <c r="D1" s="360"/>
      <c r="E1" s="360"/>
      <c r="F1" s="360"/>
      <c r="G1" s="360"/>
      <c r="H1" s="360"/>
      <c r="I1" s="360"/>
    </row>
    <row r="2" spans="1:16">
      <c r="A2" s="422"/>
      <c r="B2" s="422"/>
      <c r="C2" s="422"/>
      <c r="D2" s="422"/>
      <c r="E2" s="422"/>
      <c r="F2" s="422"/>
      <c r="G2" s="422"/>
      <c r="H2" s="422"/>
      <c r="I2" s="422"/>
    </row>
    <row r="3" spans="1:16" ht="43.5" customHeight="1">
      <c r="A3" s="403" t="s">
        <v>277</v>
      </c>
      <c r="B3" s="406" t="s">
        <v>17</v>
      </c>
      <c r="C3" s="406" t="s">
        <v>31</v>
      </c>
      <c r="D3" s="406" t="s">
        <v>39</v>
      </c>
      <c r="E3" s="405" t="s">
        <v>183</v>
      </c>
      <c r="F3" s="406" t="s">
        <v>372</v>
      </c>
      <c r="G3" s="406"/>
      <c r="H3" s="406"/>
      <c r="I3" s="406"/>
    </row>
    <row r="4" spans="1:16" ht="56.25" customHeight="1">
      <c r="A4" s="403"/>
      <c r="B4" s="406"/>
      <c r="C4" s="406"/>
      <c r="D4" s="406"/>
      <c r="E4" s="405"/>
      <c r="F4" s="260" t="s">
        <v>381</v>
      </c>
      <c r="G4" s="260" t="s">
        <v>374</v>
      </c>
      <c r="H4" s="260" t="s">
        <v>375</v>
      </c>
      <c r="I4" s="260" t="s">
        <v>83</v>
      </c>
    </row>
    <row r="5" spans="1:16" ht="18" customHeight="1">
      <c r="A5" s="283">
        <v>1</v>
      </c>
      <c r="B5" s="263">
        <v>2</v>
      </c>
      <c r="C5" s="263">
        <v>3</v>
      </c>
      <c r="D5" s="263">
        <v>4</v>
      </c>
      <c r="E5" s="263">
        <v>5</v>
      </c>
      <c r="F5" s="263">
        <v>6</v>
      </c>
      <c r="G5" s="263">
        <v>7</v>
      </c>
      <c r="H5" s="263">
        <v>8</v>
      </c>
      <c r="I5" s="263">
        <v>9</v>
      </c>
    </row>
    <row r="6" spans="1:16" s="167" customFormat="1" ht="42.75" customHeight="1">
      <c r="A6" s="266" t="s">
        <v>85</v>
      </c>
      <c r="B6" s="294">
        <v>4000</v>
      </c>
      <c r="C6" s="252">
        <f t="shared" ref="C6" si="0">SUM(C7:C11)</f>
        <v>13227</v>
      </c>
      <c r="D6" s="252">
        <f>D10</f>
        <v>2083</v>
      </c>
      <c r="E6" s="252">
        <f>E10</f>
        <v>8751</v>
      </c>
      <c r="F6" s="252">
        <f>F10</f>
        <v>667</v>
      </c>
      <c r="G6" s="252">
        <f>G8+F6</f>
        <v>5584</v>
      </c>
      <c r="H6" s="252">
        <f>H8+F6</f>
        <v>7995</v>
      </c>
      <c r="I6" s="252">
        <f>H6</f>
        <v>7995</v>
      </c>
    </row>
    <row r="7" spans="1:16" ht="20.100000000000001" customHeight="1">
      <c r="A7" s="266" t="s">
        <v>1</v>
      </c>
      <c r="B7" s="295" t="s">
        <v>242</v>
      </c>
      <c r="C7" s="217"/>
      <c r="D7" s="217"/>
      <c r="E7" s="217"/>
      <c r="F7" s="217"/>
      <c r="G7" s="217"/>
      <c r="H7" s="217"/>
      <c r="I7" s="217"/>
    </row>
    <row r="8" spans="1:16" ht="37.5">
      <c r="A8" s="266" t="s">
        <v>2</v>
      </c>
      <c r="B8" s="294">
        <v>4020</v>
      </c>
      <c r="C8" s="217">
        <v>13227</v>
      </c>
      <c r="D8" s="217"/>
      <c r="E8" s="217"/>
      <c r="F8" s="217"/>
      <c r="G8" s="217">
        <v>4917</v>
      </c>
      <c r="H8" s="217">
        <v>7328</v>
      </c>
      <c r="I8" s="217">
        <v>7328</v>
      </c>
      <c r="P8" s="12"/>
    </row>
    <row r="9" spans="1:16" ht="37.5">
      <c r="A9" s="266" t="s">
        <v>30</v>
      </c>
      <c r="B9" s="295">
        <v>4030</v>
      </c>
      <c r="C9" s="217"/>
      <c r="D9" s="217"/>
      <c r="E9" s="217"/>
      <c r="F9" s="217"/>
      <c r="G9" s="217"/>
      <c r="H9" s="217"/>
      <c r="I9" s="217"/>
      <c r="O9" s="12"/>
    </row>
    <row r="10" spans="1:16" ht="37.5">
      <c r="A10" s="266" t="s">
        <v>590</v>
      </c>
      <c r="B10" s="294">
        <v>4040</v>
      </c>
      <c r="C10" s="217"/>
      <c r="D10" s="217">
        <v>2083</v>
      </c>
      <c r="E10" s="217">
        <f>1700+7051</f>
        <v>8751</v>
      </c>
      <c r="F10" s="217">
        <v>667</v>
      </c>
      <c r="G10" s="217">
        <v>667</v>
      </c>
      <c r="H10" s="217">
        <v>667</v>
      </c>
      <c r="I10" s="217">
        <v>667</v>
      </c>
    </row>
    <row r="11" spans="1:16" ht="56.25">
      <c r="A11" s="266" t="s">
        <v>71</v>
      </c>
      <c r="B11" s="295">
        <v>4050</v>
      </c>
      <c r="C11" s="217"/>
      <c r="D11" s="217"/>
      <c r="E11" s="217"/>
      <c r="F11" s="217"/>
      <c r="G11" s="217"/>
      <c r="H11" s="217"/>
      <c r="I11" s="217"/>
    </row>
    <row r="12" spans="1:16" ht="20.100000000000001" customHeight="1">
      <c r="A12" s="163"/>
      <c r="B12" s="163"/>
      <c r="C12" s="163"/>
      <c r="D12" s="163"/>
      <c r="E12" s="163"/>
      <c r="F12" s="113"/>
      <c r="G12" s="113"/>
      <c r="H12" s="113"/>
      <c r="I12" s="113"/>
    </row>
    <row r="13" spans="1:16" s="186" customFormat="1" ht="20.100000000000001" customHeight="1">
      <c r="A13" s="196"/>
      <c r="B13" s="196"/>
      <c r="C13" s="196"/>
      <c r="D13" s="196"/>
      <c r="E13" s="196"/>
      <c r="F13" s="113"/>
      <c r="G13" s="113"/>
      <c r="H13" s="113"/>
      <c r="I13" s="113"/>
    </row>
    <row r="14" spans="1:16" s="186" customFormat="1" ht="20.100000000000001" customHeight="1">
      <c r="A14" s="196"/>
      <c r="B14" s="196"/>
      <c r="C14" s="196"/>
      <c r="D14" s="196"/>
      <c r="E14" s="196"/>
      <c r="F14" s="113"/>
      <c r="G14" s="113"/>
      <c r="H14" s="113"/>
      <c r="I14" s="113"/>
    </row>
    <row r="15" spans="1:16" ht="20.100000000000001" customHeight="1">
      <c r="A15" s="163"/>
      <c r="B15" s="163"/>
      <c r="C15" s="163"/>
      <c r="D15" s="163"/>
      <c r="E15" s="163"/>
      <c r="F15" s="113"/>
      <c r="G15" s="113"/>
      <c r="H15" s="113"/>
      <c r="I15" s="113"/>
    </row>
    <row r="16" spans="1:16" s="1" customFormat="1">
      <c r="A16" s="165"/>
      <c r="B16" s="108"/>
      <c r="C16" s="163"/>
      <c r="D16" s="163"/>
      <c r="E16" s="163"/>
      <c r="F16" s="163"/>
      <c r="G16" s="163"/>
      <c r="H16" s="163"/>
      <c r="I16" s="163"/>
      <c r="J16" s="166"/>
    </row>
    <row r="17" spans="1:9">
      <c r="A17" s="150" t="s">
        <v>603</v>
      </c>
      <c r="B17" s="101"/>
      <c r="C17" s="382" t="s">
        <v>115</v>
      </c>
      <c r="D17" s="383"/>
      <c r="E17" s="383"/>
      <c r="F17" s="102"/>
      <c r="G17" s="384" t="s">
        <v>604</v>
      </c>
      <c r="H17" s="384"/>
      <c r="I17" s="384"/>
    </row>
    <row r="18" spans="1:9" s="1" customFormat="1" ht="20.100000000000001" customHeight="1">
      <c r="A18" s="164" t="s">
        <v>80</v>
      </c>
      <c r="B18" s="163"/>
      <c r="C18" s="365" t="s">
        <v>81</v>
      </c>
      <c r="D18" s="365"/>
      <c r="E18" s="365"/>
      <c r="F18" s="103"/>
      <c r="G18" s="366" t="s">
        <v>111</v>
      </c>
      <c r="H18" s="366"/>
      <c r="I18" s="366"/>
    </row>
    <row r="19" spans="1:9">
      <c r="A19" s="114"/>
      <c r="B19" s="164"/>
      <c r="C19" s="164"/>
      <c r="D19" s="164"/>
      <c r="E19" s="164"/>
      <c r="F19" s="163"/>
      <c r="G19" s="163"/>
      <c r="H19" s="163"/>
      <c r="I19" s="163"/>
    </row>
    <row r="20" spans="1:9">
      <c r="A20" s="114"/>
      <c r="B20" s="164"/>
      <c r="C20" s="164"/>
      <c r="D20" s="164"/>
      <c r="E20" s="164"/>
      <c r="F20" s="163"/>
      <c r="G20" s="163"/>
      <c r="H20" s="163"/>
      <c r="I20" s="163"/>
    </row>
    <row r="21" spans="1:9">
      <c r="A21" s="39"/>
    </row>
    <row r="22" spans="1:9">
      <c r="A22" s="39"/>
    </row>
    <row r="23" spans="1:9">
      <c r="A23" s="39"/>
    </row>
    <row r="24" spans="1:9">
      <c r="A24" s="39"/>
    </row>
    <row r="25" spans="1:9">
      <c r="A25" s="39"/>
    </row>
    <row r="26" spans="1:9">
      <c r="A26" s="39"/>
    </row>
    <row r="27" spans="1:9">
      <c r="A27" s="39"/>
    </row>
    <row r="28" spans="1:9">
      <c r="A28" s="39"/>
    </row>
    <row r="29" spans="1:9">
      <c r="A29" s="39"/>
    </row>
    <row r="30" spans="1:9">
      <c r="A30" s="39"/>
    </row>
    <row r="31" spans="1:9">
      <c r="A31" s="39"/>
    </row>
    <row r="32" spans="1:9">
      <c r="A32" s="39"/>
    </row>
    <row r="33" spans="1:5">
      <c r="A33" s="39"/>
    </row>
    <row r="34" spans="1:5">
      <c r="A34" s="39"/>
    </row>
    <row r="35" spans="1:5">
      <c r="A35" s="39"/>
      <c r="B35" s="166"/>
      <c r="C35" s="166"/>
      <c r="D35" s="166"/>
      <c r="E35" s="166"/>
    </row>
    <row r="36" spans="1:5">
      <c r="A36" s="39"/>
      <c r="B36" s="166"/>
      <c r="C36" s="166"/>
      <c r="D36" s="166"/>
      <c r="E36" s="166"/>
    </row>
    <row r="37" spans="1:5">
      <c r="A37" s="39"/>
      <c r="B37" s="166"/>
      <c r="C37" s="166"/>
      <c r="D37" s="166"/>
      <c r="E37" s="166"/>
    </row>
    <row r="38" spans="1:5">
      <c r="A38" s="39"/>
      <c r="B38" s="166"/>
      <c r="C38" s="166"/>
      <c r="D38" s="166"/>
      <c r="E38" s="166"/>
    </row>
    <row r="39" spans="1:5">
      <c r="A39" s="39"/>
      <c r="B39" s="166"/>
      <c r="C39" s="166"/>
      <c r="D39" s="166"/>
      <c r="E39" s="166"/>
    </row>
    <row r="40" spans="1:5">
      <c r="A40" s="39"/>
      <c r="B40" s="166"/>
      <c r="C40" s="166"/>
      <c r="D40" s="166"/>
      <c r="E40" s="166"/>
    </row>
    <row r="41" spans="1:5">
      <c r="A41" s="39"/>
      <c r="B41" s="166"/>
      <c r="C41" s="166"/>
      <c r="D41" s="166"/>
      <c r="E41" s="166"/>
    </row>
    <row r="42" spans="1:5">
      <c r="A42" s="39"/>
      <c r="B42" s="166"/>
      <c r="C42" s="166"/>
      <c r="D42" s="166"/>
      <c r="E42" s="166"/>
    </row>
    <row r="43" spans="1:5">
      <c r="A43" s="39"/>
      <c r="B43" s="166"/>
      <c r="C43" s="166"/>
      <c r="D43" s="166"/>
      <c r="E43" s="166"/>
    </row>
    <row r="44" spans="1:5">
      <c r="A44" s="39"/>
      <c r="B44" s="166"/>
      <c r="C44" s="166"/>
      <c r="D44" s="166"/>
      <c r="E44" s="166"/>
    </row>
    <row r="45" spans="1:5">
      <c r="A45" s="39"/>
      <c r="B45" s="166"/>
      <c r="C45" s="166"/>
      <c r="D45" s="166"/>
      <c r="E45" s="166"/>
    </row>
    <row r="46" spans="1:5">
      <c r="A46" s="39"/>
      <c r="B46" s="166"/>
      <c r="C46" s="166"/>
      <c r="D46" s="166"/>
      <c r="E46" s="166"/>
    </row>
    <row r="47" spans="1:5">
      <c r="A47" s="39"/>
      <c r="B47" s="166"/>
      <c r="C47" s="166"/>
      <c r="D47" s="166"/>
      <c r="E47" s="166"/>
    </row>
    <row r="48" spans="1:5">
      <c r="A48" s="39"/>
      <c r="B48" s="166"/>
      <c r="C48" s="166"/>
      <c r="D48" s="166"/>
      <c r="E48" s="166"/>
    </row>
    <row r="49" spans="1:5">
      <c r="A49" s="39"/>
      <c r="B49" s="166"/>
      <c r="C49" s="166"/>
      <c r="D49" s="166"/>
      <c r="E49" s="166"/>
    </row>
    <row r="50" spans="1:5">
      <c r="A50" s="39"/>
      <c r="B50" s="166"/>
      <c r="C50" s="166"/>
      <c r="D50" s="166"/>
      <c r="E50" s="166"/>
    </row>
    <row r="51" spans="1:5">
      <c r="A51" s="39"/>
      <c r="B51" s="166"/>
      <c r="C51" s="166"/>
      <c r="D51" s="166"/>
      <c r="E51" s="166"/>
    </row>
    <row r="52" spans="1:5">
      <c r="A52" s="39"/>
      <c r="B52" s="166"/>
      <c r="C52" s="166"/>
      <c r="D52" s="166"/>
      <c r="E52" s="166"/>
    </row>
    <row r="53" spans="1:5">
      <c r="A53" s="39"/>
      <c r="B53" s="166"/>
      <c r="C53" s="166"/>
      <c r="D53" s="166"/>
      <c r="E53" s="166"/>
    </row>
    <row r="54" spans="1:5">
      <c r="A54" s="39"/>
      <c r="B54" s="166"/>
      <c r="C54" s="166"/>
      <c r="D54" s="166"/>
      <c r="E54" s="166"/>
    </row>
    <row r="55" spans="1:5">
      <c r="A55" s="39"/>
      <c r="B55" s="166"/>
      <c r="C55" s="166"/>
      <c r="D55" s="166"/>
      <c r="E55" s="166"/>
    </row>
    <row r="56" spans="1:5">
      <c r="A56" s="39"/>
      <c r="B56" s="166"/>
      <c r="C56" s="166"/>
      <c r="D56" s="166"/>
      <c r="E56" s="166"/>
    </row>
    <row r="57" spans="1:5">
      <c r="A57" s="39"/>
      <c r="B57" s="166"/>
      <c r="C57" s="166"/>
      <c r="D57" s="166"/>
      <c r="E57" s="166"/>
    </row>
    <row r="58" spans="1:5">
      <c r="A58" s="39"/>
      <c r="B58" s="166"/>
      <c r="C58" s="166"/>
      <c r="D58" s="166"/>
      <c r="E58" s="166"/>
    </row>
    <row r="59" spans="1:5">
      <c r="A59" s="39"/>
      <c r="B59" s="166"/>
      <c r="C59" s="166"/>
      <c r="D59" s="166"/>
      <c r="E59" s="166"/>
    </row>
    <row r="60" spans="1:5">
      <c r="A60" s="39"/>
      <c r="B60" s="166"/>
      <c r="C60" s="166"/>
      <c r="D60" s="166"/>
      <c r="E60" s="166"/>
    </row>
    <row r="61" spans="1:5">
      <c r="A61" s="39"/>
      <c r="B61" s="166"/>
      <c r="C61" s="166"/>
      <c r="D61" s="166"/>
      <c r="E61" s="166"/>
    </row>
    <row r="62" spans="1:5">
      <c r="A62" s="39"/>
      <c r="B62" s="166"/>
      <c r="C62" s="166"/>
      <c r="D62" s="166"/>
      <c r="E62" s="166"/>
    </row>
    <row r="63" spans="1:5">
      <c r="A63" s="39"/>
      <c r="B63" s="166"/>
      <c r="C63" s="166"/>
      <c r="D63" s="166"/>
      <c r="E63" s="166"/>
    </row>
    <row r="64" spans="1:5">
      <c r="A64" s="39"/>
      <c r="B64" s="166"/>
      <c r="C64" s="166"/>
      <c r="D64" s="166"/>
      <c r="E64" s="166"/>
    </row>
    <row r="65" spans="1:5">
      <c r="A65" s="39"/>
      <c r="B65" s="166"/>
      <c r="C65" s="166"/>
      <c r="D65" s="166"/>
      <c r="E65" s="166"/>
    </row>
    <row r="66" spans="1:5">
      <c r="A66" s="39"/>
      <c r="B66" s="166"/>
      <c r="C66" s="166"/>
      <c r="D66" s="166"/>
      <c r="E66" s="166"/>
    </row>
    <row r="67" spans="1:5">
      <c r="A67" s="39"/>
      <c r="B67" s="166"/>
      <c r="C67" s="166"/>
      <c r="D67" s="166"/>
      <c r="E67" s="166"/>
    </row>
    <row r="68" spans="1:5">
      <c r="A68" s="39"/>
      <c r="B68" s="166"/>
      <c r="C68" s="166"/>
      <c r="D68" s="166"/>
      <c r="E68" s="166"/>
    </row>
    <row r="69" spans="1:5">
      <c r="A69" s="39"/>
      <c r="B69" s="166"/>
      <c r="C69" s="166"/>
      <c r="D69" s="166"/>
      <c r="E69" s="166"/>
    </row>
    <row r="70" spans="1:5">
      <c r="A70" s="39"/>
      <c r="B70" s="166"/>
      <c r="C70" s="166"/>
      <c r="D70" s="166"/>
      <c r="E70" s="166"/>
    </row>
    <row r="71" spans="1:5">
      <c r="A71" s="39"/>
      <c r="B71" s="166"/>
      <c r="C71" s="166"/>
      <c r="D71" s="166"/>
      <c r="E71" s="166"/>
    </row>
    <row r="72" spans="1:5">
      <c r="A72" s="39"/>
      <c r="B72" s="166"/>
      <c r="C72" s="166"/>
      <c r="D72" s="166"/>
      <c r="E72" s="166"/>
    </row>
    <row r="73" spans="1:5">
      <c r="A73" s="39"/>
      <c r="B73" s="166"/>
      <c r="C73" s="166"/>
      <c r="D73" s="166"/>
      <c r="E73" s="166"/>
    </row>
    <row r="74" spans="1:5">
      <c r="A74" s="39"/>
      <c r="B74" s="166"/>
      <c r="C74" s="166"/>
      <c r="D74" s="166"/>
      <c r="E74" s="166"/>
    </row>
    <row r="75" spans="1:5">
      <c r="A75" s="39"/>
      <c r="B75" s="166"/>
      <c r="C75" s="166"/>
      <c r="D75" s="166"/>
      <c r="E75" s="166"/>
    </row>
    <row r="76" spans="1:5">
      <c r="A76" s="39"/>
      <c r="B76" s="166"/>
      <c r="C76" s="166"/>
      <c r="D76" s="166"/>
      <c r="E76" s="166"/>
    </row>
    <row r="77" spans="1:5">
      <c r="A77" s="39"/>
      <c r="B77" s="166"/>
      <c r="C77" s="166"/>
      <c r="D77" s="166"/>
      <c r="E77" s="166"/>
    </row>
    <row r="78" spans="1:5">
      <c r="A78" s="39"/>
      <c r="B78" s="166"/>
      <c r="C78" s="166"/>
      <c r="D78" s="166"/>
      <c r="E78" s="166"/>
    </row>
    <row r="79" spans="1:5">
      <c r="A79" s="39"/>
      <c r="B79" s="166"/>
      <c r="C79" s="166"/>
      <c r="D79" s="166"/>
      <c r="E79" s="166"/>
    </row>
    <row r="80" spans="1:5">
      <c r="A80" s="39"/>
      <c r="B80" s="166"/>
      <c r="C80" s="166"/>
      <c r="D80" s="166"/>
      <c r="E80" s="166"/>
    </row>
    <row r="81" spans="1:5">
      <c r="A81" s="39"/>
      <c r="B81" s="166"/>
      <c r="C81" s="166"/>
      <c r="D81" s="166"/>
      <c r="E81" s="166"/>
    </row>
    <row r="82" spans="1:5">
      <c r="A82" s="39"/>
      <c r="B82" s="166"/>
      <c r="C82" s="166"/>
      <c r="D82" s="166"/>
      <c r="E82" s="166"/>
    </row>
    <row r="83" spans="1:5">
      <c r="A83" s="39"/>
      <c r="B83" s="166"/>
      <c r="C83" s="166"/>
      <c r="D83" s="166"/>
      <c r="E83" s="166"/>
    </row>
    <row r="84" spans="1:5">
      <c r="A84" s="39"/>
      <c r="B84" s="166"/>
      <c r="C84" s="166"/>
      <c r="D84" s="166"/>
      <c r="E84" s="166"/>
    </row>
    <row r="85" spans="1:5">
      <c r="A85" s="39"/>
      <c r="B85" s="166"/>
      <c r="C85" s="166"/>
      <c r="D85" s="166"/>
      <c r="E85" s="166"/>
    </row>
    <row r="86" spans="1:5">
      <c r="A86" s="39"/>
      <c r="B86" s="166"/>
      <c r="C86" s="166"/>
      <c r="D86" s="166"/>
      <c r="E86" s="166"/>
    </row>
    <row r="87" spans="1:5">
      <c r="A87" s="39"/>
      <c r="B87" s="166"/>
      <c r="C87" s="166"/>
      <c r="D87" s="166"/>
      <c r="E87" s="166"/>
    </row>
    <row r="88" spans="1:5">
      <c r="A88" s="39"/>
      <c r="B88" s="166"/>
      <c r="C88" s="166"/>
      <c r="D88" s="166"/>
      <c r="E88" s="166"/>
    </row>
    <row r="89" spans="1:5">
      <c r="A89" s="39"/>
      <c r="B89" s="166"/>
      <c r="C89" s="166"/>
      <c r="D89" s="166"/>
      <c r="E89" s="166"/>
    </row>
    <row r="90" spans="1:5">
      <c r="A90" s="39"/>
      <c r="B90" s="166"/>
      <c r="C90" s="166"/>
      <c r="D90" s="166"/>
      <c r="E90" s="166"/>
    </row>
    <row r="91" spans="1:5">
      <c r="A91" s="39"/>
      <c r="B91" s="166"/>
      <c r="C91" s="166"/>
      <c r="D91" s="166"/>
      <c r="E91" s="166"/>
    </row>
    <row r="92" spans="1:5">
      <c r="A92" s="39"/>
      <c r="B92" s="166"/>
      <c r="C92" s="166"/>
      <c r="D92" s="166"/>
      <c r="E92" s="166"/>
    </row>
    <row r="93" spans="1:5">
      <c r="A93" s="39"/>
      <c r="B93" s="166"/>
      <c r="C93" s="166"/>
      <c r="D93" s="166"/>
      <c r="E93" s="166"/>
    </row>
    <row r="94" spans="1:5">
      <c r="A94" s="39"/>
      <c r="B94" s="166"/>
      <c r="C94" s="166"/>
      <c r="D94" s="166"/>
      <c r="E94" s="166"/>
    </row>
    <row r="95" spans="1:5">
      <c r="A95" s="39"/>
      <c r="B95" s="166"/>
      <c r="C95" s="166"/>
      <c r="D95" s="166"/>
      <c r="E95" s="166"/>
    </row>
    <row r="96" spans="1:5">
      <c r="A96" s="39"/>
      <c r="B96" s="166"/>
      <c r="C96" s="166"/>
      <c r="D96" s="166"/>
      <c r="E96" s="166"/>
    </row>
    <row r="97" spans="1:5">
      <c r="A97" s="39"/>
      <c r="B97" s="166"/>
      <c r="C97" s="166"/>
      <c r="D97" s="166"/>
      <c r="E97" s="166"/>
    </row>
    <row r="98" spans="1:5">
      <c r="A98" s="39"/>
      <c r="B98" s="166"/>
      <c r="C98" s="166"/>
      <c r="D98" s="166"/>
      <c r="E98" s="166"/>
    </row>
    <row r="99" spans="1:5">
      <c r="A99" s="39"/>
      <c r="B99" s="166"/>
      <c r="C99" s="166"/>
      <c r="D99" s="166"/>
      <c r="E99" s="166"/>
    </row>
    <row r="100" spans="1:5">
      <c r="A100" s="39"/>
      <c r="B100" s="166"/>
      <c r="C100" s="166"/>
      <c r="D100" s="166"/>
      <c r="E100" s="166"/>
    </row>
    <row r="101" spans="1:5">
      <c r="A101" s="39"/>
      <c r="B101" s="166"/>
      <c r="C101" s="166"/>
      <c r="D101" s="166"/>
      <c r="E101" s="166"/>
    </row>
    <row r="102" spans="1:5">
      <c r="A102" s="39"/>
      <c r="B102" s="166"/>
      <c r="C102" s="166"/>
      <c r="D102" s="166"/>
      <c r="E102" s="166"/>
    </row>
    <row r="103" spans="1:5">
      <c r="A103" s="39"/>
      <c r="B103" s="166"/>
      <c r="C103" s="166"/>
      <c r="D103" s="166"/>
      <c r="E103" s="166"/>
    </row>
    <row r="104" spans="1:5">
      <c r="A104" s="39"/>
      <c r="B104" s="166"/>
      <c r="C104" s="166"/>
      <c r="D104" s="166"/>
      <c r="E104" s="166"/>
    </row>
    <row r="105" spans="1:5">
      <c r="A105" s="39"/>
      <c r="B105" s="166"/>
      <c r="C105" s="166"/>
      <c r="D105" s="166"/>
      <c r="E105" s="166"/>
    </row>
    <row r="106" spans="1:5">
      <c r="A106" s="39"/>
      <c r="B106" s="166"/>
      <c r="C106" s="166"/>
      <c r="D106" s="166"/>
      <c r="E106" s="166"/>
    </row>
    <row r="107" spans="1:5">
      <c r="A107" s="39"/>
      <c r="B107" s="166"/>
      <c r="C107" s="166"/>
      <c r="D107" s="166"/>
      <c r="E107" s="166"/>
    </row>
    <row r="108" spans="1:5">
      <c r="A108" s="39"/>
      <c r="B108" s="166"/>
      <c r="C108" s="166"/>
      <c r="D108" s="166"/>
      <c r="E108" s="166"/>
    </row>
    <row r="109" spans="1:5">
      <c r="A109" s="39"/>
      <c r="B109" s="166"/>
      <c r="C109" s="166"/>
      <c r="D109" s="166"/>
      <c r="E109" s="166"/>
    </row>
    <row r="110" spans="1:5">
      <c r="A110" s="39"/>
      <c r="B110" s="166"/>
      <c r="C110" s="166"/>
      <c r="D110" s="166"/>
      <c r="E110" s="166"/>
    </row>
    <row r="111" spans="1:5">
      <c r="A111" s="39"/>
      <c r="B111" s="166"/>
      <c r="C111" s="166"/>
      <c r="D111" s="166"/>
      <c r="E111" s="166"/>
    </row>
    <row r="112" spans="1:5">
      <c r="A112" s="39"/>
      <c r="B112" s="166"/>
      <c r="C112" s="166"/>
      <c r="D112" s="166"/>
      <c r="E112" s="166"/>
    </row>
    <row r="113" spans="1:5">
      <c r="A113" s="39"/>
      <c r="B113" s="166"/>
      <c r="C113" s="166"/>
      <c r="D113" s="166"/>
      <c r="E113" s="166"/>
    </row>
    <row r="114" spans="1:5">
      <c r="A114" s="39"/>
      <c r="B114" s="166"/>
      <c r="C114" s="166"/>
      <c r="D114" s="166"/>
      <c r="E114" s="166"/>
    </row>
    <row r="115" spans="1:5">
      <c r="A115" s="39"/>
      <c r="B115" s="166"/>
      <c r="C115" s="166"/>
      <c r="D115" s="166"/>
      <c r="E115" s="166"/>
    </row>
    <row r="116" spans="1:5">
      <c r="A116" s="39"/>
      <c r="B116" s="166"/>
      <c r="C116" s="166"/>
      <c r="D116" s="166"/>
      <c r="E116" s="166"/>
    </row>
    <row r="117" spans="1:5">
      <c r="A117" s="39"/>
      <c r="B117" s="166"/>
      <c r="C117" s="166"/>
      <c r="D117" s="166"/>
      <c r="E117" s="166"/>
    </row>
    <row r="118" spans="1:5">
      <c r="A118" s="39"/>
      <c r="B118" s="166"/>
      <c r="C118" s="166"/>
      <c r="D118" s="166"/>
      <c r="E118" s="166"/>
    </row>
    <row r="119" spans="1:5">
      <c r="A119" s="39"/>
      <c r="B119" s="166"/>
      <c r="C119" s="166"/>
      <c r="D119" s="166"/>
      <c r="E119" s="166"/>
    </row>
    <row r="120" spans="1:5">
      <c r="A120" s="39"/>
      <c r="B120" s="166"/>
      <c r="C120" s="166"/>
      <c r="D120" s="166"/>
      <c r="E120" s="166"/>
    </row>
    <row r="121" spans="1:5">
      <c r="A121" s="39"/>
      <c r="B121" s="166"/>
      <c r="C121" s="166"/>
      <c r="D121" s="166"/>
      <c r="E121" s="166"/>
    </row>
    <row r="122" spans="1:5">
      <c r="A122" s="39"/>
      <c r="B122" s="166"/>
      <c r="C122" s="166"/>
      <c r="D122" s="166"/>
      <c r="E122" s="166"/>
    </row>
    <row r="123" spans="1:5">
      <c r="A123" s="39"/>
      <c r="B123" s="166"/>
      <c r="C123" s="166"/>
      <c r="D123" s="166"/>
      <c r="E123" s="166"/>
    </row>
    <row r="124" spans="1:5">
      <c r="A124" s="39"/>
      <c r="B124" s="166"/>
      <c r="C124" s="166"/>
      <c r="D124" s="166"/>
      <c r="E124" s="166"/>
    </row>
    <row r="125" spans="1:5">
      <c r="A125" s="39"/>
      <c r="B125" s="166"/>
      <c r="C125" s="166"/>
      <c r="D125" s="166"/>
      <c r="E125" s="166"/>
    </row>
    <row r="126" spans="1:5">
      <c r="A126" s="39"/>
      <c r="B126" s="166"/>
      <c r="C126" s="166"/>
      <c r="D126" s="166"/>
      <c r="E126" s="166"/>
    </row>
    <row r="127" spans="1:5">
      <c r="A127" s="39"/>
      <c r="B127" s="166"/>
      <c r="C127" s="166"/>
      <c r="D127" s="166"/>
      <c r="E127" s="166"/>
    </row>
    <row r="128" spans="1:5">
      <c r="A128" s="39"/>
      <c r="B128" s="166"/>
      <c r="C128" s="166"/>
      <c r="D128" s="166"/>
      <c r="E128" s="166"/>
    </row>
    <row r="129" spans="1:5">
      <c r="A129" s="39"/>
      <c r="B129" s="166"/>
      <c r="C129" s="166"/>
      <c r="D129" s="166"/>
      <c r="E129" s="166"/>
    </row>
    <row r="130" spans="1:5">
      <c r="A130" s="39"/>
      <c r="B130" s="166"/>
      <c r="C130" s="166"/>
      <c r="D130" s="166"/>
      <c r="E130" s="166"/>
    </row>
    <row r="131" spans="1:5">
      <c r="A131" s="39"/>
      <c r="B131" s="166"/>
      <c r="C131" s="166"/>
      <c r="D131" s="166"/>
      <c r="E131" s="166"/>
    </row>
    <row r="132" spans="1:5">
      <c r="A132" s="39"/>
      <c r="B132" s="166"/>
      <c r="C132" s="166"/>
      <c r="D132" s="166"/>
      <c r="E132" s="166"/>
    </row>
    <row r="133" spans="1:5">
      <c r="A133" s="39"/>
      <c r="B133" s="166"/>
      <c r="C133" s="166"/>
      <c r="D133" s="166"/>
      <c r="E133" s="166"/>
    </row>
    <row r="134" spans="1:5">
      <c r="A134" s="39"/>
      <c r="B134" s="166"/>
      <c r="C134" s="166"/>
      <c r="D134" s="166"/>
      <c r="E134" s="166"/>
    </row>
    <row r="135" spans="1:5">
      <c r="A135" s="39"/>
      <c r="B135" s="166"/>
      <c r="C135" s="166"/>
      <c r="D135" s="166"/>
      <c r="E135" s="166"/>
    </row>
    <row r="136" spans="1:5">
      <c r="A136" s="39"/>
      <c r="B136" s="166"/>
      <c r="C136" s="166"/>
      <c r="D136" s="166"/>
      <c r="E136" s="166"/>
    </row>
    <row r="137" spans="1:5">
      <c r="A137" s="39"/>
      <c r="B137" s="166"/>
      <c r="C137" s="166"/>
      <c r="D137" s="166"/>
      <c r="E137" s="166"/>
    </row>
    <row r="138" spans="1:5">
      <c r="A138" s="39"/>
      <c r="B138" s="166"/>
      <c r="C138" s="166"/>
      <c r="D138" s="166"/>
      <c r="E138" s="166"/>
    </row>
    <row r="139" spans="1:5">
      <c r="A139" s="39"/>
      <c r="B139" s="166"/>
      <c r="C139" s="166"/>
      <c r="D139" s="166"/>
      <c r="E139" s="166"/>
    </row>
    <row r="140" spans="1:5">
      <c r="A140" s="39"/>
      <c r="B140" s="166"/>
      <c r="C140" s="166"/>
      <c r="D140" s="166"/>
      <c r="E140" s="166"/>
    </row>
    <row r="141" spans="1:5">
      <c r="A141" s="39"/>
      <c r="B141" s="166"/>
      <c r="C141" s="166"/>
      <c r="D141" s="166"/>
      <c r="E141" s="166"/>
    </row>
    <row r="142" spans="1:5">
      <c r="A142" s="39"/>
      <c r="B142" s="166"/>
      <c r="C142" s="166"/>
      <c r="D142" s="166"/>
      <c r="E142" s="166"/>
    </row>
    <row r="143" spans="1:5">
      <c r="A143" s="39"/>
      <c r="B143" s="166"/>
      <c r="C143" s="166"/>
      <c r="D143" s="166"/>
      <c r="E143" s="166"/>
    </row>
    <row r="144" spans="1:5">
      <c r="A144" s="39"/>
      <c r="B144" s="166"/>
      <c r="C144" s="166"/>
      <c r="D144" s="166"/>
      <c r="E144" s="166"/>
    </row>
    <row r="145" spans="1:5">
      <c r="A145" s="39"/>
      <c r="B145" s="166"/>
      <c r="C145" s="166"/>
      <c r="D145" s="166"/>
      <c r="E145" s="166"/>
    </row>
    <row r="146" spans="1:5">
      <c r="A146" s="39"/>
      <c r="B146" s="166"/>
      <c r="C146" s="166"/>
      <c r="D146" s="166"/>
      <c r="E146" s="166"/>
    </row>
    <row r="147" spans="1:5">
      <c r="A147" s="39"/>
      <c r="B147" s="166"/>
      <c r="C147" s="166"/>
      <c r="D147" s="166"/>
      <c r="E147" s="166"/>
    </row>
    <row r="148" spans="1:5">
      <c r="A148" s="39"/>
      <c r="B148" s="166"/>
      <c r="C148" s="166"/>
      <c r="D148" s="166"/>
      <c r="E148" s="166"/>
    </row>
    <row r="149" spans="1:5">
      <c r="A149" s="39"/>
      <c r="B149" s="166"/>
      <c r="C149" s="166"/>
      <c r="D149" s="166"/>
      <c r="E149" s="166"/>
    </row>
    <row r="150" spans="1:5">
      <c r="A150" s="39"/>
      <c r="B150" s="166"/>
      <c r="C150" s="166"/>
      <c r="D150" s="166"/>
      <c r="E150" s="166"/>
    </row>
    <row r="151" spans="1:5">
      <c r="A151" s="39"/>
      <c r="B151" s="166"/>
      <c r="C151" s="166"/>
      <c r="D151" s="166"/>
      <c r="E151" s="166"/>
    </row>
    <row r="152" spans="1:5">
      <c r="A152" s="39"/>
      <c r="B152" s="166"/>
      <c r="C152" s="166"/>
      <c r="D152" s="166"/>
      <c r="E152" s="166"/>
    </row>
    <row r="153" spans="1:5">
      <c r="A153" s="39"/>
      <c r="B153" s="166"/>
      <c r="C153" s="166"/>
      <c r="D153" s="166"/>
      <c r="E153" s="166"/>
    </row>
    <row r="154" spans="1:5">
      <c r="A154" s="39"/>
      <c r="B154" s="166"/>
      <c r="C154" s="166"/>
      <c r="D154" s="166"/>
      <c r="E154" s="166"/>
    </row>
    <row r="155" spans="1:5">
      <c r="A155" s="39"/>
      <c r="B155" s="166"/>
      <c r="C155" s="166"/>
      <c r="D155" s="166"/>
      <c r="E155" s="166"/>
    </row>
    <row r="156" spans="1:5">
      <c r="A156" s="39"/>
      <c r="B156" s="166"/>
      <c r="C156" s="166"/>
      <c r="D156" s="166"/>
      <c r="E156" s="166"/>
    </row>
    <row r="157" spans="1:5">
      <c r="A157" s="39"/>
      <c r="B157" s="166"/>
      <c r="C157" s="166"/>
      <c r="D157" s="166"/>
      <c r="E157" s="166"/>
    </row>
    <row r="158" spans="1:5">
      <c r="A158" s="39"/>
      <c r="B158" s="166"/>
      <c r="C158" s="166"/>
      <c r="D158" s="166"/>
      <c r="E158" s="166"/>
    </row>
    <row r="159" spans="1:5">
      <c r="A159" s="39"/>
      <c r="B159" s="166"/>
      <c r="C159" s="166"/>
      <c r="D159" s="166"/>
      <c r="E159" s="166"/>
    </row>
    <row r="160" spans="1:5">
      <c r="A160" s="39"/>
      <c r="B160" s="166"/>
      <c r="C160" s="166"/>
      <c r="D160" s="166"/>
      <c r="E160" s="166"/>
    </row>
    <row r="161" spans="1:5">
      <c r="A161" s="39"/>
      <c r="B161" s="166"/>
      <c r="C161" s="166"/>
      <c r="D161" s="166"/>
      <c r="E161" s="166"/>
    </row>
    <row r="162" spans="1:5">
      <c r="A162" s="39"/>
      <c r="B162" s="166"/>
      <c r="C162" s="166"/>
      <c r="D162" s="166"/>
      <c r="E162" s="166"/>
    </row>
    <row r="163" spans="1:5">
      <c r="A163" s="39"/>
      <c r="B163" s="166"/>
      <c r="C163" s="166"/>
      <c r="D163" s="166"/>
      <c r="E163" s="166"/>
    </row>
    <row r="164" spans="1:5">
      <c r="A164" s="39"/>
      <c r="B164" s="166"/>
      <c r="C164" s="166"/>
      <c r="D164" s="166"/>
      <c r="E164" s="166"/>
    </row>
    <row r="165" spans="1:5">
      <c r="A165" s="39"/>
      <c r="B165" s="166"/>
      <c r="C165" s="166"/>
      <c r="D165" s="166"/>
      <c r="E165" s="166"/>
    </row>
    <row r="166" spans="1:5">
      <c r="A166" s="39"/>
      <c r="B166" s="166"/>
      <c r="C166" s="166"/>
      <c r="D166" s="166"/>
      <c r="E166" s="166"/>
    </row>
    <row r="167" spans="1:5">
      <c r="A167" s="39"/>
      <c r="B167" s="166"/>
      <c r="C167" s="166"/>
      <c r="D167" s="166"/>
      <c r="E167" s="166"/>
    </row>
    <row r="168" spans="1:5">
      <c r="A168" s="39"/>
      <c r="B168" s="166"/>
      <c r="C168" s="166"/>
      <c r="D168" s="166"/>
      <c r="E168" s="166"/>
    </row>
    <row r="169" spans="1:5">
      <c r="A169" s="39"/>
      <c r="B169" s="166"/>
      <c r="C169" s="166"/>
      <c r="D169" s="166"/>
      <c r="E169" s="166"/>
    </row>
    <row r="170" spans="1:5">
      <c r="A170" s="39"/>
      <c r="B170" s="166"/>
      <c r="C170" s="166"/>
      <c r="D170" s="166"/>
      <c r="E170" s="166"/>
    </row>
    <row r="171" spans="1:5">
      <c r="A171" s="39"/>
      <c r="B171" s="166"/>
      <c r="C171" s="166"/>
      <c r="D171" s="166"/>
      <c r="E171" s="166"/>
    </row>
    <row r="172" spans="1:5">
      <c r="A172" s="39"/>
      <c r="B172" s="166"/>
      <c r="C172" s="166"/>
      <c r="D172" s="166"/>
      <c r="E172" s="166"/>
    </row>
    <row r="173" spans="1:5">
      <c r="A173" s="39"/>
      <c r="B173" s="166"/>
      <c r="C173" s="166"/>
      <c r="D173" s="166"/>
      <c r="E173" s="166"/>
    </row>
    <row r="174" spans="1:5">
      <c r="A174" s="39"/>
      <c r="B174" s="166"/>
      <c r="C174" s="166"/>
      <c r="D174" s="166"/>
      <c r="E174" s="166"/>
    </row>
    <row r="175" spans="1:5">
      <c r="A175" s="39"/>
      <c r="B175" s="166"/>
      <c r="C175" s="166"/>
      <c r="D175" s="166"/>
      <c r="E175" s="166"/>
    </row>
    <row r="176" spans="1:5">
      <c r="A176" s="39"/>
      <c r="B176" s="166"/>
      <c r="C176" s="166"/>
      <c r="D176" s="166"/>
      <c r="E176" s="166"/>
    </row>
    <row r="177" spans="1:5">
      <c r="A177" s="39"/>
      <c r="B177" s="166"/>
      <c r="C177" s="166"/>
      <c r="D177" s="166"/>
      <c r="E177" s="166"/>
    </row>
    <row r="178" spans="1:5">
      <c r="A178" s="39"/>
      <c r="B178" s="166"/>
      <c r="C178" s="166"/>
      <c r="D178" s="166"/>
      <c r="E178" s="166"/>
    </row>
    <row r="179" spans="1:5">
      <c r="A179" s="39"/>
      <c r="B179" s="166"/>
      <c r="C179" s="166"/>
      <c r="D179" s="166"/>
      <c r="E179" s="166"/>
    </row>
    <row r="180" spans="1:5">
      <c r="A180" s="39"/>
      <c r="B180" s="166"/>
      <c r="C180" s="166"/>
      <c r="D180" s="166"/>
      <c r="E180" s="166"/>
    </row>
    <row r="181" spans="1:5">
      <c r="A181" s="39"/>
      <c r="B181" s="166"/>
      <c r="C181" s="166"/>
      <c r="D181" s="166"/>
      <c r="E181" s="166"/>
    </row>
    <row r="182" spans="1:5">
      <c r="A182" s="39"/>
      <c r="B182" s="166"/>
      <c r="C182" s="166"/>
      <c r="D182" s="166"/>
      <c r="E182" s="166"/>
    </row>
    <row r="183" spans="1:5">
      <c r="A183" s="39"/>
      <c r="B183" s="166"/>
      <c r="C183" s="166"/>
      <c r="D183" s="166"/>
      <c r="E183" s="166"/>
    </row>
    <row r="184" spans="1:5">
      <c r="A184" s="39"/>
      <c r="B184" s="166"/>
      <c r="C184" s="166"/>
      <c r="D184" s="166"/>
      <c r="E184" s="166"/>
    </row>
  </sheetData>
  <mergeCells count="12">
    <mergeCell ref="C17:E17"/>
    <mergeCell ref="G17:I17"/>
    <mergeCell ref="C18:E18"/>
    <mergeCell ref="G18:I18"/>
    <mergeCell ref="A1:I1"/>
    <mergeCell ref="A2:I2"/>
    <mergeCell ref="A3:A4"/>
    <mergeCell ref="B3:B4"/>
    <mergeCell ref="C3:C4"/>
    <mergeCell ref="D3:D4"/>
    <mergeCell ref="E3:E4"/>
    <mergeCell ref="F3:I3"/>
  </mergeCells>
  <pageMargins left="0.31496062992125984" right="0.31496062992125984" top="0.74803149606299213" bottom="0.74803149606299213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J33"/>
  <sheetViews>
    <sheetView topLeftCell="A28" zoomScale="70" zoomScaleNormal="70" workbookViewId="0">
      <selection activeCell="F19" sqref="F19"/>
    </sheetView>
  </sheetViews>
  <sheetFormatPr defaultRowHeight="12.75"/>
  <cols>
    <col min="1" max="1" width="61" style="23" customWidth="1"/>
    <col min="2" max="2" width="19.42578125" style="23" customWidth="1"/>
    <col min="3" max="3" width="25" style="23" customWidth="1"/>
    <col min="4" max="4" width="18.28515625" style="23" customWidth="1"/>
    <col min="5" max="5" width="19.7109375" style="23" customWidth="1"/>
    <col min="6" max="6" width="18.5703125" style="23" customWidth="1"/>
    <col min="7" max="7" width="18.85546875" style="23" customWidth="1"/>
    <col min="8" max="8" width="37.42578125" style="23" customWidth="1"/>
    <col min="9" max="9" width="9.5703125" style="23" customWidth="1"/>
    <col min="10" max="16384" width="9.140625" style="23"/>
  </cols>
  <sheetData>
    <row r="1" spans="1:8" ht="25.5" customHeight="1">
      <c r="A1" s="423" t="s">
        <v>234</v>
      </c>
      <c r="B1" s="423"/>
      <c r="C1" s="423"/>
      <c r="D1" s="423"/>
      <c r="E1" s="423"/>
      <c r="F1" s="423"/>
      <c r="G1" s="423"/>
      <c r="H1" s="423"/>
    </row>
    <row r="2" spans="1:8" ht="16.5" customHeight="1"/>
    <row r="3" spans="1:8" ht="45" customHeight="1">
      <c r="A3" s="424" t="s">
        <v>277</v>
      </c>
      <c r="B3" s="424" t="s">
        <v>0</v>
      </c>
      <c r="C3" s="424" t="s">
        <v>106</v>
      </c>
      <c r="D3" s="424" t="s">
        <v>31</v>
      </c>
      <c r="E3" s="424" t="s">
        <v>107</v>
      </c>
      <c r="F3" s="426" t="s">
        <v>183</v>
      </c>
      <c r="G3" s="424" t="s">
        <v>108</v>
      </c>
      <c r="H3" s="424" t="s">
        <v>109</v>
      </c>
    </row>
    <row r="4" spans="1:8" ht="52.5" customHeight="1">
      <c r="A4" s="425"/>
      <c r="B4" s="425"/>
      <c r="C4" s="425"/>
      <c r="D4" s="425"/>
      <c r="E4" s="425"/>
      <c r="F4" s="427"/>
      <c r="G4" s="425"/>
      <c r="H4" s="425"/>
    </row>
    <row r="5" spans="1:8" s="46" customFormat="1" ht="18" customHeight="1">
      <c r="A5" s="296">
        <v>1</v>
      </c>
      <c r="B5" s="296">
        <v>2</v>
      </c>
      <c r="C5" s="296">
        <v>3</v>
      </c>
      <c r="D5" s="296">
        <v>4</v>
      </c>
      <c r="E5" s="296">
        <v>5</v>
      </c>
      <c r="F5" s="296">
        <v>6</v>
      </c>
      <c r="G5" s="296">
        <v>7</v>
      </c>
      <c r="H5" s="296">
        <v>8</v>
      </c>
    </row>
    <row r="6" spans="1:8" s="46" customFormat="1" ht="20.100000000000001" customHeight="1">
      <c r="A6" s="297" t="s">
        <v>206</v>
      </c>
      <c r="B6" s="298"/>
      <c r="C6" s="296"/>
      <c r="D6" s="296"/>
      <c r="E6" s="296"/>
      <c r="F6" s="296"/>
      <c r="G6" s="296"/>
      <c r="H6" s="296"/>
    </row>
    <row r="7" spans="1:8" ht="75">
      <c r="A7" s="266" t="s">
        <v>357</v>
      </c>
      <c r="B7" s="263">
        <v>5000</v>
      </c>
      <c r="C7" s="299" t="s">
        <v>344</v>
      </c>
      <c r="D7" s="300">
        <f>'I. Фін результат'!C49/'I. Фін результат'!C7*100</f>
        <v>5.415225611971632</v>
      </c>
      <c r="E7" s="300">
        <v>0.05</v>
      </c>
      <c r="F7" s="300">
        <f>'осн. фин пок'!F84*100/'осн. фин пок'!F82</f>
        <v>2.5447517983125372</v>
      </c>
      <c r="G7" s="300">
        <f>'осн. фин пок'!E84*100/'осн. фин пок'!E82</f>
        <v>6.2358490566037785</v>
      </c>
      <c r="H7" s="301"/>
    </row>
    <row r="8" spans="1:8" ht="63.95" customHeight="1">
      <c r="A8" s="266" t="s">
        <v>358</v>
      </c>
      <c r="B8" s="263">
        <v>5010</v>
      </c>
      <c r="C8" s="299" t="s">
        <v>344</v>
      </c>
      <c r="D8" s="302">
        <f>'I. Фін результат'!C153/'I. Фін результат'!C7*100</f>
        <v>24.071108479457401</v>
      </c>
      <c r="E8" s="302">
        <v>0.249</v>
      </c>
      <c r="F8" s="300">
        <f>'I. Фін результат'!E153/'I. Фін результат'!E7*100</f>
        <v>23.720712626200871</v>
      </c>
      <c r="G8" s="300">
        <f>'осн. фин пок'!E89*100/'осн. фин пок'!E82</f>
        <v>27.240283453612733</v>
      </c>
      <c r="H8" s="301"/>
    </row>
    <row r="9" spans="1:8" ht="56.25">
      <c r="A9" s="303" t="s">
        <v>364</v>
      </c>
      <c r="B9" s="263">
        <v>5020</v>
      </c>
      <c r="C9" s="299" t="s">
        <v>344</v>
      </c>
      <c r="D9" s="302">
        <f>'осн. фин пок'!C95/'осн. фин пок'!C121</f>
        <v>4.6573519627411842E-3</v>
      </c>
      <c r="E9" s="302">
        <v>5.0000000000000001E-3</v>
      </c>
      <c r="F9" s="302">
        <f>'I. Фін результат'!E137/'осн. фин пок'!F121</f>
        <v>2.1097294836167312E-3</v>
      </c>
      <c r="G9" s="302">
        <f>'I. Фін результат'!I137/'осн. фин пок'!E121</f>
        <v>5.1447178002894667E-3</v>
      </c>
      <c r="H9" s="301" t="s">
        <v>345</v>
      </c>
    </row>
    <row r="10" spans="1:8" ht="56.25">
      <c r="A10" s="303" t="s">
        <v>365</v>
      </c>
      <c r="B10" s="263">
        <v>5030</v>
      </c>
      <c r="C10" s="299" t="s">
        <v>344</v>
      </c>
      <c r="D10" s="302">
        <f>'осн. фин пок'!C95/'осн. фин пок'!C127</f>
        <v>4.9842335469433424E-3</v>
      </c>
      <c r="E10" s="302">
        <v>6.0000000000000001E-3</v>
      </c>
      <c r="F10" s="302">
        <f>'I. Фін результат'!E137/'осн. фин пок'!F127</f>
        <v>2.4140269562600855E-3</v>
      </c>
      <c r="G10" s="302">
        <f>'I. Фін результат'!I137/'осн. фин пок'!E127</f>
        <v>6.1362459484858734E-3</v>
      </c>
      <c r="H10" s="301"/>
    </row>
    <row r="11" spans="1:8" ht="75">
      <c r="A11" s="303" t="s">
        <v>366</v>
      </c>
      <c r="B11" s="263">
        <v>5040</v>
      </c>
      <c r="C11" s="299" t="s">
        <v>110</v>
      </c>
      <c r="D11" s="302">
        <f>'осн. фин пок'!C95/'осн. фин пок'!C82</f>
        <v>6.5940868535439854E-3</v>
      </c>
      <c r="E11" s="302">
        <v>1.0999999999999999E-2</v>
      </c>
      <c r="F11" s="302">
        <f>'I. Фін результат'!E137/'I. Фін результат'!E7</f>
        <v>2.8576289388759914E-3</v>
      </c>
      <c r="G11" s="302">
        <f>'I. Фін результат'!I137/'I. Фін результат'!I7</f>
        <v>8.3457960177376386E-3</v>
      </c>
      <c r="H11" s="301" t="s">
        <v>346</v>
      </c>
    </row>
    <row r="12" spans="1:8" ht="20.100000000000001" customHeight="1">
      <c r="A12" s="297" t="s">
        <v>208</v>
      </c>
      <c r="B12" s="263"/>
      <c r="C12" s="304"/>
      <c r="D12" s="305"/>
      <c r="E12" s="306"/>
      <c r="F12" s="305"/>
      <c r="G12" s="305"/>
      <c r="H12" s="301"/>
    </row>
    <row r="13" spans="1:8" ht="63.95" customHeight="1">
      <c r="A13" s="307" t="s">
        <v>315</v>
      </c>
      <c r="B13" s="263">
        <v>5100</v>
      </c>
      <c r="C13" s="299"/>
      <c r="D13" s="300">
        <f>'осн. фин пок'!C89/'осн. фин пок'!C124</f>
        <v>2.59231884057971</v>
      </c>
      <c r="E13" s="300">
        <v>426.09</v>
      </c>
      <c r="F13" s="300">
        <f>('осн. фин пок'!F122+'осн. фин пок'!F123)/'I. Фін результат'!E153</f>
        <v>0.71979290405002572</v>
      </c>
      <c r="G13" s="300">
        <f>('осн. фин пок'!E122+'осн. фин пок'!E123)/'I. Фін результат'!I153</f>
        <v>0.96226984220715261</v>
      </c>
      <c r="H13" s="301"/>
    </row>
    <row r="14" spans="1:8" s="46" customFormat="1" ht="75">
      <c r="A14" s="307" t="s">
        <v>316</v>
      </c>
      <c r="B14" s="263">
        <v>5110</v>
      </c>
      <c r="C14" s="299" t="s">
        <v>193</v>
      </c>
      <c r="D14" s="300">
        <f>'осн. фин пок'!C127/'осн. фин пок'!C124</f>
        <v>14.247826086956522</v>
      </c>
      <c r="E14" s="300">
        <v>6.93</v>
      </c>
      <c r="F14" s="300">
        <f>'осн. фин пок'!F127/('осн. фин пок'!F122+'осн. фин пок'!F123)</f>
        <v>6.9331153666510978</v>
      </c>
      <c r="G14" s="300">
        <f>'осн. фин пок'!E127/('осн. фин пок'!E122+'осн. фин пок'!E123)</f>
        <v>5.1886754900985173</v>
      </c>
      <c r="H14" s="301" t="s">
        <v>347</v>
      </c>
    </row>
    <row r="15" spans="1:8" s="46" customFormat="1" ht="112.5">
      <c r="A15" s="307" t="s">
        <v>317</v>
      </c>
      <c r="B15" s="263">
        <v>5120</v>
      </c>
      <c r="C15" s="299" t="s">
        <v>193</v>
      </c>
      <c r="D15" s="300">
        <f>'осн. фин пок'!C119/'осн. фин пок'!C123</f>
        <v>2.2717916731638859</v>
      </c>
      <c r="E15" s="300">
        <v>1.61</v>
      </c>
      <c r="F15" s="300">
        <f>'осн. фин пок'!F119/'осн. фин пок'!F123</f>
        <v>2.941522652965904</v>
      </c>
      <c r="G15" s="300">
        <f>'осн. фин пок'!E119/'осн. фин пок'!E123</f>
        <v>3.8310575542088485</v>
      </c>
      <c r="H15" s="301" t="s">
        <v>349</v>
      </c>
    </row>
    <row r="16" spans="1:8" ht="20.100000000000001" customHeight="1">
      <c r="A16" s="297" t="s">
        <v>207</v>
      </c>
      <c r="B16" s="263"/>
      <c r="C16" s="299"/>
      <c r="D16" s="300"/>
      <c r="E16" s="308"/>
      <c r="F16" s="300"/>
      <c r="G16" s="300"/>
      <c r="H16" s="301"/>
    </row>
    <row r="17" spans="1:10" ht="56.25">
      <c r="A17" s="307" t="s">
        <v>318</v>
      </c>
      <c r="B17" s="263">
        <v>5200</v>
      </c>
      <c r="C17" s="299"/>
      <c r="D17" s="300">
        <f>'осн. фин пок'!C112/'I. Фін результат'!C160</f>
        <v>0.78178379336840242</v>
      </c>
      <c r="E17" s="300">
        <v>7.0000000000000007E-2</v>
      </c>
      <c r="F17" s="300">
        <f>'IV. Кап. інвестиції1'!E6/'I. Фін результат'!E160</f>
        <v>0.302363347384424</v>
      </c>
      <c r="G17" s="300">
        <f>'IV. Кап. інвестиції1'!I6/'I. Фін результат'!I160</f>
        <v>0.26950770599894824</v>
      </c>
      <c r="H17" s="301"/>
    </row>
    <row r="18" spans="1:10" ht="75">
      <c r="A18" s="307" t="s">
        <v>319</v>
      </c>
      <c r="B18" s="263">
        <v>5210</v>
      </c>
      <c r="C18" s="299"/>
      <c r="D18" s="300">
        <f>'осн. фин пок'!C112/'осн. фин пок'!C82</f>
        <v>0.17799997308535978</v>
      </c>
      <c r="E18" s="300">
        <v>0.02</v>
      </c>
      <c r="F18" s="300">
        <f>'IV. Кап. інвестиції1'!E6/'I. Фін результат'!E7</f>
        <v>6.9787286076568505E-2</v>
      </c>
      <c r="G18" s="300">
        <f>'IV. Кап. інвестиції1'!I6/'I. Фін результат'!I7</f>
        <v>6.9515694287453259E-2</v>
      </c>
      <c r="H18" s="301"/>
    </row>
    <row r="19" spans="1:10" ht="63.95" customHeight="1">
      <c r="A19" s="307" t="s">
        <v>359</v>
      </c>
      <c r="B19" s="263">
        <v>5220</v>
      </c>
      <c r="C19" s="299" t="s">
        <v>344</v>
      </c>
      <c r="D19" s="308">
        <v>0.42</v>
      </c>
      <c r="E19" s="308">
        <v>0.41</v>
      </c>
      <c r="F19" s="308">
        <f>'I. Фін результат'!E13/'I. Фін результат'!E12</f>
        <v>0.13257927691375479</v>
      </c>
      <c r="G19" s="308">
        <f>'I. Фін результат'!I13/'I. Фін результат'!I12</f>
        <v>0.13484950346708668</v>
      </c>
      <c r="H19" s="301" t="s">
        <v>348</v>
      </c>
    </row>
    <row r="20" spans="1:10" ht="20.100000000000001" customHeight="1">
      <c r="A20" s="298" t="s">
        <v>295</v>
      </c>
      <c r="B20" s="263"/>
      <c r="C20" s="299"/>
      <c r="D20" s="300"/>
      <c r="E20" s="308"/>
      <c r="F20" s="300"/>
      <c r="G20" s="300"/>
      <c r="H20" s="301"/>
    </row>
    <row r="21" spans="1:10" ht="112.5">
      <c r="A21" s="303" t="s">
        <v>360</v>
      </c>
      <c r="B21" s="263">
        <v>5300</v>
      </c>
      <c r="C21" s="299"/>
      <c r="D21" s="308"/>
      <c r="E21" s="308"/>
      <c r="F21" s="308"/>
      <c r="G21" s="308"/>
      <c r="H21" s="309"/>
    </row>
    <row r="22" spans="1:10" ht="20.100000000000001" customHeight="1">
      <c r="A22" s="115"/>
      <c r="B22" s="115"/>
      <c r="C22" s="115"/>
      <c r="D22" s="115"/>
      <c r="E22" s="115"/>
      <c r="F22" s="115"/>
      <c r="G22" s="115"/>
      <c r="H22" s="115"/>
    </row>
    <row r="23" spans="1:10" ht="20.100000000000001" customHeight="1">
      <c r="A23" s="115"/>
      <c r="B23" s="115"/>
      <c r="C23" s="115"/>
      <c r="D23" s="115"/>
      <c r="E23" s="115"/>
      <c r="F23" s="115"/>
      <c r="G23" s="115"/>
      <c r="H23" s="115"/>
    </row>
    <row r="24" spans="1:10" ht="20.100000000000001" customHeight="1">
      <c r="A24" s="115"/>
      <c r="B24" s="115"/>
      <c r="C24" s="115"/>
      <c r="D24" s="115"/>
      <c r="E24" s="115"/>
      <c r="F24" s="115"/>
      <c r="G24" s="115"/>
      <c r="H24" s="115"/>
    </row>
    <row r="25" spans="1:10" ht="20.100000000000001" customHeight="1">
      <c r="A25" s="115"/>
      <c r="B25" s="115"/>
      <c r="C25" s="115"/>
      <c r="D25" s="115"/>
      <c r="E25" s="115"/>
      <c r="F25" s="115"/>
      <c r="G25" s="115"/>
      <c r="H25" s="115"/>
    </row>
    <row r="26" spans="1:10" ht="20.100000000000001" customHeight="1">
      <c r="A26" s="115"/>
      <c r="B26" s="115"/>
      <c r="C26" s="115"/>
      <c r="D26" s="115"/>
      <c r="E26" s="115"/>
      <c r="F26" s="115"/>
      <c r="G26" s="115"/>
      <c r="H26" s="115"/>
    </row>
    <row r="27" spans="1:10" s="2" customFormat="1" ht="20.100000000000001" customHeight="1">
      <c r="A27" s="150" t="s">
        <v>603</v>
      </c>
      <c r="B27" s="100"/>
      <c r="C27" s="101"/>
      <c r="D27" s="382" t="s">
        <v>115</v>
      </c>
      <c r="E27" s="383"/>
      <c r="F27" s="383"/>
      <c r="G27" s="383"/>
      <c r="H27" s="148" t="s">
        <v>604</v>
      </c>
    </row>
    <row r="28" spans="1:10" s="1" customFormat="1" ht="20.100000000000001" customHeight="1">
      <c r="A28" s="73" t="s">
        <v>80</v>
      </c>
      <c r="B28" s="116"/>
      <c r="C28" s="72"/>
      <c r="D28" s="365" t="s">
        <v>81</v>
      </c>
      <c r="E28" s="365"/>
      <c r="F28" s="365"/>
      <c r="G28" s="365"/>
      <c r="H28" s="108" t="s">
        <v>274</v>
      </c>
      <c r="I28" s="44"/>
      <c r="J28" s="44"/>
    </row>
    <row r="29" spans="1:10">
      <c r="A29" s="115"/>
      <c r="B29" s="115"/>
      <c r="C29" s="115"/>
      <c r="D29" s="115"/>
      <c r="E29" s="115"/>
      <c r="F29" s="115"/>
      <c r="G29" s="115"/>
      <c r="H29" s="115"/>
    </row>
    <row r="30" spans="1:10">
      <c r="A30" s="115"/>
      <c r="B30" s="115"/>
      <c r="C30" s="115"/>
      <c r="D30" s="115"/>
      <c r="E30" s="115"/>
      <c r="F30" s="115"/>
      <c r="G30" s="115"/>
      <c r="H30" s="115"/>
    </row>
    <row r="31" spans="1:10">
      <c r="A31" s="115"/>
      <c r="B31" s="115"/>
      <c r="C31" s="115"/>
      <c r="D31" s="115"/>
      <c r="E31" s="115"/>
      <c r="F31" s="115"/>
      <c r="G31" s="115"/>
      <c r="H31" s="115"/>
    </row>
    <row r="32" spans="1:10">
      <c r="A32" s="115"/>
      <c r="B32" s="115"/>
      <c r="C32" s="115"/>
      <c r="D32" s="115"/>
      <c r="E32" s="115"/>
      <c r="F32" s="115"/>
      <c r="G32" s="115"/>
      <c r="H32" s="115"/>
    </row>
    <row r="33" spans="1:8">
      <c r="A33" s="115"/>
      <c r="B33" s="115"/>
      <c r="C33" s="115"/>
      <c r="D33" s="115"/>
      <c r="E33" s="115"/>
      <c r="F33" s="115"/>
      <c r="G33" s="115"/>
      <c r="H33" s="115"/>
    </row>
  </sheetData>
  <mergeCells count="11">
    <mergeCell ref="D27:G27"/>
    <mergeCell ref="D28:G28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honeticPr fontId="3" type="noConversion"/>
  <pageMargins left="0.31496062992125984" right="0.31496062992125984" top="0.55118110236220474" bottom="0.35433070866141736" header="0" footer="0"/>
  <pageSetup paperSize="9"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R93"/>
  <sheetViews>
    <sheetView topLeftCell="A43" zoomScale="80" zoomScaleNormal="80" zoomScaleSheetLayoutView="75" workbookViewId="0">
      <selection activeCell="A29" sqref="A29:K29"/>
    </sheetView>
  </sheetViews>
  <sheetFormatPr defaultRowHeight="18.75"/>
  <cols>
    <col min="1" max="1" width="44.85546875" style="1" customWidth="1"/>
    <col min="2" max="2" width="13.5703125" style="11" customWidth="1"/>
    <col min="3" max="3" width="12.7109375" style="1" customWidth="1"/>
    <col min="4" max="4" width="16.140625" style="1" customWidth="1"/>
    <col min="5" max="5" width="15.42578125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5" width="16.7109375" style="1" customWidth="1"/>
    <col min="16" max="16" width="11.85546875" style="1" hidden="1" customWidth="1"/>
    <col min="17" max="17" width="0" style="1" hidden="1" customWidth="1"/>
    <col min="18" max="18" width="11.28515625" style="1" bestFit="1" customWidth="1"/>
    <col min="19" max="16384" width="9.140625" style="1"/>
  </cols>
  <sheetData>
    <row r="1" spans="1:16">
      <c r="A1" s="481" t="s">
        <v>134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</row>
    <row r="2" spans="1:16">
      <c r="A2" s="481" t="s">
        <v>605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</row>
    <row r="3" spans="1:16" ht="20.25">
      <c r="A3" s="482" t="s">
        <v>557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</row>
    <row r="4" spans="1:16" ht="20.100000000000001" customHeight="1">
      <c r="A4" s="483" t="s">
        <v>147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</row>
    <row r="5" spans="1:16">
      <c r="A5" s="484" t="s">
        <v>529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</row>
    <row r="6" spans="1:16" ht="55.5" customHeight="1">
      <c r="A6" s="477" t="s">
        <v>617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</row>
    <row r="7" spans="1:16" ht="51.75" customHeight="1">
      <c r="A7" s="478" t="s">
        <v>620</v>
      </c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</row>
    <row r="8" spans="1:16" ht="31.5" customHeight="1">
      <c r="A8" s="480" t="s">
        <v>614</v>
      </c>
      <c r="B8" s="480"/>
      <c r="C8" s="480"/>
      <c r="D8" s="480"/>
      <c r="E8" s="480"/>
      <c r="F8" s="210">
        <v>12036.85</v>
      </c>
      <c r="G8" s="188" t="s">
        <v>530</v>
      </c>
      <c r="H8" s="152"/>
      <c r="I8" s="152"/>
      <c r="J8" s="152"/>
      <c r="K8" s="152"/>
      <c r="L8" s="152"/>
      <c r="M8" s="152"/>
      <c r="N8" s="152"/>
      <c r="O8" s="152"/>
    </row>
    <row r="9" spans="1:16" ht="31.5" customHeight="1">
      <c r="A9" s="480" t="s">
        <v>615</v>
      </c>
      <c r="B9" s="480"/>
      <c r="C9" s="480"/>
      <c r="D9" s="480"/>
      <c r="E9" s="480"/>
      <c r="F9" s="210">
        <f>24271/12/157*1000</f>
        <v>12882.696390658173</v>
      </c>
      <c r="G9" s="188" t="s">
        <v>530</v>
      </c>
      <c r="H9" s="152"/>
      <c r="I9" s="152"/>
      <c r="J9" s="152"/>
      <c r="K9" s="152"/>
      <c r="L9" s="152"/>
      <c r="M9" s="152"/>
      <c r="N9" s="152"/>
      <c r="O9" s="152"/>
    </row>
    <row r="10" spans="1:16" ht="16.5" customHeight="1">
      <c r="A10" s="485" t="s">
        <v>350</v>
      </c>
      <c r="B10" s="485"/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5"/>
    </row>
    <row r="11" spans="1:16" ht="16.5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</row>
    <row r="12" spans="1:16" s="186" customFormat="1" ht="40.5" customHeight="1">
      <c r="A12" s="378" t="s">
        <v>277</v>
      </c>
      <c r="B12" s="378"/>
      <c r="C12" s="378"/>
      <c r="D12" s="379" t="s">
        <v>149</v>
      </c>
      <c r="E12" s="379"/>
      <c r="F12" s="379" t="s">
        <v>31</v>
      </c>
      <c r="G12" s="379"/>
      <c r="H12" s="379" t="s">
        <v>67</v>
      </c>
      <c r="I12" s="379"/>
      <c r="J12" s="379" t="s">
        <v>150</v>
      </c>
      <c r="K12" s="379"/>
      <c r="L12" s="379" t="s">
        <v>298</v>
      </c>
      <c r="M12" s="379"/>
      <c r="N12" s="379" t="s">
        <v>299</v>
      </c>
      <c r="O12" s="379"/>
      <c r="P12" s="231"/>
    </row>
    <row r="13" spans="1:16" s="186" customFormat="1" ht="18" customHeight="1">
      <c r="A13" s="378">
        <v>1</v>
      </c>
      <c r="B13" s="378"/>
      <c r="C13" s="378"/>
      <c r="D13" s="379">
        <v>2</v>
      </c>
      <c r="E13" s="379"/>
      <c r="F13" s="379">
        <v>3</v>
      </c>
      <c r="G13" s="379"/>
      <c r="H13" s="379">
        <v>4</v>
      </c>
      <c r="I13" s="379"/>
      <c r="J13" s="379">
        <v>5</v>
      </c>
      <c r="K13" s="379"/>
      <c r="L13" s="379">
        <v>6</v>
      </c>
      <c r="M13" s="379"/>
      <c r="N13" s="379">
        <v>7</v>
      </c>
      <c r="O13" s="379"/>
      <c r="P13" s="231"/>
    </row>
    <row r="14" spans="1:16" s="186" customFormat="1" ht="20.100000000000001" customHeight="1">
      <c r="A14" s="372" t="s">
        <v>148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4"/>
      <c r="L14" s="474"/>
      <c r="M14" s="475"/>
      <c r="N14" s="474"/>
      <c r="O14" s="475"/>
      <c r="P14" s="231"/>
    </row>
    <row r="15" spans="1:16" s="186" customFormat="1" ht="20.100000000000001" customHeight="1">
      <c r="A15" s="476" t="s">
        <v>320</v>
      </c>
      <c r="B15" s="476"/>
      <c r="C15" s="476"/>
      <c r="D15" s="472">
        <v>18</v>
      </c>
      <c r="E15" s="473"/>
      <c r="F15" s="472">
        <v>17</v>
      </c>
      <c r="G15" s="473"/>
      <c r="H15" s="472">
        <v>18</v>
      </c>
      <c r="I15" s="473"/>
      <c r="J15" s="472">
        <v>18</v>
      </c>
      <c r="K15" s="473"/>
      <c r="L15" s="430">
        <f>J15/H15*100%</f>
        <v>1</v>
      </c>
      <c r="M15" s="431"/>
      <c r="N15" s="430">
        <f>J15/F15*100%</f>
        <v>1.0588235294117647</v>
      </c>
      <c r="O15" s="431"/>
      <c r="P15" s="231"/>
    </row>
    <row r="16" spans="1:16" s="186" customFormat="1" ht="20.100000000000001" customHeight="1">
      <c r="A16" s="476" t="s">
        <v>321</v>
      </c>
      <c r="B16" s="476"/>
      <c r="C16" s="476"/>
      <c r="D16" s="472">
        <v>15</v>
      </c>
      <c r="E16" s="473"/>
      <c r="F16" s="472">
        <v>14</v>
      </c>
      <c r="G16" s="473"/>
      <c r="H16" s="472">
        <v>17</v>
      </c>
      <c r="I16" s="473"/>
      <c r="J16" s="472">
        <v>17</v>
      </c>
      <c r="K16" s="473"/>
      <c r="L16" s="430">
        <f t="shared" ref="L16:L36" si="0">J16/H16*100%</f>
        <v>1</v>
      </c>
      <c r="M16" s="431"/>
      <c r="N16" s="430">
        <f t="shared" ref="N16:N36" si="1">J16/F16*100%</f>
        <v>1.2142857142857142</v>
      </c>
      <c r="O16" s="431"/>
      <c r="P16" s="231"/>
    </row>
    <row r="17" spans="1:18" s="186" customFormat="1" ht="20.100000000000001" customHeight="1">
      <c r="A17" s="476" t="s">
        <v>322</v>
      </c>
      <c r="B17" s="476"/>
      <c r="C17" s="476"/>
      <c r="D17" s="472">
        <v>2</v>
      </c>
      <c r="E17" s="473"/>
      <c r="F17" s="472">
        <v>3</v>
      </c>
      <c r="G17" s="473"/>
      <c r="H17" s="472">
        <v>2</v>
      </c>
      <c r="I17" s="473"/>
      <c r="J17" s="472">
        <v>2</v>
      </c>
      <c r="K17" s="473"/>
      <c r="L17" s="430">
        <f t="shared" si="0"/>
        <v>1</v>
      </c>
      <c r="M17" s="431"/>
      <c r="N17" s="430">
        <f t="shared" si="1"/>
        <v>0.66666666666666663</v>
      </c>
      <c r="O17" s="431"/>
      <c r="P17" s="231"/>
    </row>
    <row r="18" spans="1:18" s="186" customFormat="1" ht="20.100000000000001" customHeight="1">
      <c r="A18" s="476" t="s">
        <v>323</v>
      </c>
      <c r="B18" s="476"/>
      <c r="C18" s="476"/>
      <c r="D18" s="472">
        <v>3</v>
      </c>
      <c r="E18" s="473"/>
      <c r="F18" s="472">
        <v>2</v>
      </c>
      <c r="G18" s="473"/>
      <c r="H18" s="472">
        <v>3</v>
      </c>
      <c r="I18" s="473"/>
      <c r="J18" s="472">
        <v>3</v>
      </c>
      <c r="K18" s="473"/>
      <c r="L18" s="430">
        <f t="shared" si="0"/>
        <v>1</v>
      </c>
      <c r="M18" s="431"/>
      <c r="N18" s="430">
        <f t="shared" si="1"/>
        <v>1.5</v>
      </c>
      <c r="O18" s="431"/>
      <c r="P18" s="231"/>
    </row>
    <row r="19" spans="1:18" s="186" customFormat="1" ht="20.100000000000001" customHeight="1">
      <c r="A19" s="476" t="s">
        <v>324</v>
      </c>
      <c r="B19" s="476"/>
      <c r="C19" s="476"/>
      <c r="D19" s="472">
        <v>93</v>
      </c>
      <c r="E19" s="473"/>
      <c r="F19" s="472">
        <v>72</v>
      </c>
      <c r="G19" s="473"/>
      <c r="H19" s="472">
        <v>98</v>
      </c>
      <c r="I19" s="473"/>
      <c r="J19" s="472">
        <v>100</v>
      </c>
      <c r="K19" s="473"/>
      <c r="L19" s="430">
        <f t="shared" si="0"/>
        <v>1.0204081632653061</v>
      </c>
      <c r="M19" s="431"/>
      <c r="N19" s="430">
        <f t="shared" si="1"/>
        <v>1.3888888888888888</v>
      </c>
      <c r="O19" s="431"/>
      <c r="P19" s="231"/>
    </row>
    <row r="20" spans="1:18" s="186" customFormat="1" ht="20.100000000000001" customHeight="1">
      <c r="A20" s="476" t="s">
        <v>325</v>
      </c>
      <c r="B20" s="476"/>
      <c r="C20" s="476"/>
      <c r="D20" s="472">
        <v>17</v>
      </c>
      <c r="E20" s="473"/>
      <c r="F20" s="472">
        <v>16</v>
      </c>
      <c r="G20" s="473"/>
      <c r="H20" s="472">
        <v>17</v>
      </c>
      <c r="I20" s="473"/>
      <c r="J20" s="472">
        <v>17</v>
      </c>
      <c r="K20" s="473"/>
      <c r="L20" s="430">
        <f t="shared" si="0"/>
        <v>1</v>
      </c>
      <c r="M20" s="431"/>
      <c r="N20" s="430">
        <f t="shared" si="1"/>
        <v>1.0625</v>
      </c>
      <c r="O20" s="431"/>
      <c r="P20" s="231"/>
    </row>
    <row r="21" spans="1:18" s="186" customFormat="1" ht="20.100000000000001" customHeight="1">
      <c r="A21" s="372" t="s">
        <v>296</v>
      </c>
      <c r="B21" s="373"/>
      <c r="C21" s="373"/>
      <c r="D21" s="373"/>
      <c r="E21" s="373"/>
      <c r="F21" s="373"/>
      <c r="G21" s="373"/>
      <c r="H21" s="373"/>
      <c r="I21" s="373"/>
      <c r="J21" s="373"/>
      <c r="K21" s="374"/>
      <c r="L21" s="430"/>
      <c r="M21" s="431"/>
      <c r="N21" s="430"/>
      <c r="O21" s="431"/>
      <c r="P21" s="231"/>
    </row>
    <row r="22" spans="1:18" s="186" customFormat="1" ht="20.100000000000001" customHeight="1">
      <c r="A22" s="435" t="s">
        <v>275</v>
      </c>
      <c r="B22" s="435"/>
      <c r="C22" s="435"/>
      <c r="D22" s="428">
        <v>260</v>
      </c>
      <c r="E22" s="429"/>
      <c r="F22" s="428">
        <v>343</v>
      </c>
      <c r="G22" s="429"/>
      <c r="H22" s="428">
        <v>297</v>
      </c>
      <c r="I22" s="429"/>
      <c r="J22" s="428">
        <v>356</v>
      </c>
      <c r="K22" s="429"/>
      <c r="L22" s="430">
        <f>J22/H22*100%</f>
        <v>1.1986531986531987</v>
      </c>
      <c r="M22" s="431"/>
      <c r="N22" s="430">
        <f t="shared" si="1"/>
        <v>1.0379008746355685</v>
      </c>
      <c r="O22" s="431"/>
      <c r="P22" s="231"/>
      <c r="R22" s="174"/>
    </row>
    <row r="23" spans="1:18" s="186" customFormat="1" ht="20.100000000000001" customHeight="1">
      <c r="A23" s="435" t="s">
        <v>300</v>
      </c>
      <c r="B23" s="435"/>
      <c r="C23" s="435"/>
      <c r="D23" s="428">
        <v>3967</v>
      </c>
      <c r="E23" s="429"/>
      <c r="F23" s="428">
        <v>2359</v>
      </c>
      <c r="G23" s="429"/>
      <c r="H23" s="428">
        <v>3599</v>
      </c>
      <c r="I23" s="429"/>
      <c r="J23" s="428">
        <v>4370</v>
      </c>
      <c r="K23" s="429"/>
      <c r="L23" s="430">
        <f t="shared" si="0"/>
        <v>1.2142261739372049</v>
      </c>
      <c r="M23" s="431"/>
      <c r="N23" s="430">
        <f t="shared" si="1"/>
        <v>1.8524798643493006</v>
      </c>
      <c r="O23" s="431"/>
      <c r="P23" s="231"/>
    </row>
    <row r="24" spans="1:18" s="186" customFormat="1" ht="20.100000000000001" customHeight="1">
      <c r="A24" s="435" t="s">
        <v>276</v>
      </c>
      <c r="B24" s="435"/>
      <c r="C24" s="435"/>
      <c r="D24" s="428">
        <v>12312</v>
      </c>
      <c r="E24" s="429"/>
      <c r="F24" s="428">
        <v>11976</v>
      </c>
      <c r="G24" s="429"/>
      <c r="H24" s="428">
        <v>15590</v>
      </c>
      <c r="I24" s="429"/>
      <c r="J24" s="428">
        <f>19345</f>
        <v>19345</v>
      </c>
      <c r="K24" s="429"/>
      <c r="L24" s="430">
        <f t="shared" si="0"/>
        <v>1.2408595253367543</v>
      </c>
      <c r="M24" s="431"/>
      <c r="N24" s="430">
        <f t="shared" si="1"/>
        <v>1.6153139612558449</v>
      </c>
      <c r="O24" s="431"/>
      <c r="P24" s="231"/>
    </row>
    <row r="25" spans="1:18" s="186" customFormat="1" ht="20.100000000000001" customHeight="1">
      <c r="A25" s="432" t="s">
        <v>297</v>
      </c>
      <c r="B25" s="433"/>
      <c r="C25" s="433"/>
      <c r="D25" s="433"/>
      <c r="E25" s="433"/>
      <c r="F25" s="433"/>
      <c r="G25" s="433"/>
      <c r="H25" s="433"/>
      <c r="I25" s="433"/>
      <c r="J25" s="433"/>
      <c r="K25" s="434"/>
      <c r="L25" s="430"/>
      <c r="M25" s="431"/>
      <c r="N25" s="430"/>
      <c r="O25" s="431"/>
      <c r="P25" s="231"/>
    </row>
    <row r="26" spans="1:18" s="186" customFormat="1" ht="20.100000000000001" customHeight="1">
      <c r="A26" s="435" t="s">
        <v>275</v>
      </c>
      <c r="B26" s="435"/>
      <c r="C26" s="435"/>
      <c r="D26" s="428">
        <v>317</v>
      </c>
      <c r="E26" s="429"/>
      <c r="F26" s="428">
        <f>F22*1.22</f>
        <v>418.46</v>
      </c>
      <c r="G26" s="429"/>
      <c r="H26" s="428">
        <v>362</v>
      </c>
      <c r="I26" s="429"/>
      <c r="J26" s="428">
        <f>J22*1.22</f>
        <v>434.32</v>
      </c>
      <c r="K26" s="429"/>
      <c r="L26" s="430">
        <f t="shared" si="0"/>
        <v>1.1997790055248618</v>
      </c>
      <c r="M26" s="431"/>
      <c r="N26" s="430">
        <f t="shared" si="1"/>
        <v>1.0379008746355685</v>
      </c>
      <c r="O26" s="431"/>
      <c r="P26" s="231" t="s">
        <v>585</v>
      </c>
      <c r="R26" s="174"/>
    </row>
    <row r="27" spans="1:18" s="186" customFormat="1" ht="20.100000000000001" customHeight="1">
      <c r="A27" s="435" t="s">
        <v>300</v>
      </c>
      <c r="B27" s="435"/>
      <c r="C27" s="435"/>
      <c r="D27" s="428">
        <v>4599</v>
      </c>
      <c r="E27" s="429"/>
      <c r="F27" s="428">
        <v>2833</v>
      </c>
      <c r="G27" s="429"/>
      <c r="H27" s="428">
        <v>4391</v>
      </c>
      <c r="I27" s="429"/>
      <c r="J27" s="428">
        <v>5250</v>
      </c>
      <c r="K27" s="429"/>
      <c r="L27" s="430">
        <f t="shared" si="0"/>
        <v>1.195627419722159</v>
      </c>
      <c r="M27" s="431"/>
      <c r="N27" s="430">
        <f t="shared" si="1"/>
        <v>1.8531591951994353</v>
      </c>
      <c r="O27" s="431"/>
      <c r="P27" s="231" t="s">
        <v>585</v>
      </c>
    </row>
    <row r="28" spans="1:18" s="186" customFormat="1" ht="20.100000000000001" customHeight="1">
      <c r="A28" s="435" t="s">
        <v>276</v>
      </c>
      <c r="B28" s="435"/>
      <c r="C28" s="435"/>
      <c r="D28" s="428">
        <v>15188</v>
      </c>
      <c r="E28" s="429"/>
      <c r="F28" s="428">
        <v>14566</v>
      </c>
      <c r="G28" s="429"/>
      <c r="H28" s="428">
        <v>18906</v>
      </c>
      <c r="I28" s="429"/>
      <c r="J28" s="428">
        <v>23520</v>
      </c>
      <c r="K28" s="429"/>
      <c r="L28" s="430">
        <f t="shared" si="0"/>
        <v>1.244049508092669</v>
      </c>
      <c r="M28" s="431"/>
      <c r="N28" s="430">
        <f t="shared" si="1"/>
        <v>1.6147192091171221</v>
      </c>
      <c r="O28" s="431"/>
      <c r="P28" s="231" t="s">
        <v>585</v>
      </c>
    </row>
    <row r="29" spans="1:18" s="186" customFormat="1" ht="38.25" customHeight="1">
      <c r="A29" s="432" t="s">
        <v>326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4"/>
      <c r="L29" s="430"/>
      <c r="M29" s="431"/>
      <c r="N29" s="430"/>
      <c r="O29" s="431"/>
      <c r="P29" s="231"/>
    </row>
    <row r="30" spans="1:18" s="186" customFormat="1" ht="20.100000000000001" customHeight="1">
      <c r="A30" s="435" t="s">
        <v>275</v>
      </c>
      <c r="B30" s="435"/>
      <c r="C30" s="435"/>
      <c r="D30" s="428">
        <v>21658</v>
      </c>
      <c r="E30" s="429"/>
      <c r="F30" s="428">
        <v>28583</v>
      </c>
      <c r="G30" s="429"/>
      <c r="H30" s="428">
        <v>24748</v>
      </c>
      <c r="I30" s="429"/>
      <c r="J30" s="428">
        <v>29698</v>
      </c>
      <c r="K30" s="429"/>
      <c r="L30" s="430">
        <f t="shared" si="0"/>
        <v>1.2000161629222563</v>
      </c>
      <c r="M30" s="431"/>
      <c r="N30" s="430">
        <f t="shared" si="1"/>
        <v>1.0390092012734842</v>
      </c>
      <c r="O30" s="431"/>
      <c r="P30" s="231" t="s">
        <v>586</v>
      </c>
    </row>
    <row r="31" spans="1:18" s="186" customFormat="1" ht="20.100000000000001" customHeight="1">
      <c r="A31" s="435" t="s">
        <v>300</v>
      </c>
      <c r="B31" s="435"/>
      <c r="C31" s="435"/>
      <c r="D31" s="428">
        <v>9815</v>
      </c>
      <c r="E31" s="429"/>
      <c r="F31" s="428">
        <v>12593</v>
      </c>
      <c r="G31" s="429"/>
      <c r="H31" s="428">
        <v>17089</v>
      </c>
      <c r="I31" s="429"/>
      <c r="J31" s="428">
        <v>17717</v>
      </c>
      <c r="K31" s="429"/>
      <c r="L31" s="430">
        <f t="shared" si="0"/>
        <v>1.0367487857686231</v>
      </c>
      <c r="M31" s="431"/>
      <c r="N31" s="430">
        <f t="shared" si="1"/>
        <v>1.406892718176765</v>
      </c>
      <c r="O31" s="431"/>
      <c r="P31" s="231" t="s">
        <v>586</v>
      </c>
    </row>
    <row r="32" spans="1:18" s="186" customFormat="1" ht="20.100000000000001" customHeight="1">
      <c r="A32" s="435" t="s">
        <v>276</v>
      </c>
      <c r="B32" s="435"/>
      <c r="C32" s="435"/>
      <c r="D32" s="428">
        <v>8213</v>
      </c>
      <c r="E32" s="429"/>
      <c r="F32" s="428">
        <v>8566</v>
      </c>
      <c r="G32" s="429"/>
      <c r="H32" s="428">
        <v>6825</v>
      </c>
      <c r="I32" s="429"/>
      <c r="J32" s="428">
        <f>J24/141/12*1000/135*100</f>
        <v>8469.0482444619556</v>
      </c>
      <c r="K32" s="429"/>
      <c r="L32" s="430">
        <f t="shared" si="0"/>
        <v>1.2408861896647554</v>
      </c>
      <c r="M32" s="431"/>
      <c r="N32" s="430">
        <f t="shared" si="1"/>
        <v>0.98868179365654396</v>
      </c>
      <c r="O32" s="431"/>
      <c r="P32" s="231" t="s">
        <v>586</v>
      </c>
    </row>
    <row r="33" spans="1:16" s="186" customFormat="1" ht="20.100000000000001" customHeight="1">
      <c r="A33" s="432" t="s">
        <v>327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4"/>
      <c r="L33" s="430"/>
      <c r="M33" s="431"/>
      <c r="N33" s="430"/>
      <c r="O33" s="431"/>
      <c r="P33" s="231"/>
    </row>
    <row r="34" spans="1:16" s="186" customFormat="1" ht="20.100000000000001" customHeight="1">
      <c r="A34" s="435" t="s">
        <v>275</v>
      </c>
      <c r="B34" s="435"/>
      <c r="C34" s="435"/>
      <c r="D34" s="428">
        <v>29238</v>
      </c>
      <c r="E34" s="429"/>
      <c r="F34" s="428">
        <v>28583</v>
      </c>
      <c r="G34" s="429"/>
      <c r="H34" s="428">
        <v>24748</v>
      </c>
      <c r="I34" s="429"/>
      <c r="J34" s="428">
        <f>J30</f>
        <v>29698</v>
      </c>
      <c r="K34" s="429"/>
      <c r="L34" s="430">
        <f t="shared" si="0"/>
        <v>1.2000161629222563</v>
      </c>
      <c r="M34" s="431"/>
      <c r="N34" s="430">
        <f t="shared" si="1"/>
        <v>1.0390092012734842</v>
      </c>
      <c r="O34" s="431"/>
      <c r="P34" s="231" t="s">
        <v>587</v>
      </c>
    </row>
    <row r="35" spans="1:16" s="186" customFormat="1" ht="20.100000000000001" customHeight="1">
      <c r="A35" s="435" t="s">
        <v>300</v>
      </c>
      <c r="B35" s="435"/>
      <c r="C35" s="435"/>
      <c r="D35" s="428">
        <v>13250</v>
      </c>
      <c r="E35" s="429"/>
      <c r="F35" s="428">
        <v>12593</v>
      </c>
      <c r="G35" s="429"/>
      <c r="H35" s="428">
        <v>23071</v>
      </c>
      <c r="I35" s="429"/>
      <c r="J35" s="428">
        <v>24275</v>
      </c>
      <c r="K35" s="429"/>
      <c r="L35" s="430">
        <f t="shared" si="0"/>
        <v>1.0521867279268347</v>
      </c>
      <c r="M35" s="431"/>
      <c r="N35" s="430">
        <f t="shared" si="1"/>
        <v>1.9276582228222028</v>
      </c>
      <c r="O35" s="431"/>
      <c r="P35" s="231" t="s">
        <v>587</v>
      </c>
    </row>
    <row r="36" spans="1:16" s="186" customFormat="1" ht="20.100000000000001" customHeight="1">
      <c r="A36" s="435" t="s">
        <v>276</v>
      </c>
      <c r="B36" s="435"/>
      <c r="C36" s="435"/>
      <c r="D36" s="428">
        <v>8813</v>
      </c>
      <c r="E36" s="429"/>
      <c r="F36" s="428">
        <v>8566</v>
      </c>
      <c r="G36" s="429"/>
      <c r="H36" s="428">
        <v>9214</v>
      </c>
      <c r="I36" s="429"/>
      <c r="J36" s="428">
        <f>J24/141/12*1000</f>
        <v>11433.21513002364</v>
      </c>
      <c r="K36" s="429"/>
      <c r="L36" s="430">
        <f t="shared" si="0"/>
        <v>1.2408525211660126</v>
      </c>
      <c r="M36" s="431"/>
      <c r="N36" s="430">
        <f t="shared" si="1"/>
        <v>1.3347204214363344</v>
      </c>
      <c r="O36" s="431"/>
      <c r="P36" s="231" t="s">
        <v>587</v>
      </c>
    </row>
    <row r="37" spans="1:16" ht="10.5" customHeight="1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6" ht="20.100000000000001" customHeight="1">
      <c r="A38" s="470" t="s">
        <v>328</v>
      </c>
      <c r="B38" s="470"/>
      <c r="C38" s="470"/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</row>
    <row r="39" spans="1:16" ht="15" customHeight="1">
      <c r="A39" s="15"/>
      <c r="B39" s="15"/>
      <c r="C39" s="15"/>
      <c r="D39" s="15"/>
      <c r="E39" s="15"/>
      <c r="F39" s="15"/>
      <c r="G39" s="15"/>
      <c r="H39" s="15"/>
      <c r="I39" s="15"/>
    </row>
    <row r="40" spans="1:16" ht="21.95" customHeight="1">
      <c r="A40" s="443" t="s">
        <v>329</v>
      </c>
      <c r="B40" s="443"/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3"/>
    </row>
    <row r="41" spans="1:16" ht="10.5" customHeight="1"/>
    <row r="42" spans="1:16" ht="60" customHeight="1">
      <c r="A42" s="190" t="s">
        <v>151</v>
      </c>
      <c r="B42" s="457" t="s">
        <v>330</v>
      </c>
      <c r="C42" s="458"/>
      <c r="D42" s="458"/>
      <c r="E42" s="458"/>
      <c r="F42" s="450" t="s">
        <v>89</v>
      </c>
      <c r="G42" s="450"/>
      <c r="H42" s="450"/>
      <c r="I42" s="450"/>
      <c r="J42" s="450"/>
      <c r="K42" s="450"/>
      <c r="L42" s="450"/>
      <c r="M42" s="450"/>
      <c r="N42" s="450"/>
      <c r="O42" s="450"/>
    </row>
    <row r="43" spans="1:16" ht="18" customHeight="1">
      <c r="A43" s="190">
        <v>1</v>
      </c>
      <c r="B43" s="457">
        <v>2</v>
      </c>
      <c r="C43" s="458"/>
      <c r="D43" s="458"/>
      <c r="E43" s="458"/>
      <c r="F43" s="450">
        <v>3</v>
      </c>
      <c r="G43" s="450"/>
      <c r="H43" s="450"/>
      <c r="I43" s="450"/>
      <c r="J43" s="450"/>
      <c r="K43" s="450"/>
      <c r="L43" s="450"/>
      <c r="M43" s="450"/>
      <c r="N43" s="450"/>
      <c r="O43" s="450"/>
    </row>
    <row r="44" spans="1:16" ht="19.5" customHeight="1">
      <c r="A44" s="195"/>
      <c r="B44" s="462"/>
      <c r="C44" s="463"/>
      <c r="D44" s="463"/>
      <c r="E44" s="463"/>
      <c r="F44" s="471"/>
      <c r="G44" s="471"/>
      <c r="H44" s="471"/>
      <c r="I44" s="471"/>
      <c r="J44" s="471"/>
      <c r="K44" s="471"/>
      <c r="L44" s="471"/>
      <c r="M44" s="471"/>
      <c r="N44" s="471"/>
      <c r="O44" s="471"/>
    </row>
    <row r="45" spans="1:16" ht="20.100000000000001" customHeight="1">
      <c r="A45" s="195"/>
      <c r="B45" s="462"/>
      <c r="C45" s="463"/>
      <c r="D45" s="463"/>
      <c r="E45" s="464"/>
      <c r="F45" s="462"/>
      <c r="G45" s="463"/>
      <c r="H45" s="463"/>
      <c r="I45" s="463"/>
      <c r="J45" s="463"/>
      <c r="K45" s="463"/>
      <c r="L45" s="463"/>
      <c r="M45" s="463"/>
      <c r="N45" s="463"/>
      <c r="O45" s="464"/>
    </row>
    <row r="46" spans="1:16" ht="20.100000000000001" customHeight="1">
      <c r="A46" s="5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6" ht="21.95" customHeight="1">
      <c r="A47" s="468" t="s">
        <v>256</v>
      </c>
      <c r="B47" s="468"/>
      <c r="C47" s="468"/>
      <c r="D47" s="468"/>
      <c r="E47" s="468"/>
      <c r="F47" s="468"/>
      <c r="G47" s="468"/>
      <c r="H47" s="468"/>
      <c r="I47" s="468"/>
      <c r="J47" s="468"/>
    </row>
    <row r="48" spans="1:16" ht="20.100000000000001" customHeight="1">
      <c r="A48" s="10"/>
    </row>
    <row r="49" spans="1:15" ht="63.95" customHeight="1">
      <c r="A49" s="406" t="s">
        <v>277</v>
      </c>
      <c r="B49" s="406" t="s">
        <v>331</v>
      </c>
      <c r="C49" s="406"/>
      <c r="D49" s="461" t="s">
        <v>606</v>
      </c>
      <c r="E49" s="461"/>
      <c r="F49" s="461"/>
      <c r="G49" s="461" t="s">
        <v>607</v>
      </c>
      <c r="H49" s="461"/>
      <c r="I49" s="461"/>
      <c r="J49" s="465" t="s">
        <v>608</v>
      </c>
      <c r="K49" s="466"/>
      <c r="L49" s="467"/>
      <c r="M49" s="461" t="s">
        <v>609</v>
      </c>
      <c r="N49" s="461"/>
      <c r="O49" s="461"/>
    </row>
    <row r="50" spans="1:15" ht="168.75">
      <c r="A50" s="406"/>
      <c r="B50" s="263" t="s">
        <v>75</v>
      </c>
      <c r="C50" s="263" t="s">
        <v>76</v>
      </c>
      <c r="D50" s="263" t="s">
        <v>332</v>
      </c>
      <c r="E50" s="263" t="s">
        <v>546</v>
      </c>
      <c r="F50" s="263" t="s">
        <v>333</v>
      </c>
      <c r="G50" s="263" t="s">
        <v>332</v>
      </c>
      <c r="H50" s="263" t="s">
        <v>546</v>
      </c>
      <c r="I50" s="263" t="s">
        <v>333</v>
      </c>
      <c r="J50" s="263" t="s">
        <v>332</v>
      </c>
      <c r="K50" s="263" t="s">
        <v>546</v>
      </c>
      <c r="L50" s="263" t="s">
        <v>333</v>
      </c>
      <c r="M50" s="263" t="s">
        <v>332</v>
      </c>
      <c r="N50" s="263" t="s">
        <v>546</v>
      </c>
      <c r="O50" s="263" t="s">
        <v>333</v>
      </c>
    </row>
    <row r="51" spans="1:15" ht="18" customHeight="1">
      <c r="A51" s="263">
        <v>1</v>
      </c>
      <c r="B51" s="263">
        <v>2</v>
      </c>
      <c r="C51" s="263">
        <v>3</v>
      </c>
      <c r="D51" s="263">
        <v>4</v>
      </c>
      <c r="E51" s="263">
        <v>5</v>
      </c>
      <c r="F51" s="263">
        <v>6</v>
      </c>
      <c r="G51" s="263">
        <v>7</v>
      </c>
      <c r="H51" s="283">
        <v>8</v>
      </c>
      <c r="I51" s="283">
        <v>9</v>
      </c>
      <c r="J51" s="283">
        <v>10</v>
      </c>
      <c r="K51" s="283">
        <v>11</v>
      </c>
      <c r="L51" s="283">
        <v>12</v>
      </c>
      <c r="M51" s="283">
        <v>13</v>
      </c>
      <c r="N51" s="283">
        <v>14</v>
      </c>
      <c r="O51" s="283">
        <v>15</v>
      </c>
    </row>
    <row r="52" spans="1:15" ht="51" customHeight="1">
      <c r="A52" s="310" t="s">
        <v>410</v>
      </c>
      <c r="B52" s="311">
        <f>D52/$D$55*100</f>
        <v>49.466417257667302</v>
      </c>
      <c r="C52" s="311">
        <f>M52/$M$55*100</f>
        <v>51.160768628814893</v>
      </c>
      <c r="D52" s="312">
        <v>36758</v>
      </c>
      <c r="E52" s="312">
        <v>6222</v>
      </c>
      <c r="F52" s="217">
        <f>D52/E52*1000</f>
        <v>5907.7467052394722</v>
      </c>
      <c r="G52" s="312">
        <v>58400</v>
      </c>
      <c r="H52" s="312">
        <v>7233</v>
      </c>
      <c r="I52" s="217">
        <f>G52/H52*1000</f>
        <v>8074.1047974561034</v>
      </c>
      <c r="J52" s="312">
        <v>46513</v>
      </c>
      <c r="K52" s="312">
        <v>6560</v>
      </c>
      <c r="L52" s="217">
        <f>J52/K52*1000</f>
        <v>7090.3963414634154</v>
      </c>
      <c r="M52" s="217">
        <f>'I. Фін результат'!I8</f>
        <v>58840</v>
      </c>
      <c r="N52" s="217">
        <f>5425/9*12</f>
        <v>7233.3333333333339</v>
      </c>
      <c r="O52" s="217">
        <f>M52/N52*1000</f>
        <v>8134.5622119815653</v>
      </c>
    </row>
    <row r="53" spans="1:15" ht="51.75" customHeight="1">
      <c r="A53" s="310" t="s">
        <v>531</v>
      </c>
      <c r="B53" s="311">
        <f t="shared" ref="B53:B54" si="2">D53/$D$55*100</f>
        <v>48.109919390652543</v>
      </c>
      <c r="C53" s="311">
        <f t="shared" ref="C53:C54" si="3">M53/$M$55*100</f>
        <v>47.10025215198678</v>
      </c>
      <c r="D53" s="312">
        <v>35750</v>
      </c>
      <c r="E53" s="312">
        <v>28878</v>
      </c>
      <c r="F53" s="217">
        <f>D53/E53*1000</f>
        <v>1237.9666181868549</v>
      </c>
      <c r="G53" s="312">
        <v>50000</v>
      </c>
      <c r="H53" s="312">
        <v>32489</v>
      </c>
      <c r="I53" s="217">
        <f>G53/H53*1000</f>
        <v>1538.9824248207085</v>
      </c>
      <c r="J53" s="312">
        <v>30344</v>
      </c>
      <c r="K53" s="312">
        <v>22784</v>
      </c>
      <c r="L53" s="217">
        <f>J53/K53*1000</f>
        <v>1331.8117977528091</v>
      </c>
      <c r="M53" s="217">
        <f>'I. Фін результат'!I9</f>
        <v>54170</v>
      </c>
      <c r="N53" s="217">
        <f>24367/9*12</f>
        <v>32489.333333333332</v>
      </c>
      <c r="O53" s="217">
        <f>M53/N53*1000</f>
        <v>1667.3164525793081</v>
      </c>
    </row>
    <row r="54" spans="1:15" ht="63" customHeight="1">
      <c r="A54" s="310" t="s">
        <v>532</v>
      </c>
      <c r="B54" s="311">
        <f t="shared" si="2"/>
        <v>2.4236633516801462</v>
      </c>
      <c r="C54" s="311">
        <f t="shared" si="3"/>
        <v>1.7389792191983307</v>
      </c>
      <c r="D54" s="312">
        <v>1801</v>
      </c>
      <c r="E54" s="312"/>
      <c r="F54" s="312"/>
      <c r="G54" s="312">
        <v>1900</v>
      </c>
      <c r="H54" s="312"/>
      <c r="I54" s="312"/>
      <c r="J54" s="312">
        <v>1867</v>
      </c>
      <c r="K54" s="312"/>
      <c r="L54" s="217"/>
      <c r="M54" s="217">
        <f>'I. Фін результат'!I10</f>
        <v>2000</v>
      </c>
      <c r="N54" s="312"/>
      <c r="O54" s="217"/>
    </row>
    <row r="55" spans="1:15" ht="20.100000000000001" customHeight="1">
      <c r="A55" s="313" t="s">
        <v>58</v>
      </c>
      <c r="B55" s="295">
        <v>100</v>
      </c>
      <c r="C55" s="295">
        <v>100</v>
      </c>
      <c r="D55" s="295">
        <f>SUM(D52:D54)</f>
        <v>74309</v>
      </c>
      <c r="E55" s="312"/>
      <c r="F55" s="314">
        <f>F52+F53</f>
        <v>7145.7133234263274</v>
      </c>
      <c r="G55" s="295">
        <f>SUM(G52:G54)</f>
        <v>110300</v>
      </c>
      <c r="H55" s="315"/>
      <c r="I55" s="314">
        <f>I52+I53</f>
        <v>9613.0872222768121</v>
      </c>
      <c r="J55" s="295">
        <f>SUM(J52:J54)</f>
        <v>78724</v>
      </c>
      <c r="K55" s="315"/>
      <c r="L55" s="252">
        <f>SUM(L52:L54)</f>
        <v>8422.2081392162254</v>
      </c>
      <c r="M55" s="252">
        <f>SUM(M52:M54)</f>
        <v>115010</v>
      </c>
      <c r="N55" s="315"/>
      <c r="O55" s="252">
        <f>SUM(O52:O54)</f>
        <v>9801.8786645608743</v>
      </c>
    </row>
    <row r="56" spans="1:15" ht="20.100000000000001" customHeight="1">
      <c r="A56" s="12"/>
      <c r="B56" s="13"/>
      <c r="C56" s="13"/>
      <c r="D56" s="13"/>
      <c r="E56" s="13"/>
      <c r="F56" s="177"/>
      <c r="G56" s="177"/>
      <c r="H56" s="177"/>
      <c r="I56" s="189"/>
      <c r="J56" s="189"/>
      <c r="K56" s="189"/>
      <c r="L56" s="189"/>
      <c r="M56" s="189"/>
      <c r="N56" s="189"/>
      <c r="O56" s="189"/>
    </row>
    <row r="57" spans="1:15" ht="21.95" customHeight="1">
      <c r="A57" s="443" t="s">
        <v>77</v>
      </c>
      <c r="B57" s="443"/>
      <c r="C57" s="443"/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</row>
    <row r="58" spans="1:15" ht="20.100000000000001" customHeight="1">
      <c r="A58" s="10"/>
    </row>
    <row r="59" spans="1:15" ht="63.95" customHeight="1">
      <c r="A59" s="185" t="s">
        <v>138</v>
      </c>
      <c r="B59" s="460" t="s">
        <v>74</v>
      </c>
      <c r="C59" s="460"/>
      <c r="D59" s="460" t="s">
        <v>69</v>
      </c>
      <c r="E59" s="460"/>
      <c r="F59" s="460" t="s">
        <v>70</v>
      </c>
      <c r="G59" s="460"/>
      <c r="H59" s="460" t="s">
        <v>334</v>
      </c>
      <c r="I59" s="460"/>
      <c r="J59" s="460"/>
      <c r="K59" s="454" t="s">
        <v>90</v>
      </c>
      <c r="L59" s="456"/>
      <c r="M59" s="454" t="s">
        <v>37</v>
      </c>
      <c r="N59" s="455"/>
      <c r="O59" s="456"/>
    </row>
    <row r="60" spans="1:15" ht="18" customHeight="1">
      <c r="A60" s="184">
        <v>1</v>
      </c>
      <c r="B60" s="450">
        <v>2</v>
      </c>
      <c r="C60" s="450"/>
      <c r="D60" s="450">
        <v>3</v>
      </c>
      <c r="E60" s="450"/>
      <c r="F60" s="469">
        <v>4</v>
      </c>
      <c r="G60" s="469"/>
      <c r="H60" s="450">
        <v>5</v>
      </c>
      <c r="I60" s="450"/>
      <c r="J60" s="450"/>
      <c r="K60" s="450">
        <v>6</v>
      </c>
      <c r="L60" s="450"/>
      <c r="M60" s="457">
        <v>7</v>
      </c>
      <c r="N60" s="458"/>
      <c r="O60" s="459"/>
    </row>
    <row r="61" spans="1:15" ht="20.100000000000001" customHeight="1">
      <c r="A61" s="117"/>
      <c r="B61" s="441"/>
      <c r="C61" s="441"/>
      <c r="D61" s="441"/>
      <c r="E61" s="441"/>
      <c r="F61" s="441"/>
      <c r="G61" s="441"/>
      <c r="H61" s="441"/>
      <c r="I61" s="441"/>
      <c r="J61" s="441"/>
      <c r="K61" s="444"/>
      <c r="L61" s="445"/>
      <c r="M61" s="441"/>
      <c r="N61" s="441"/>
      <c r="O61" s="441"/>
    </row>
    <row r="62" spans="1:15" ht="20.100000000000001" customHeight="1">
      <c r="A62" s="117"/>
      <c r="B62" s="444"/>
      <c r="C62" s="445"/>
      <c r="D62" s="444"/>
      <c r="E62" s="445"/>
      <c r="F62" s="444"/>
      <c r="G62" s="445"/>
      <c r="H62" s="444"/>
      <c r="I62" s="451"/>
      <c r="J62" s="445"/>
      <c r="K62" s="444"/>
      <c r="L62" s="445"/>
      <c r="M62" s="444"/>
      <c r="N62" s="451"/>
      <c r="O62" s="445"/>
    </row>
    <row r="63" spans="1:15" ht="20.100000000000001" customHeight="1">
      <c r="A63" s="117"/>
      <c r="B63" s="441"/>
      <c r="C63" s="441"/>
      <c r="D63" s="441"/>
      <c r="E63" s="441"/>
      <c r="F63" s="441"/>
      <c r="G63" s="441"/>
      <c r="H63" s="441"/>
      <c r="I63" s="441"/>
      <c r="J63" s="441"/>
      <c r="K63" s="444"/>
      <c r="L63" s="445"/>
      <c r="M63" s="441"/>
      <c r="N63" s="441"/>
      <c r="O63" s="441"/>
    </row>
    <row r="64" spans="1:15" ht="20.100000000000001" customHeight="1">
      <c r="A64" s="118" t="s">
        <v>58</v>
      </c>
      <c r="B64" s="442" t="s">
        <v>38</v>
      </c>
      <c r="C64" s="442"/>
      <c r="D64" s="442" t="s">
        <v>38</v>
      </c>
      <c r="E64" s="442"/>
      <c r="F64" s="442" t="s">
        <v>38</v>
      </c>
      <c r="G64" s="442"/>
      <c r="H64" s="441"/>
      <c r="I64" s="441"/>
      <c r="J64" s="441"/>
      <c r="K64" s="452">
        <f>SUM(K61:L63)</f>
        <v>0</v>
      </c>
      <c r="L64" s="453"/>
      <c r="M64" s="441"/>
      <c r="N64" s="441"/>
      <c r="O64" s="441"/>
    </row>
    <row r="65" spans="1:15" ht="20.100000000000001" customHeight="1">
      <c r="A65" s="177"/>
      <c r="B65" s="16"/>
      <c r="C65" s="16"/>
      <c r="D65" s="16"/>
      <c r="E65" s="16"/>
      <c r="F65" s="16"/>
      <c r="G65" s="16"/>
      <c r="H65" s="16"/>
      <c r="I65" s="16"/>
      <c r="J65" s="16"/>
      <c r="K65" s="186"/>
      <c r="L65" s="186"/>
      <c r="M65" s="186"/>
      <c r="N65" s="186"/>
      <c r="O65" s="186"/>
    </row>
    <row r="66" spans="1:15" ht="21.95" customHeight="1">
      <c r="A66" s="443" t="s">
        <v>78</v>
      </c>
      <c r="B66" s="443"/>
      <c r="C66" s="443"/>
      <c r="D66" s="443"/>
      <c r="E66" s="443"/>
      <c r="F66" s="443"/>
      <c r="G66" s="443"/>
      <c r="H66" s="443"/>
      <c r="I66" s="443"/>
      <c r="J66" s="443"/>
      <c r="K66" s="443"/>
      <c r="L66" s="443"/>
      <c r="M66" s="443"/>
      <c r="N66" s="443"/>
      <c r="O66" s="443"/>
    </row>
    <row r="67" spans="1:15" ht="20.100000000000001" customHeight="1">
      <c r="A67" s="189"/>
      <c r="B67" s="8"/>
      <c r="C67" s="189"/>
      <c r="D67" s="189"/>
      <c r="E67" s="189"/>
      <c r="F67" s="189"/>
      <c r="G67" s="189"/>
      <c r="H67" s="189"/>
      <c r="I67" s="7"/>
    </row>
    <row r="68" spans="1:15" ht="63.95" customHeight="1">
      <c r="A68" s="439" t="s">
        <v>68</v>
      </c>
      <c r="B68" s="439"/>
      <c r="C68" s="439"/>
      <c r="D68" s="439" t="s">
        <v>91</v>
      </c>
      <c r="E68" s="439"/>
      <c r="F68" s="439"/>
      <c r="G68" s="439" t="s">
        <v>361</v>
      </c>
      <c r="H68" s="439"/>
      <c r="I68" s="439"/>
      <c r="J68" s="439" t="s">
        <v>355</v>
      </c>
      <c r="K68" s="439"/>
      <c r="L68" s="439"/>
      <c r="M68" s="439" t="s">
        <v>92</v>
      </c>
      <c r="N68" s="439"/>
      <c r="O68" s="439"/>
    </row>
    <row r="69" spans="1:15" ht="18" customHeight="1">
      <c r="A69" s="439">
        <v>1</v>
      </c>
      <c r="B69" s="439"/>
      <c r="C69" s="439"/>
      <c r="D69" s="439">
        <v>2</v>
      </c>
      <c r="E69" s="439"/>
      <c r="F69" s="439"/>
      <c r="G69" s="439">
        <v>3</v>
      </c>
      <c r="H69" s="439"/>
      <c r="I69" s="439"/>
      <c r="J69" s="440">
        <v>4</v>
      </c>
      <c r="K69" s="440"/>
      <c r="L69" s="440"/>
      <c r="M69" s="440">
        <v>5</v>
      </c>
      <c r="N69" s="440"/>
      <c r="O69" s="440"/>
    </row>
    <row r="70" spans="1:15" ht="20.100000000000001" customHeight="1">
      <c r="A70" s="436" t="s">
        <v>335</v>
      </c>
      <c r="B70" s="436"/>
      <c r="C70" s="436"/>
      <c r="D70" s="438"/>
      <c r="E70" s="438"/>
      <c r="F70" s="438"/>
      <c r="G70" s="438"/>
      <c r="H70" s="438"/>
      <c r="I70" s="438"/>
      <c r="J70" s="438"/>
      <c r="K70" s="438"/>
      <c r="L70" s="438"/>
      <c r="M70" s="438"/>
      <c r="N70" s="438"/>
      <c r="O70" s="438"/>
    </row>
    <row r="71" spans="1:15" ht="20.100000000000001" customHeight="1">
      <c r="A71" s="436" t="s">
        <v>112</v>
      </c>
      <c r="B71" s="436"/>
      <c r="C71" s="436"/>
      <c r="D71" s="438"/>
      <c r="E71" s="438"/>
      <c r="F71" s="438"/>
      <c r="G71" s="438"/>
      <c r="H71" s="438"/>
      <c r="I71" s="438"/>
      <c r="J71" s="438"/>
      <c r="K71" s="438"/>
      <c r="L71" s="438"/>
      <c r="M71" s="438"/>
      <c r="N71" s="438"/>
      <c r="O71" s="438"/>
    </row>
    <row r="72" spans="1:15" ht="20.100000000000001" customHeight="1">
      <c r="A72" s="436"/>
      <c r="B72" s="436"/>
      <c r="C72" s="436"/>
      <c r="D72" s="428"/>
      <c r="E72" s="437"/>
      <c r="F72" s="429"/>
      <c r="G72" s="428"/>
      <c r="H72" s="437"/>
      <c r="I72" s="429"/>
      <c r="J72" s="428"/>
      <c r="K72" s="437"/>
      <c r="L72" s="429"/>
      <c r="M72" s="428"/>
      <c r="N72" s="437"/>
      <c r="O72" s="429"/>
    </row>
    <row r="73" spans="1:15" ht="20.100000000000001" customHeight="1">
      <c r="A73" s="436" t="s">
        <v>336</v>
      </c>
      <c r="B73" s="436"/>
      <c r="C73" s="436"/>
      <c r="D73" s="438"/>
      <c r="E73" s="438"/>
      <c r="F73" s="438"/>
      <c r="G73" s="438"/>
      <c r="H73" s="438"/>
      <c r="I73" s="438"/>
      <c r="J73" s="438"/>
      <c r="K73" s="438"/>
      <c r="L73" s="438"/>
      <c r="M73" s="438"/>
      <c r="N73" s="438"/>
      <c r="O73" s="438"/>
    </row>
    <row r="74" spans="1:15" ht="20.100000000000001" customHeight="1">
      <c r="A74" s="436" t="s">
        <v>113</v>
      </c>
      <c r="B74" s="436"/>
      <c r="C74" s="436"/>
      <c r="D74" s="438"/>
      <c r="E74" s="438"/>
      <c r="F74" s="438"/>
      <c r="G74" s="438"/>
      <c r="H74" s="438"/>
      <c r="I74" s="438"/>
      <c r="J74" s="438"/>
      <c r="K74" s="438"/>
      <c r="L74" s="438"/>
      <c r="M74" s="438"/>
      <c r="N74" s="438"/>
      <c r="O74" s="438"/>
    </row>
    <row r="75" spans="1:15" ht="20.100000000000001" customHeight="1">
      <c r="A75" s="436"/>
      <c r="B75" s="436"/>
      <c r="C75" s="436"/>
      <c r="D75" s="428"/>
      <c r="E75" s="437"/>
      <c r="F75" s="429"/>
      <c r="G75" s="428"/>
      <c r="H75" s="437"/>
      <c r="I75" s="429"/>
      <c r="J75" s="428"/>
      <c r="K75" s="437"/>
      <c r="L75" s="429"/>
      <c r="M75" s="428"/>
      <c r="N75" s="437"/>
      <c r="O75" s="429"/>
    </row>
    <row r="76" spans="1:15" ht="20.100000000000001" customHeight="1">
      <c r="A76" s="436" t="s">
        <v>337</v>
      </c>
      <c r="B76" s="436"/>
      <c r="C76" s="436"/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438"/>
      <c r="O76" s="438"/>
    </row>
    <row r="77" spans="1:15" ht="20.100000000000001" customHeight="1">
      <c r="A77" s="436" t="s">
        <v>112</v>
      </c>
      <c r="B77" s="436"/>
      <c r="C77" s="436"/>
      <c r="D77" s="438"/>
      <c r="E77" s="438"/>
      <c r="F77" s="438"/>
      <c r="G77" s="438"/>
      <c r="H77" s="438"/>
      <c r="I77" s="438"/>
      <c r="J77" s="438"/>
      <c r="K77" s="438"/>
      <c r="L77" s="438"/>
      <c r="M77" s="438"/>
      <c r="N77" s="438"/>
      <c r="O77" s="438"/>
    </row>
    <row r="78" spans="1:15" ht="20.100000000000001" customHeight="1">
      <c r="A78" s="446"/>
      <c r="B78" s="447"/>
      <c r="C78" s="448"/>
      <c r="D78" s="438"/>
      <c r="E78" s="438"/>
      <c r="F78" s="438"/>
      <c r="G78" s="438"/>
      <c r="H78" s="438"/>
      <c r="I78" s="438"/>
      <c r="J78" s="438"/>
      <c r="K78" s="438"/>
      <c r="L78" s="438"/>
      <c r="M78" s="438"/>
      <c r="N78" s="438"/>
      <c r="O78" s="438"/>
    </row>
    <row r="79" spans="1:15" ht="20.100000000000001" customHeight="1">
      <c r="A79" s="446" t="s">
        <v>58</v>
      </c>
      <c r="B79" s="447"/>
      <c r="C79" s="448"/>
      <c r="D79" s="449"/>
      <c r="E79" s="449"/>
      <c r="F79" s="449"/>
      <c r="G79" s="449"/>
      <c r="H79" s="449"/>
      <c r="I79" s="449"/>
      <c r="J79" s="438"/>
      <c r="K79" s="438"/>
      <c r="L79" s="438"/>
      <c r="M79" s="438"/>
      <c r="N79" s="438"/>
      <c r="O79" s="438"/>
    </row>
    <row r="80" spans="1:15">
      <c r="C80" s="22"/>
      <c r="D80" s="22"/>
      <c r="E80" s="22"/>
    </row>
    <row r="81" spans="3:5">
      <c r="C81" s="22"/>
      <c r="D81" s="22"/>
      <c r="E81" s="22"/>
    </row>
    <row r="82" spans="3:5">
      <c r="C82" s="22"/>
      <c r="D82" s="22"/>
      <c r="E82" s="22"/>
    </row>
    <row r="83" spans="3:5">
      <c r="C83" s="22"/>
      <c r="D83" s="22"/>
      <c r="E83" s="22"/>
    </row>
    <row r="84" spans="3:5">
      <c r="C84" s="22"/>
      <c r="D84" s="22"/>
      <c r="E84" s="22"/>
    </row>
    <row r="85" spans="3:5">
      <c r="C85" s="22"/>
      <c r="D85" s="22"/>
      <c r="E85" s="22"/>
    </row>
    <row r="86" spans="3:5">
      <c r="C86" s="22"/>
      <c r="D86" s="22"/>
      <c r="E86" s="22"/>
    </row>
    <row r="87" spans="3:5">
      <c r="C87" s="22"/>
      <c r="D87" s="22"/>
      <c r="E87" s="22"/>
    </row>
    <row r="88" spans="3:5">
      <c r="C88" s="22"/>
      <c r="D88" s="22"/>
      <c r="E88" s="22"/>
    </row>
    <row r="89" spans="3:5">
      <c r="C89" s="22"/>
      <c r="D89" s="22"/>
      <c r="E89" s="22"/>
    </row>
    <row r="90" spans="3:5">
      <c r="C90" s="22"/>
      <c r="D90" s="22"/>
      <c r="E90" s="22"/>
    </row>
    <row r="91" spans="3:5">
      <c r="C91" s="22"/>
      <c r="D91" s="22"/>
      <c r="E91" s="22"/>
    </row>
    <row r="92" spans="3:5">
      <c r="C92" s="22"/>
      <c r="D92" s="22"/>
      <c r="E92" s="22"/>
    </row>
    <row r="93" spans="3:5">
      <c r="C93" s="22"/>
      <c r="D93" s="22"/>
      <c r="E93" s="22"/>
    </row>
  </sheetData>
  <sheetProtection insertColumns="0" insertRows="0"/>
  <mergeCells count="280">
    <mergeCell ref="A1:O1"/>
    <mergeCell ref="A2:O2"/>
    <mergeCell ref="A3:O3"/>
    <mergeCell ref="D12:E12"/>
    <mergeCell ref="F12:G12"/>
    <mergeCell ref="A4:O4"/>
    <mergeCell ref="A5:O5"/>
    <mergeCell ref="L12:M12"/>
    <mergeCell ref="J17:K17"/>
    <mergeCell ref="H17:I17"/>
    <mergeCell ref="F13:G13"/>
    <mergeCell ref="D13:E13"/>
    <mergeCell ref="A17:C17"/>
    <mergeCell ref="F17:G17"/>
    <mergeCell ref="D16:E16"/>
    <mergeCell ref="H16:I16"/>
    <mergeCell ref="A16:C16"/>
    <mergeCell ref="D17:E17"/>
    <mergeCell ref="H13:I13"/>
    <mergeCell ref="J13:K13"/>
    <mergeCell ref="L16:M16"/>
    <mergeCell ref="F15:G15"/>
    <mergeCell ref="A10:O10"/>
    <mergeCell ref="A12:C12"/>
    <mergeCell ref="N12:O12"/>
    <mergeCell ref="N13:O13"/>
    <mergeCell ref="J12:K12"/>
    <mergeCell ref="H12:I12"/>
    <mergeCell ref="A6:O6"/>
    <mergeCell ref="A7:O7"/>
    <mergeCell ref="A8:E8"/>
    <mergeCell ref="A9:E9"/>
    <mergeCell ref="N15:O15"/>
    <mergeCell ref="A15:C15"/>
    <mergeCell ref="A13:C13"/>
    <mergeCell ref="L13:M13"/>
    <mergeCell ref="D15:E15"/>
    <mergeCell ref="H15:I15"/>
    <mergeCell ref="J15:K15"/>
    <mergeCell ref="J16:K16"/>
    <mergeCell ref="A14:K14"/>
    <mergeCell ref="N14:O14"/>
    <mergeCell ref="L14:M14"/>
    <mergeCell ref="F20:G20"/>
    <mergeCell ref="H18:I18"/>
    <mergeCell ref="L19:M19"/>
    <mergeCell ref="A20:C20"/>
    <mergeCell ref="D20:E20"/>
    <mergeCell ref="J18:K18"/>
    <mergeCell ref="H20:I20"/>
    <mergeCell ref="J19:K19"/>
    <mergeCell ref="A18:C18"/>
    <mergeCell ref="D18:E18"/>
    <mergeCell ref="F18:G18"/>
    <mergeCell ref="D19:E19"/>
    <mergeCell ref="J20:K20"/>
    <mergeCell ref="L17:M17"/>
    <mergeCell ref="F16:G16"/>
    <mergeCell ref="L15:M15"/>
    <mergeCell ref="N16:O16"/>
    <mergeCell ref="F19:G19"/>
    <mergeCell ref="A19:C19"/>
    <mergeCell ref="N17:O17"/>
    <mergeCell ref="N19:O19"/>
    <mergeCell ref="N18:O18"/>
    <mergeCell ref="N20:O20"/>
    <mergeCell ref="H24:I24"/>
    <mergeCell ref="J24:K24"/>
    <mergeCell ref="L18:M18"/>
    <mergeCell ref="L22:M22"/>
    <mergeCell ref="L21:M21"/>
    <mergeCell ref="L20:M20"/>
    <mergeCell ref="H19:I19"/>
    <mergeCell ref="N21:O21"/>
    <mergeCell ref="H22:I22"/>
    <mergeCell ref="J22:K22"/>
    <mergeCell ref="A22:C22"/>
    <mergeCell ref="A21:K21"/>
    <mergeCell ref="A24:C24"/>
    <mergeCell ref="F44:O44"/>
    <mergeCell ref="F23:G23"/>
    <mergeCell ref="H23:I23"/>
    <mergeCell ref="J23:K23"/>
    <mergeCell ref="L23:M23"/>
    <mergeCell ref="N23:O23"/>
    <mergeCell ref="A40:O40"/>
    <mergeCell ref="F43:O43"/>
    <mergeCell ref="B43:E43"/>
    <mergeCell ref="F24:G24"/>
    <mergeCell ref="F42:O42"/>
    <mergeCell ref="B42:E42"/>
    <mergeCell ref="B44:E44"/>
    <mergeCell ref="J30:K30"/>
    <mergeCell ref="N28:O28"/>
    <mergeCell ref="J31:K31"/>
    <mergeCell ref="L31:M31"/>
    <mergeCell ref="N31:O31"/>
    <mergeCell ref="A32:C32"/>
    <mergeCell ref="A31:C31"/>
    <mergeCell ref="D31:E31"/>
    <mergeCell ref="F31:G31"/>
    <mergeCell ref="H31:I31"/>
    <mergeCell ref="A28:C28"/>
    <mergeCell ref="A38:O38"/>
    <mergeCell ref="F22:G22"/>
    <mergeCell ref="D22:E22"/>
    <mergeCell ref="N25:O25"/>
    <mergeCell ref="N24:O24"/>
    <mergeCell ref="A26:C26"/>
    <mergeCell ref="D26:E26"/>
    <mergeCell ref="N26:O26"/>
    <mergeCell ref="N36:O36"/>
    <mergeCell ref="J36:K36"/>
    <mergeCell ref="L36:M36"/>
    <mergeCell ref="J32:K32"/>
    <mergeCell ref="L32:M32"/>
    <mergeCell ref="N32:O32"/>
    <mergeCell ref="J34:K34"/>
    <mergeCell ref="N35:O35"/>
    <mergeCell ref="N34:O34"/>
    <mergeCell ref="N33:O33"/>
    <mergeCell ref="L33:M33"/>
    <mergeCell ref="N22:O22"/>
    <mergeCell ref="A23:C23"/>
    <mergeCell ref="D23:E23"/>
    <mergeCell ref="N27:O27"/>
    <mergeCell ref="L30:M30"/>
    <mergeCell ref="L29:M29"/>
    <mergeCell ref="D28:E28"/>
    <mergeCell ref="F28:G28"/>
    <mergeCell ref="H28:I28"/>
    <mergeCell ref="J28:K28"/>
    <mergeCell ref="L28:M28"/>
    <mergeCell ref="H30:I30"/>
    <mergeCell ref="D24:E24"/>
    <mergeCell ref="L26:M26"/>
    <mergeCell ref="L25:M25"/>
    <mergeCell ref="F26:G26"/>
    <mergeCell ref="J26:K26"/>
    <mergeCell ref="A25:K25"/>
    <mergeCell ref="L24:M24"/>
    <mergeCell ref="M59:O59"/>
    <mergeCell ref="K60:L60"/>
    <mergeCell ref="M60:O60"/>
    <mergeCell ref="A57:O57"/>
    <mergeCell ref="B59:C59"/>
    <mergeCell ref="D59:E59"/>
    <mergeCell ref="B49:C49"/>
    <mergeCell ref="D49:F49"/>
    <mergeCell ref="F45:O45"/>
    <mergeCell ref="G49:I49"/>
    <mergeCell ref="J49:L49"/>
    <mergeCell ref="M49:O49"/>
    <mergeCell ref="B45:E45"/>
    <mergeCell ref="A47:J47"/>
    <mergeCell ref="A49:A50"/>
    <mergeCell ref="F59:G59"/>
    <mergeCell ref="H59:J59"/>
    <mergeCell ref="K59:L59"/>
    <mergeCell ref="B60:C60"/>
    <mergeCell ref="F60:G60"/>
    <mergeCell ref="H60:J60"/>
    <mergeCell ref="G68:I68"/>
    <mergeCell ref="J68:L68"/>
    <mergeCell ref="M62:O62"/>
    <mergeCell ref="M61:O61"/>
    <mergeCell ref="M63:O63"/>
    <mergeCell ref="K64:L64"/>
    <mergeCell ref="M64:O64"/>
    <mergeCell ref="K62:L62"/>
    <mergeCell ref="F64:G64"/>
    <mergeCell ref="H62:J62"/>
    <mergeCell ref="B61:C61"/>
    <mergeCell ref="H61:J61"/>
    <mergeCell ref="K61:L61"/>
    <mergeCell ref="D60:E60"/>
    <mergeCell ref="M74:O74"/>
    <mergeCell ref="M75:O75"/>
    <mergeCell ref="J75:L75"/>
    <mergeCell ref="M73:O73"/>
    <mergeCell ref="J70:L70"/>
    <mergeCell ref="G72:I72"/>
    <mergeCell ref="J71:L71"/>
    <mergeCell ref="G70:I70"/>
    <mergeCell ref="A74:C74"/>
    <mergeCell ref="D74:F74"/>
    <mergeCell ref="G74:I74"/>
    <mergeCell ref="J73:L73"/>
    <mergeCell ref="J74:L74"/>
    <mergeCell ref="D71:F71"/>
    <mergeCell ref="M71:O71"/>
    <mergeCell ref="A70:C70"/>
    <mergeCell ref="D70:F70"/>
    <mergeCell ref="M72:O72"/>
    <mergeCell ref="J72:L72"/>
    <mergeCell ref="M70:O70"/>
    <mergeCell ref="A77:C77"/>
    <mergeCell ref="A78:C78"/>
    <mergeCell ref="G78:I78"/>
    <mergeCell ref="D77:F77"/>
    <mergeCell ref="D78:F78"/>
    <mergeCell ref="A76:C76"/>
    <mergeCell ref="M78:O78"/>
    <mergeCell ref="J77:L77"/>
    <mergeCell ref="M79:O79"/>
    <mergeCell ref="M77:O77"/>
    <mergeCell ref="J78:L78"/>
    <mergeCell ref="A79:C79"/>
    <mergeCell ref="D79:F79"/>
    <mergeCell ref="G79:I79"/>
    <mergeCell ref="J79:L79"/>
    <mergeCell ref="M76:O76"/>
    <mergeCell ref="G77:I77"/>
    <mergeCell ref="G75:I75"/>
    <mergeCell ref="F30:G30"/>
    <mergeCell ref="J76:L76"/>
    <mergeCell ref="F27:G27"/>
    <mergeCell ref="H27:I27"/>
    <mergeCell ref="H26:I26"/>
    <mergeCell ref="G73:I73"/>
    <mergeCell ref="A29:K29"/>
    <mergeCell ref="A30:C30"/>
    <mergeCell ref="D30:E30"/>
    <mergeCell ref="D76:F76"/>
    <mergeCell ref="G76:I76"/>
    <mergeCell ref="A73:C73"/>
    <mergeCell ref="A75:C75"/>
    <mergeCell ref="D75:F75"/>
    <mergeCell ref="D73:F73"/>
    <mergeCell ref="A69:C69"/>
    <mergeCell ref="H63:J63"/>
    <mergeCell ref="G69:I69"/>
    <mergeCell ref="K63:L63"/>
    <mergeCell ref="B63:C63"/>
    <mergeCell ref="B62:C62"/>
    <mergeCell ref="D62:E62"/>
    <mergeCell ref="F62:G62"/>
    <mergeCell ref="A72:C72"/>
    <mergeCell ref="D72:F72"/>
    <mergeCell ref="A71:C71"/>
    <mergeCell ref="N29:O29"/>
    <mergeCell ref="G71:I71"/>
    <mergeCell ref="A27:C27"/>
    <mergeCell ref="D27:E27"/>
    <mergeCell ref="N30:O30"/>
    <mergeCell ref="J27:K27"/>
    <mergeCell ref="L27:M27"/>
    <mergeCell ref="M68:O68"/>
    <mergeCell ref="M69:O69"/>
    <mergeCell ref="D63:E63"/>
    <mergeCell ref="J69:L69"/>
    <mergeCell ref="D61:E61"/>
    <mergeCell ref="F61:G61"/>
    <mergeCell ref="H64:J64"/>
    <mergeCell ref="D69:F69"/>
    <mergeCell ref="F63:G63"/>
    <mergeCell ref="B64:C64"/>
    <mergeCell ref="D64:E64"/>
    <mergeCell ref="A66:O66"/>
    <mergeCell ref="A68:C68"/>
    <mergeCell ref="D68:F68"/>
    <mergeCell ref="J35:K35"/>
    <mergeCell ref="L35:M35"/>
    <mergeCell ref="A33:K33"/>
    <mergeCell ref="L34:M34"/>
    <mergeCell ref="D36:E36"/>
    <mergeCell ref="A36:C36"/>
    <mergeCell ref="A35:C35"/>
    <mergeCell ref="A34:C34"/>
    <mergeCell ref="D32:E32"/>
    <mergeCell ref="F32:G32"/>
    <mergeCell ref="H32:I32"/>
    <mergeCell ref="H34:I34"/>
    <mergeCell ref="F34:G34"/>
    <mergeCell ref="D34:E34"/>
    <mergeCell ref="D35:E35"/>
    <mergeCell ref="F36:G36"/>
    <mergeCell ref="H36:I36"/>
    <mergeCell ref="F35:G35"/>
    <mergeCell ref="H35:I35"/>
  </mergeCells>
  <phoneticPr fontId="3" type="noConversion"/>
  <pageMargins left="0.59055118110236227" right="0.39370078740157483" top="0.59055118110236227" bottom="0.39370078740157483" header="0.27559055118110237" footer="0.15748031496062992"/>
  <pageSetup paperSize="9" scale="47" orientation="landscape" horizontalDpi="1200" verticalDpi="1200" r:id="rId1"/>
  <headerFooter alignWithMargins="0"/>
  <rowBreaks count="1" manualBreakCount="1">
    <brk id="45" max="14" man="1"/>
  </rowBreaks>
  <ignoredErrors>
    <ignoredError sqref="E55 J55:K55 G55:H5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E62"/>
  <sheetViews>
    <sheetView topLeftCell="A22" zoomScale="70" zoomScaleNormal="70" zoomScaleSheetLayoutView="50" workbookViewId="0">
      <selection activeCell="Q29" sqref="Q29"/>
    </sheetView>
  </sheetViews>
  <sheetFormatPr defaultRowHeight="18.75"/>
  <cols>
    <col min="1" max="1" width="4.42578125" style="1" customWidth="1"/>
    <col min="2" max="2" width="28.7109375" style="1" customWidth="1"/>
    <col min="3" max="6" width="11.28515625" style="1" customWidth="1"/>
    <col min="7" max="31" width="11" style="1" customWidth="1"/>
    <col min="32" max="16384" width="9.140625" style="1"/>
  </cols>
  <sheetData>
    <row r="1" spans="1:3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Q1" s="21"/>
      <c r="R1" s="21"/>
      <c r="S1" s="21"/>
      <c r="T1" s="21"/>
      <c r="U1" s="21"/>
      <c r="AB1" s="535"/>
      <c r="AC1" s="536"/>
      <c r="AD1" s="536"/>
      <c r="AE1" s="536"/>
    </row>
    <row r="2" spans="1:31" ht="18.75" customHeight="1">
      <c r="B2" s="31" t="s">
        <v>257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</row>
    <row r="3" spans="1:3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1" ht="18.75" customHeight="1">
      <c r="A4" s="511" t="s">
        <v>53</v>
      </c>
      <c r="B4" s="511" t="s">
        <v>212</v>
      </c>
      <c r="C4" s="513" t="s">
        <v>213</v>
      </c>
      <c r="D4" s="514"/>
      <c r="E4" s="514"/>
      <c r="F4" s="515"/>
      <c r="G4" s="513" t="s">
        <v>351</v>
      </c>
      <c r="H4" s="514"/>
      <c r="I4" s="514"/>
      <c r="J4" s="514"/>
      <c r="K4" s="514"/>
      <c r="L4" s="515"/>
      <c r="M4" s="513" t="s">
        <v>214</v>
      </c>
      <c r="N4" s="514"/>
      <c r="O4" s="514"/>
      <c r="P4" s="515"/>
      <c r="Q4" s="457" t="s">
        <v>306</v>
      </c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9"/>
    </row>
    <row r="5" spans="1:31" ht="48.75" customHeight="1">
      <c r="A5" s="512"/>
      <c r="B5" s="512"/>
      <c r="C5" s="516"/>
      <c r="D5" s="517"/>
      <c r="E5" s="517"/>
      <c r="F5" s="518"/>
      <c r="G5" s="516"/>
      <c r="H5" s="517"/>
      <c r="I5" s="517"/>
      <c r="J5" s="517"/>
      <c r="K5" s="517"/>
      <c r="L5" s="518"/>
      <c r="M5" s="516"/>
      <c r="N5" s="517"/>
      <c r="O5" s="517"/>
      <c r="P5" s="518"/>
      <c r="Q5" s="454" t="s">
        <v>215</v>
      </c>
      <c r="R5" s="455"/>
      <c r="S5" s="456"/>
      <c r="T5" s="454" t="s">
        <v>216</v>
      </c>
      <c r="U5" s="455"/>
      <c r="V5" s="456"/>
      <c r="W5" s="454" t="s">
        <v>43</v>
      </c>
      <c r="X5" s="455"/>
      <c r="Y5" s="456"/>
      <c r="Z5" s="457" t="s">
        <v>217</v>
      </c>
      <c r="AA5" s="458"/>
      <c r="AB5" s="459"/>
      <c r="AC5" s="457" t="s">
        <v>218</v>
      </c>
      <c r="AD5" s="458"/>
      <c r="AE5" s="459"/>
    </row>
    <row r="6" spans="1:31" ht="18" customHeight="1">
      <c r="A6" s="47">
        <v>1</v>
      </c>
      <c r="B6" s="48">
        <v>2</v>
      </c>
      <c r="C6" s="502">
        <v>3</v>
      </c>
      <c r="D6" s="503"/>
      <c r="E6" s="503"/>
      <c r="F6" s="504"/>
      <c r="G6" s="502">
        <v>4</v>
      </c>
      <c r="H6" s="503"/>
      <c r="I6" s="503"/>
      <c r="J6" s="503"/>
      <c r="K6" s="503"/>
      <c r="L6" s="504"/>
      <c r="M6" s="502">
        <v>5</v>
      </c>
      <c r="N6" s="503"/>
      <c r="O6" s="503"/>
      <c r="P6" s="504"/>
      <c r="Q6" s="502">
        <v>6</v>
      </c>
      <c r="R6" s="503"/>
      <c r="S6" s="504"/>
      <c r="T6" s="502">
        <v>7</v>
      </c>
      <c r="U6" s="503"/>
      <c r="V6" s="504"/>
      <c r="W6" s="508">
        <v>8</v>
      </c>
      <c r="X6" s="509"/>
      <c r="Y6" s="510"/>
      <c r="Z6" s="508">
        <v>9</v>
      </c>
      <c r="AA6" s="509"/>
      <c r="AB6" s="510"/>
      <c r="AC6" s="508">
        <v>10</v>
      </c>
      <c r="AD6" s="509"/>
      <c r="AE6" s="510"/>
    </row>
    <row r="7" spans="1:31" ht="20.100000000000001" customHeight="1">
      <c r="A7" s="47"/>
      <c r="B7" s="211" t="s">
        <v>533</v>
      </c>
      <c r="C7" s="519">
        <v>38687</v>
      </c>
      <c r="D7" s="520"/>
      <c r="E7" s="520"/>
      <c r="F7" s="520"/>
      <c r="G7" s="541" t="s">
        <v>534</v>
      </c>
      <c r="H7" s="520"/>
      <c r="I7" s="520"/>
      <c r="J7" s="520"/>
      <c r="K7" s="520"/>
      <c r="L7" s="520"/>
      <c r="M7" s="499">
        <f>Q7+T7+W7+Z7</f>
        <v>207</v>
      </c>
      <c r="N7" s="500"/>
      <c r="O7" s="500"/>
      <c r="P7" s="501"/>
      <c r="Q7" s="499">
        <v>60</v>
      </c>
      <c r="R7" s="505"/>
      <c r="S7" s="506"/>
      <c r="T7" s="499">
        <v>120</v>
      </c>
      <c r="U7" s="505"/>
      <c r="V7" s="506"/>
      <c r="W7" s="499">
        <v>25</v>
      </c>
      <c r="X7" s="505"/>
      <c r="Y7" s="506"/>
      <c r="Z7" s="499">
        <v>2</v>
      </c>
      <c r="AA7" s="505"/>
      <c r="AB7" s="506"/>
      <c r="AC7" s="507"/>
      <c r="AD7" s="507"/>
      <c r="AE7" s="507"/>
    </row>
    <row r="8" spans="1:31" ht="20.100000000000001" customHeight="1">
      <c r="A8" s="47"/>
      <c r="B8" s="212" t="s">
        <v>613</v>
      </c>
      <c r="C8" s="496">
        <v>43061</v>
      </c>
      <c r="D8" s="497"/>
      <c r="E8" s="497"/>
      <c r="F8" s="498"/>
      <c r="G8" s="541" t="s">
        <v>534</v>
      </c>
      <c r="H8" s="520"/>
      <c r="I8" s="520"/>
      <c r="J8" s="520"/>
      <c r="K8" s="520"/>
      <c r="L8" s="520"/>
      <c r="M8" s="499">
        <f>Q8+T8+W8+Z8</f>
        <v>182.6</v>
      </c>
      <c r="N8" s="500"/>
      <c r="O8" s="500"/>
      <c r="P8" s="501"/>
      <c r="Q8" s="499">
        <v>45</v>
      </c>
      <c r="R8" s="505"/>
      <c r="S8" s="506"/>
      <c r="T8" s="499">
        <v>80</v>
      </c>
      <c r="U8" s="505"/>
      <c r="V8" s="506"/>
      <c r="W8" s="499">
        <f>T8*0.22</f>
        <v>17.600000000000001</v>
      </c>
      <c r="X8" s="505"/>
      <c r="Y8" s="506"/>
      <c r="Z8" s="499">
        <f>30/3*4</f>
        <v>40</v>
      </c>
      <c r="AA8" s="505"/>
      <c r="AB8" s="506"/>
      <c r="AC8" s="507"/>
      <c r="AD8" s="507"/>
      <c r="AE8" s="507"/>
    </row>
    <row r="9" spans="1:31" ht="20.100000000000001" customHeight="1">
      <c r="A9" s="529" t="s">
        <v>58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1"/>
      <c r="M9" s="532">
        <f>M7+M8</f>
        <v>389.6</v>
      </c>
      <c r="N9" s="533"/>
      <c r="O9" s="533"/>
      <c r="P9" s="534"/>
      <c r="Q9" s="532">
        <f>Q7+Q8</f>
        <v>105</v>
      </c>
      <c r="R9" s="533"/>
      <c r="S9" s="534"/>
      <c r="T9" s="524">
        <f>T7+T8</f>
        <v>200</v>
      </c>
      <c r="U9" s="525"/>
      <c r="V9" s="453"/>
      <c r="W9" s="524">
        <f>W7+W8</f>
        <v>42.6</v>
      </c>
      <c r="X9" s="525"/>
      <c r="Y9" s="453"/>
      <c r="Z9" s="524">
        <f>Z7+Z8</f>
        <v>42</v>
      </c>
      <c r="AA9" s="525"/>
      <c r="AB9" s="453"/>
      <c r="AC9" s="452">
        <f>SUM(AC7:AE7)</f>
        <v>0</v>
      </c>
      <c r="AD9" s="525"/>
      <c r="AE9" s="45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7"/>
      <c r="N10" s="27"/>
      <c r="O10" s="27"/>
      <c r="P10" s="27"/>
      <c r="Q10" s="42"/>
      <c r="R10" s="42"/>
      <c r="S10" s="42"/>
      <c r="T10" s="42"/>
      <c r="U10" s="42"/>
      <c r="V10" s="42"/>
      <c r="W10" s="43"/>
      <c r="X10" s="43"/>
      <c r="Y10" s="43"/>
      <c r="Z10" s="43"/>
      <c r="AA10" s="43"/>
      <c r="AB10" s="43"/>
      <c r="AC10" s="43"/>
      <c r="AD10" s="43"/>
      <c r="AE10" s="43"/>
    </row>
    <row r="11" spans="1:31" s="31" customFormat="1" ht="18.75" customHeight="1">
      <c r="B11" s="31" t="s">
        <v>258</v>
      </c>
    </row>
    <row r="12" spans="1:31" s="31" customFormat="1" ht="18.75" customHeight="1"/>
    <row r="13" spans="1:31" ht="18.75" customHeight="1">
      <c r="A13" s="489" t="s">
        <v>53</v>
      </c>
      <c r="B13" s="489" t="s">
        <v>219</v>
      </c>
      <c r="C13" s="460" t="s">
        <v>212</v>
      </c>
      <c r="D13" s="460"/>
      <c r="E13" s="460"/>
      <c r="F13" s="460"/>
      <c r="G13" s="460" t="s">
        <v>351</v>
      </c>
      <c r="H13" s="460"/>
      <c r="I13" s="460"/>
      <c r="J13" s="460"/>
      <c r="K13" s="460"/>
      <c r="L13" s="460"/>
      <c r="M13" s="460"/>
      <c r="N13" s="460"/>
      <c r="O13" s="460"/>
      <c r="P13" s="460"/>
      <c r="Q13" s="460" t="s">
        <v>220</v>
      </c>
      <c r="R13" s="460"/>
      <c r="S13" s="460"/>
      <c r="T13" s="460"/>
      <c r="U13" s="460"/>
      <c r="V13" s="450" t="s">
        <v>221</v>
      </c>
      <c r="W13" s="450"/>
      <c r="X13" s="450"/>
      <c r="Y13" s="450"/>
      <c r="Z13" s="450"/>
      <c r="AA13" s="450"/>
      <c r="AB13" s="450"/>
      <c r="AC13" s="450"/>
      <c r="AD13" s="450"/>
      <c r="AE13" s="450"/>
    </row>
    <row r="14" spans="1:31" ht="18.75" customHeight="1">
      <c r="A14" s="489"/>
      <c r="B14" s="489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50" t="s">
        <v>222</v>
      </c>
      <c r="W14" s="450"/>
      <c r="X14" s="450" t="s">
        <v>101</v>
      </c>
      <c r="Y14" s="450"/>
      <c r="Z14" s="450"/>
      <c r="AA14" s="450"/>
      <c r="AB14" s="450"/>
      <c r="AC14" s="450"/>
      <c r="AD14" s="450"/>
      <c r="AE14" s="450"/>
    </row>
    <row r="15" spans="1:31" ht="18.75" customHeight="1">
      <c r="A15" s="489"/>
      <c r="B15" s="489"/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50"/>
      <c r="W15" s="450"/>
      <c r="X15" s="450" t="s">
        <v>382</v>
      </c>
      <c r="Y15" s="450"/>
      <c r="Z15" s="450" t="s">
        <v>374</v>
      </c>
      <c r="AA15" s="450"/>
      <c r="AB15" s="450" t="s">
        <v>375</v>
      </c>
      <c r="AC15" s="450"/>
      <c r="AD15" s="450" t="s">
        <v>83</v>
      </c>
      <c r="AE15" s="450"/>
    </row>
    <row r="16" spans="1:31" ht="18" customHeight="1">
      <c r="A16" s="47">
        <v>1</v>
      </c>
      <c r="B16" s="47">
        <v>2</v>
      </c>
      <c r="C16" s="490">
        <v>3</v>
      </c>
      <c r="D16" s="490"/>
      <c r="E16" s="490"/>
      <c r="F16" s="490"/>
      <c r="G16" s="490">
        <v>4</v>
      </c>
      <c r="H16" s="490"/>
      <c r="I16" s="490"/>
      <c r="J16" s="490"/>
      <c r="K16" s="490"/>
      <c r="L16" s="490"/>
      <c r="M16" s="490"/>
      <c r="N16" s="490"/>
      <c r="O16" s="490"/>
      <c r="P16" s="490"/>
      <c r="Q16" s="490">
        <v>5</v>
      </c>
      <c r="R16" s="490"/>
      <c r="S16" s="490"/>
      <c r="T16" s="490"/>
      <c r="U16" s="490"/>
      <c r="V16" s="490">
        <v>6</v>
      </c>
      <c r="W16" s="490"/>
      <c r="X16" s="526">
        <v>7</v>
      </c>
      <c r="Y16" s="526"/>
      <c r="Z16" s="526">
        <v>8</v>
      </c>
      <c r="AA16" s="526"/>
      <c r="AB16" s="526">
        <v>9</v>
      </c>
      <c r="AC16" s="526"/>
      <c r="AD16" s="526">
        <v>10</v>
      </c>
      <c r="AE16" s="526"/>
    </row>
    <row r="17" spans="1:31" ht="20.100000000000001" customHeight="1">
      <c r="A17" s="58"/>
      <c r="B17" s="56"/>
      <c r="C17" s="491"/>
      <c r="D17" s="491"/>
      <c r="E17" s="491"/>
      <c r="F17" s="491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8"/>
      <c r="R17" s="528"/>
      <c r="S17" s="528"/>
      <c r="T17" s="528"/>
      <c r="U17" s="528"/>
      <c r="V17" s="537">
        <f>AD17</f>
        <v>0</v>
      </c>
      <c r="W17" s="537"/>
      <c r="X17" s="537"/>
      <c r="Y17" s="537"/>
      <c r="Z17" s="537"/>
      <c r="AA17" s="537"/>
      <c r="AB17" s="537"/>
      <c r="AC17" s="537"/>
      <c r="AD17" s="537"/>
      <c r="AE17" s="537"/>
    </row>
    <row r="18" spans="1:31" ht="20.100000000000001" customHeight="1">
      <c r="A18" s="489" t="s">
        <v>58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537">
        <f>AD18</f>
        <v>0</v>
      </c>
      <c r="W18" s="537"/>
      <c r="X18" s="442">
        <f>SUM(X17:Y17)</f>
        <v>0</v>
      </c>
      <c r="Y18" s="442"/>
      <c r="Z18" s="442">
        <f>SUM(Z17:AA17)</f>
        <v>0</v>
      </c>
      <c r="AA18" s="442"/>
      <c r="AB18" s="442">
        <f>SUM(AB17:AC17)</f>
        <v>0</v>
      </c>
      <c r="AC18" s="442"/>
      <c r="AD18" s="442">
        <f>SUM(AD17:AE17)</f>
        <v>0</v>
      </c>
      <c r="AE18" s="442"/>
    </row>
    <row r="19" spans="1:3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Q19" s="21"/>
      <c r="R19" s="21"/>
      <c r="S19" s="21"/>
      <c r="T19" s="21"/>
      <c r="U19" s="21"/>
      <c r="AE19" s="21"/>
    </row>
    <row r="20" spans="1:3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Q20" s="21"/>
      <c r="R20" s="21"/>
      <c r="S20" s="21"/>
      <c r="T20" s="21"/>
      <c r="U20" s="21"/>
      <c r="AE20" s="21"/>
    </row>
    <row r="21" spans="1:31" s="31" customFormat="1" ht="18.75" customHeight="1">
      <c r="B21" s="31" t="s">
        <v>235</v>
      </c>
    </row>
    <row r="22" spans="1:31">
      <c r="A22" s="17"/>
      <c r="B22" s="17"/>
      <c r="C22" s="17"/>
      <c r="D22" s="17"/>
      <c r="E22" s="17"/>
      <c r="F22" s="17"/>
      <c r="G22" s="17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17"/>
      <c r="AD22" s="51" t="s">
        <v>255</v>
      </c>
    </row>
    <row r="23" spans="1:31" ht="30" customHeight="1">
      <c r="A23" s="406" t="s">
        <v>53</v>
      </c>
      <c r="B23" s="406" t="s">
        <v>259</v>
      </c>
      <c r="C23" s="406"/>
      <c r="D23" s="406"/>
      <c r="E23" s="406"/>
      <c r="F23" s="406"/>
      <c r="G23" s="486" t="s">
        <v>57</v>
      </c>
      <c r="H23" s="487"/>
      <c r="I23" s="487"/>
      <c r="J23" s="488"/>
      <c r="K23" s="486" t="s">
        <v>93</v>
      </c>
      <c r="L23" s="487"/>
      <c r="M23" s="487"/>
      <c r="N23" s="488"/>
      <c r="O23" s="486" t="s">
        <v>310</v>
      </c>
      <c r="P23" s="487"/>
      <c r="Q23" s="487"/>
      <c r="R23" s="488"/>
      <c r="S23" s="486" t="s">
        <v>139</v>
      </c>
      <c r="T23" s="487"/>
      <c r="U23" s="487"/>
      <c r="V23" s="488"/>
      <c r="W23" s="486" t="s">
        <v>58</v>
      </c>
      <c r="X23" s="487"/>
      <c r="Y23" s="487"/>
      <c r="Z23" s="488"/>
    </row>
    <row r="24" spans="1:31" ht="30" customHeight="1">
      <c r="A24" s="406"/>
      <c r="B24" s="406"/>
      <c r="C24" s="406"/>
      <c r="D24" s="406"/>
      <c r="E24" s="406"/>
      <c r="F24" s="406"/>
      <c r="G24" s="486" t="s">
        <v>101</v>
      </c>
      <c r="H24" s="487"/>
      <c r="I24" s="487"/>
      <c r="J24" s="488"/>
      <c r="K24" s="486" t="s">
        <v>101</v>
      </c>
      <c r="L24" s="487"/>
      <c r="M24" s="487"/>
      <c r="N24" s="488"/>
      <c r="O24" s="486" t="s">
        <v>101</v>
      </c>
      <c r="P24" s="487"/>
      <c r="Q24" s="487"/>
      <c r="R24" s="488"/>
      <c r="S24" s="486" t="s">
        <v>101</v>
      </c>
      <c r="T24" s="487"/>
      <c r="U24" s="487"/>
      <c r="V24" s="488"/>
      <c r="W24" s="486" t="s">
        <v>101</v>
      </c>
      <c r="X24" s="487"/>
      <c r="Y24" s="487"/>
      <c r="Z24" s="488"/>
    </row>
    <row r="25" spans="1:31" ht="39.950000000000003" customHeight="1">
      <c r="A25" s="406"/>
      <c r="B25" s="406"/>
      <c r="C25" s="406"/>
      <c r="D25" s="406"/>
      <c r="E25" s="406"/>
      <c r="F25" s="406"/>
      <c r="G25" s="263" t="s">
        <v>383</v>
      </c>
      <c r="H25" s="263" t="s">
        <v>374</v>
      </c>
      <c r="I25" s="263" t="s">
        <v>375</v>
      </c>
      <c r="J25" s="263" t="s">
        <v>83</v>
      </c>
      <c r="K25" s="263" t="s">
        <v>383</v>
      </c>
      <c r="L25" s="263" t="s">
        <v>374</v>
      </c>
      <c r="M25" s="263" t="s">
        <v>375</v>
      </c>
      <c r="N25" s="263" t="s">
        <v>83</v>
      </c>
      <c r="O25" s="263" t="s">
        <v>383</v>
      </c>
      <c r="P25" s="263" t="s">
        <v>374</v>
      </c>
      <c r="Q25" s="263" t="s">
        <v>375</v>
      </c>
      <c r="R25" s="263" t="s">
        <v>83</v>
      </c>
      <c r="S25" s="263" t="s">
        <v>383</v>
      </c>
      <c r="T25" s="263" t="s">
        <v>374</v>
      </c>
      <c r="U25" s="263" t="s">
        <v>375</v>
      </c>
      <c r="V25" s="263" t="s">
        <v>83</v>
      </c>
      <c r="W25" s="263" t="s">
        <v>383</v>
      </c>
      <c r="X25" s="263" t="s">
        <v>374</v>
      </c>
      <c r="Y25" s="263" t="s">
        <v>375</v>
      </c>
      <c r="Z25" s="263" t="s">
        <v>83</v>
      </c>
    </row>
    <row r="26" spans="1:31" ht="18" customHeight="1">
      <c r="A26" s="263">
        <v>1</v>
      </c>
      <c r="B26" s="406">
        <v>2</v>
      </c>
      <c r="C26" s="406"/>
      <c r="D26" s="406"/>
      <c r="E26" s="406"/>
      <c r="F26" s="406"/>
      <c r="G26" s="263">
        <v>3</v>
      </c>
      <c r="H26" s="263">
        <v>4</v>
      </c>
      <c r="I26" s="263">
        <v>5</v>
      </c>
      <c r="J26" s="263">
        <v>6</v>
      </c>
      <c r="K26" s="263">
        <v>7</v>
      </c>
      <c r="L26" s="263">
        <v>8</v>
      </c>
      <c r="M26" s="263">
        <v>9</v>
      </c>
      <c r="N26" s="263">
        <v>10</v>
      </c>
      <c r="O26" s="263">
        <v>11</v>
      </c>
      <c r="P26" s="263">
        <v>12</v>
      </c>
      <c r="Q26" s="263">
        <v>13</v>
      </c>
      <c r="R26" s="263">
        <v>14</v>
      </c>
      <c r="S26" s="263">
        <v>15</v>
      </c>
      <c r="T26" s="263">
        <v>16</v>
      </c>
      <c r="U26" s="263">
        <v>17</v>
      </c>
      <c r="V26" s="263">
        <v>18</v>
      </c>
      <c r="W26" s="263">
        <v>19</v>
      </c>
      <c r="X26" s="263">
        <v>20</v>
      </c>
      <c r="Y26" s="263">
        <v>21</v>
      </c>
      <c r="Z26" s="283">
        <v>22</v>
      </c>
    </row>
    <row r="27" spans="1:31" ht="39.75" customHeight="1">
      <c r="A27" s="263"/>
      <c r="B27" s="495" t="s">
        <v>556</v>
      </c>
      <c r="C27" s="495"/>
      <c r="D27" s="495"/>
      <c r="E27" s="495"/>
      <c r="F27" s="495"/>
      <c r="G27" s="263"/>
      <c r="H27" s="263"/>
      <c r="I27" s="263"/>
      <c r="J27" s="263"/>
      <c r="K27" s="263"/>
      <c r="L27" s="263"/>
      <c r="M27" s="263"/>
      <c r="N27" s="263"/>
      <c r="O27" s="252"/>
      <c r="P27" s="252"/>
      <c r="Q27" s="252"/>
      <c r="R27" s="252"/>
      <c r="S27" s="263"/>
      <c r="T27" s="263"/>
      <c r="U27" s="263"/>
      <c r="V27" s="263"/>
      <c r="W27" s="252">
        <f>G27+K27+O27+S27</f>
        <v>0</v>
      </c>
      <c r="X27" s="252">
        <f t="shared" ref="X27:Z29" si="0">H27+L27+P27+T27</f>
        <v>0</v>
      </c>
      <c r="Y27" s="252">
        <f t="shared" si="0"/>
        <v>0</v>
      </c>
      <c r="Z27" s="252">
        <f t="shared" si="0"/>
        <v>0</v>
      </c>
    </row>
    <row r="28" spans="1:31" ht="39" customHeight="1">
      <c r="A28" s="316"/>
      <c r="B28" s="495" t="s">
        <v>535</v>
      </c>
      <c r="C28" s="495"/>
      <c r="D28" s="495"/>
      <c r="E28" s="495"/>
      <c r="F28" s="495"/>
      <c r="G28" s="312"/>
      <c r="H28" s="312"/>
      <c r="I28" s="312"/>
      <c r="J28" s="312"/>
      <c r="K28" s="312"/>
      <c r="L28" s="312">
        <v>4917</v>
      </c>
      <c r="M28" s="312">
        <v>7328</v>
      </c>
      <c r="N28" s="312">
        <v>7328</v>
      </c>
      <c r="O28" s="217"/>
      <c r="P28" s="217"/>
      <c r="Q28" s="217"/>
      <c r="R28" s="217"/>
      <c r="S28" s="312"/>
      <c r="T28" s="312"/>
      <c r="U28" s="312"/>
      <c r="V28" s="312"/>
      <c r="W28" s="252">
        <f t="shared" ref="W28:W29" si="1">G28+K28+O28+S28</f>
        <v>0</v>
      </c>
      <c r="X28" s="252">
        <f t="shared" si="0"/>
        <v>4917</v>
      </c>
      <c r="Y28" s="252">
        <f t="shared" si="0"/>
        <v>7328</v>
      </c>
      <c r="Z28" s="252">
        <f t="shared" si="0"/>
        <v>7328</v>
      </c>
    </row>
    <row r="29" spans="1:31" ht="102.75" customHeight="1">
      <c r="A29" s="316"/>
      <c r="B29" s="538" t="s">
        <v>589</v>
      </c>
      <c r="C29" s="539"/>
      <c r="D29" s="539"/>
      <c r="E29" s="539"/>
      <c r="F29" s="540"/>
      <c r="G29" s="312"/>
      <c r="H29" s="312"/>
      <c r="I29" s="312"/>
      <c r="J29" s="312"/>
      <c r="K29" s="312"/>
      <c r="L29" s="312"/>
      <c r="M29" s="312"/>
      <c r="N29" s="312"/>
      <c r="O29" s="132">
        <f>'IV. Кап. інвестиції1'!F10</f>
        <v>667</v>
      </c>
      <c r="P29" s="132">
        <v>667</v>
      </c>
      <c r="Q29" s="132">
        <v>667</v>
      </c>
      <c r="R29" s="217">
        <f>Q29</f>
        <v>667</v>
      </c>
      <c r="S29" s="312"/>
      <c r="T29" s="312"/>
      <c r="U29" s="312"/>
      <c r="V29" s="312"/>
      <c r="W29" s="252">
        <f t="shared" si="1"/>
        <v>667</v>
      </c>
      <c r="X29" s="252">
        <f t="shared" si="0"/>
        <v>667</v>
      </c>
      <c r="Y29" s="252">
        <f t="shared" si="0"/>
        <v>667</v>
      </c>
      <c r="Z29" s="252">
        <f t="shared" si="0"/>
        <v>667</v>
      </c>
    </row>
    <row r="30" spans="1:31" ht="20.100000000000001" customHeight="1">
      <c r="A30" s="521" t="s">
        <v>58</v>
      </c>
      <c r="B30" s="522"/>
      <c r="C30" s="522"/>
      <c r="D30" s="522"/>
      <c r="E30" s="522"/>
      <c r="F30" s="523"/>
      <c r="G30" s="295">
        <f t="shared" ref="G30:V30" si="2">SUM(G28:G28)</f>
        <v>0</v>
      </c>
      <c r="H30" s="295">
        <f t="shared" si="2"/>
        <v>0</v>
      </c>
      <c r="I30" s="295">
        <f t="shared" si="2"/>
        <v>0</v>
      </c>
      <c r="J30" s="295">
        <f t="shared" si="2"/>
        <v>0</v>
      </c>
      <c r="K30" s="295">
        <f t="shared" si="2"/>
        <v>0</v>
      </c>
      <c r="L30" s="295">
        <f t="shared" si="2"/>
        <v>4917</v>
      </c>
      <c r="M30" s="295">
        <f t="shared" si="2"/>
        <v>7328</v>
      </c>
      <c r="N30" s="295">
        <f t="shared" si="2"/>
        <v>7328</v>
      </c>
      <c r="O30" s="252">
        <f t="shared" ref="O30:Q30" si="3">O29+O28</f>
        <v>667</v>
      </c>
      <c r="P30" s="252">
        <f t="shared" si="3"/>
        <v>667</v>
      </c>
      <c r="Q30" s="252">
        <f t="shared" si="3"/>
        <v>667</v>
      </c>
      <c r="R30" s="252">
        <f>R29+R28</f>
        <v>667</v>
      </c>
      <c r="S30" s="295">
        <f t="shared" si="2"/>
        <v>0</v>
      </c>
      <c r="T30" s="295">
        <f t="shared" si="2"/>
        <v>0</v>
      </c>
      <c r="U30" s="295">
        <f t="shared" si="2"/>
        <v>0</v>
      </c>
      <c r="V30" s="295">
        <f t="shared" si="2"/>
        <v>0</v>
      </c>
      <c r="W30" s="252">
        <f>W27+W28+W29</f>
        <v>667</v>
      </c>
      <c r="X30" s="252">
        <f t="shared" ref="X30:Z30" si="4">X27+X28+X29</f>
        <v>5584</v>
      </c>
      <c r="Y30" s="252">
        <f t="shared" si="4"/>
        <v>7995</v>
      </c>
      <c r="Z30" s="252">
        <f t="shared" si="4"/>
        <v>7995</v>
      </c>
    </row>
    <row r="31" spans="1:31" ht="20.100000000000001" customHeight="1">
      <c r="A31" s="492" t="s">
        <v>59</v>
      </c>
      <c r="B31" s="493"/>
      <c r="C31" s="493"/>
      <c r="D31" s="493"/>
      <c r="E31" s="493"/>
      <c r="F31" s="494"/>
      <c r="G31" s="295"/>
      <c r="H31" s="295"/>
      <c r="I31" s="295"/>
      <c r="J31" s="295"/>
      <c r="K31" s="295"/>
      <c r="L31" s="252">
        <f>L30/X30*100</f>
        <v>88.055157593123212</v>
      </c>
      <c r="M31" s="252">
        <f t="shared" ref="M31:N31" si="5">M30/Y30*100</f>
        <v>91.657285803627261</v>
      </c>
      <c r="N31" s="252">
        <f t="shared" si="5"/>
        <v>91.657285803627261</v>
      </c>
      <c r="O31" s="252">
        <f>O30/W30*100</f>
        <v>100</v>
      </c>
      <c r="P31" s="252">
        <f t="shared" ref="P31:R31" si="6">P30/X30*100</f>
        <v>11.944842406876791</v>
      </c>
      <c r="Q31" s="252">
        <f t="shared" si="6"/>
        <v>8.3427141963727323</v>
      </c>
      <c r="R31" s="252">
        <f t="shared" si="6"/>
        <v>8.3427141963727323</v>
      </c>
      <c r="S31" s="295"/>
      <c r="T31" s="295"/>
      <c r="U31" s="295"/>
      <c r="V31" s="295"/>
      <c r="W31" s="252">
        <f>O31+K31</f>
        <v>100</v>
      </c>
      <c r="X31" s="252">
        <f t="shared" ref="X31:Z31" si="7">P31+L31</f>
        <v>100</v>
      </c>
      <c r="Y31" s="252">
        <f t="shared" si="7"/>
        <v>100</v>
      </c>
      <c r="Z31" s="252">
        <f t="shared" si="7"/>
        <v>100</v>
      </c>
    </row>
    <row r="32" spans="1:31" ht="20.100000000000001" customHeight="1">
      <c r="A32" s="40"/>
      <c r="B32" s="40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40"/>
      <c r="T32" s="40"/>
      <c r="U32" s="40"/>
      <c r="V32" s="40"/>
      <c r="W32" s="57"/>
      <c r="X32" s="40"/>
      <c r="Y32" s="40"/>
      <c r="Z32" s="40"/>
      <c r="AA32" s="40"/>
    </row>
    <row r="33" spans="1:31" ht="20.100000000000001" customHeight="1">
      <c r="A33" s="7"/>
      <c r="B33" s="7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31" s="31" customFormat="1" ht="20.100000000000001" customHeight="1">
      <c r="B34" s="31" t="s">
        <v>260</v>
      </c>
    </row>
    <row r="35" spans="1:31" s="52" customFormat="1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K35" s="1"/>
      <c r="AD35" s="51" t="s">
        <v>255</v>
      </c>
    </row>
    <row r="36" spans="1:31" s="53" customFormat="1" ht="34.5" customHeight="1">
      <c r="A36" s="450" t="s">
        <v>227</v>
      </c>
      <c r="B36" s="460" t="s">
        <v>309</v>
      </c>
      <c r="C36" s="460" t="s">
        <v>339</v>
      </c>
      <c r="D36" s="460"/>
      <c r="E36" s="460" t="s">
        <v>228</v>
      </c>
      <c r="F36" s="460"/>
      <c r="G36" s="460" t="s">
        <v>229</v>
      </c>
      <c r="H36" s="460"/>
      <c r="I36" s="460" t="s">
        <v>301</v>
      </c>
      <c r="J36" s="460"/>
      <c r="K36" s="460" t="s">
        <v>150</v>
      </c>
      <c r="L36" s="460"/>
      <c r="M36" s="460"/>
      <c r="N36" s="460"/>
      <c r="O36" s="460"/>
      <c r="P36" s="460"/>
      <c r="Q36" s="460"/>
      <c r="R36" s="460"/>
      <c r="S36" s="460"/>
      <c r="T36" s="460"/>
      <c r="U36" s="460" t="s">
        <v>340</v>
      </c>
      <c r="V36" s="460"/>
      <c r="W36" s="460"/>
      <c r="X36" s="460"/>
      <c r="Y36" s="460"/>
      <c r="Z36" s="460" t="s">
        <v>305</v>
      </c>
      <c r="AA36" s="460"/>
      <c r="AB36" s="460"/>
      <c r="AC36" s="460"/>
      <c r="AD36" s="460"/>
      <c r="AE36" s="460"/>
    </row>
    <row r="37" spans="1:31" s="53" customFormat="1" ht="52.5" customHeight="1">
      <c r="A37" s="450"/>
      <c r="B37" s="460"/>
      <c r="C37" s="460"/>
      <c r="D37" s="460"/>
      <c r="E37" s="460"/>
      <c r="F37" s="460"/>
      <c r="G37" s="460"/>
      <c r="H37" s="460"/>
      <c r="I37" s="460"/>
      <c r="J37" s="460"/>
      <c r="K37" s="460" t="s">
        <v>352</v>
      </c>
      <c r="L37" s="460"/>
      <c r="M37" s="460" t="s">
        <v>353</v>
      </c>
      <c r="N37" s="460"/>
      <c r="O37" s="460" t="s">
        <v>338</v>
      </c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60"/>
    </row>
    <row r="38" spans="1:31" s="54" customFormat="1" ht="82.5" customHeight="1">
      <c r="A38" s="450"/>
      <c r="B38" s="460"/>
      <c r="C38" s="460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 t="s">
        <v>302</v>
      </c>
      <c r="P38" s="460"/>
      <c r="Q38" s="460" t="s">
        <v>303</v>
      </c>
      <c r="R38" s="460"/>
      <c r="S38" s="460" t="s">
        <v>304</v>
      </c>
      <c r="T38" s="460"/>
      <c r="U38" s="460"/>
      <c r="V38" s="460"/>
      <c r="W38" s="460"/>
      <c r="X38" s="460"/>
      <c r="Y38" s="460"/>
      <c r="Z38" s="460"/>
      <c r="AA38" s="460"/>
      <c r="AB38" s="460"/>
      <c r="AC38" s="460"/>
      <c r="AD38" s="460"/>
      <c r="AE38" s="460"/>
    </row>
    <row r="39" spans="1:31" s="53" customFormat="1" ht="18" customHeight="1">
      <c r="A39" s="184">
        <v>1</v>
      </c>
      <c r="B39" s="185">
        <v>2</v>
      </c>
      <c r="C39" s="460">
        <v>3</v>
      </c>
      <c r="D39" s="460"/>
      <c r="E39" s="460">
        <v>4</v>
      </c>
      <c r="F39" s="460"/>
      <c r="G39" s="460">
        <v>5</v>
      </c>
      <c r="H39" s="460"/>
      <c r="I39" s="460">
        <v>6</v>
      </c>
      <c r="J39" s="460"/>
      <c r="K39" s="454">
        <v>7</v>
      </c>
      <c r="L39" s="456"/>
      <c r="M39" s="454">
        <v>8</v>
      </c>
      <c r="N39" s="456"/>
      <c r="O39" s="460">
        <v>9</v>
      </c>
      <c r="P39" s="460"/>
      <c r="Q39" s="450">
        <v>10</v>
      </c>
      <c r="R39" s="450"/>
      <c r="S39" s="460">
        <v>11</v>
      </c>
      <c r="T39" s="460"/>
      <c r="U39" s="460">
        <v>12</v>
      </c>
      <c r="V39" s="460"/>
      <c r="W39" s="460"/>
      <c r="X39" s="460"/>
      <c r="Y39" s="460"/>
      <c r="Z39" s="460">
        <v>13</v>
      </c>
      <c r="AA39" s="460"/>
      <c r="AB39" s="460"/>
      <c r="AC39" s="460"/>
      <c r="AD39" s="460"/>
      <c r="AE39" s="460"/>
    </row>
    <row r="40" spans="1:31" s="53" customFormat="1" ht="20.100000000000001" customHeight="1">
      <c r="A40" s="193"/>
      <c r="B40" s="147"/>
      <c r="C40" s="550"/>
      <c r="D40" s="550"/>
      <c r="E40" s="441"/>
      <c r="F40" s="441"/>
      <c r="G40" s="441"/>
      <c r="H40" s="441"/>
      <c r="I40" s="441"/>
      <c r="J40" s="441"/>
      <c r="K40" s="444"/>
      <c r="L40" s="445"/>
      <c r="M40" s="452">
        <f>SUM(O40,Q40,S40)</f>
        <v>0</v>
      </c>
      <c r="N40" s="453"/>
      <c r="O40" s="441"/>
      <c r="P40" s="441"/>
      <c r="Q40" s="441"/>
      <c r="R40" s="441"/>
      <c r="S40" s="441"/>
      <c r="T40" s="441"/>
      <c r="U40" s="471"/>
      <c r="V40" s="471"/>
      <c r="W40" s="471"/>
      <c r="X40" s="471"/>
      <c r="Y40" s="471"/>
      <c r="Z40" s="545"/>
      <c r="AA40" s="545"/>
      <c r="AB40" s="545"/>
      <c r="AC40" s="545"/>
      <c r="AD40" s="545"/>
      <c r="AE40" s="545"/>
    </row>
    <row r="41" spans="1:31" s="53" customFormat="1" ht="20.100000000000001" customHeight="1">
      <c r="A41" s="193"/>
      <c r="B41" s="147"/>
      <c r="C41" s="550"/>
      <c r="D41" s="550"/>
      <c r="E41" s="441"/>
      <c r="F41" s="441"/>
      <c r="G41" s="441"/>
      <c r="H41" s="441"/>
      <c r="I41" s="441"/>
      <c r="J41" s="441"/>
      <c r="K41" s="444"/>
      <c r="L41" s="445"/>
      <c r="M41" s="452">
        <f>SUM(O41,Q41,S41)</f>
        <v>0</v>
      </c>
      <c r="N41" s="453"/>
      <c r="O41" s="441"/>
      <c r="P41" s="441"/>
      <c r="Q41" s="441"/>
      <c r="R41" s="441"/>
      <c r="S41" s="441"/>
      <c r="T41" s="441"/>
      <c r="U41" s="471"/>
      <c r="V41" s="471"/>
      <c r="W41" s="471"/>
      <c r="X41" s="471"/>
      <c r="Y41" s="471"/>
      <c r="Z41" s="545"/>
      <c r="AA41" s="545"/>
      <c r="AB41" s="545"/>
      <c r="AC41" s="545"/>
      <c r="AD41" s="545"/>
      <c r="AE41" s="545"/>
    </row>
    <row r="42" spans="1:31" s="53" customFormat="1" ht="20.100000000000001" customHeight="1">
      <c r="A42" s="551" t="s">
        <v>58</v>
      </c>
      <c r="B42" s="552"/>
      <c r="C42" s="552"/>
      <c r="D42" s="553"/>
      <c r="E42" s="442">
        <f>SUM(E40:F41)</f>
        <v>0</v>
      </c>
      <c r="F42" s="442"/>
      <c r="G42" s="442">
        <f>SUM(G40:H41)</f>
        <v>0</v>
      </c>
      <c r="H42" s="442"/>
      <c r="I42" s="442">
        <f>SUM(I40:J41)</f>
        <v>0</v>
      </c>
      <c r="J42" s="442"/>
      <c r="K42" s="442">
        <f>SUM(K40:L41)</f>
        <v>0</v>
      </c>
      <c r="L42" s="442"/>
      <c r="M42" s="442">
        <f>SUM(M40:N41)</f>
        <v>0</v>
      </c>
      <c r="N42" s="442"/>
      <c r="O42" s="442">
        <f>SUM(O40:P41)</f>
        <v>0</v>
      </c>
      <c r="P42" s="442"/>
      <c r="Q42" s="442">
        <f>SUM(Q40:R41)</f>
        <v>0</v>
      </c>
      <c r="R42" s="442"/>
      <c r="S42" s="442">
        <f>SUM(S40:T41)</f>
        <v>0</v>
      </c>
      <c r="T42" s="442"/>
      <c r="U42" s="543"/>
      <c r="V42" s="543"/>
      <c r="W42" s="543"/>
      <c r="X42" s="543"/>
      <c r="Y42" s="543"/>
      <c r="Z42" s="544"/>
      <c r="AA42" s="544"/>
      <c r="AB42" s="544"/>
      <c r="AC42" s="544"/>
      <c r="AD42" s="544"/>
      <c r="AE42" s="544"/>
    </row>
    <row r="43" spans="1:31" s="53" customFormat="1" ht="20.100000000000001" customHeight="1">
      <c r="A43" s="19"/>
      <c r="B43" s="19"/>
      <c r="C43" s="19"/>
      <c r="D43" s="19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6"/>
      <c r="V43" s="206"/>
      <c r="W43" s="206"/>
      <c r="X43" s="206"/>
      <c r="Y43" s="206"/>
      <c r="Z43" s="207"/>
      <c r="AA43" s="207"/>
      <c r="AB43" s="207"/>
      <c r="AC43" s="207"/>
      <c r="AD43" s="207"/>
      <c r="AE43" s="207"/>
    </row>
    <row r="44" spans="1:31" s="53" customFormat="1" ht="20.100000000000001" customHeight="1">
      <c r="A44" s="19"/>
      <c r="B44" s="19"/>
      <c r="C44" s="19"/>
      <c r="D44" s="19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6"/>
      <c r="V44" s="206"/>
      <c r="W44" s="206"/>
      <c r="X44" s="206"/>
      <c r="Y44" s="206"/>
      <c r="Z44" s="207"/>
      <c r="AA44" s="207"/>
      <c r="AB44" s="207"/>
      <c r="AC44" s="207"/>
      <c r="AD44" s="207"/>
      <c r="AE44" s="207"/>
    </row>
    <row r="45" spans="1:31" ht="20.100000000000001" customHeight="1">
      <c r="A45" s="7"/>
      <c r="B45" s="7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31" ht="20.100000000000001" customHeight="1">
      <c r="A46" s="7"/>
      <c r="B46" s="7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31" s="194" customFormat="1" ht="20.100000000000001" customHeight="1">
      <c r="C47" s="31"/>
      <c r="D47" s="31"/>
      <c r="E47" s="31"/>
      <c r="F47" s="31"/>
      <c r="G47" s="31"/>
      <c r="H47" s="31"/>
      <c r="I47" s="31"/>
      <c r="J47" s="31"/>
      <c r="K47" s="31"/>
    </row>
    <row r="48" spans="1:31" s="26" customFormat="1" ht="20.100000000000001" customHeight="1">
      <c r="B48" s="546" t="s">
        <v>603</v>
      </c>
      <c r="C48" s="547"/>
      <c r="D48" s="547"/>
      <c r="E48" s="547"/>
      <c r="F48" s="547"/>
      <c r="G48" s="192"/>
      <c r="H48" s="192"/>
      <c r="I48" s="192"/>
      <c r="J48" s="192"/>
      <c r="K48" s="192"/>
      <c r="L48" s="548" t="s">
        <v>265</v>
      </c>
      <c r="M48" s="548"/>
      <c r="N48" s="548"/>
      <c r="O48" s="548"/>
      <c r="P48" s="548"/>
      <c r="Q48" s="50"/>
      <c r="R48" s="50"/>
      <c r="S48" s="50"/>
      <c r="T48" s="50"/>
      <c r="U48" s="50"/>
      <c r="V48" s="517" t="s">
        <v>604</v>
      </c>
      <c r="W48" s="549"/>
      <c r="X48" s="549"/>
      <c r="Y48" s="549"/>
      <c r="Z48" s="549"/>
    </row>
    <row r="49" spans="2:26" s="194" customFormat="1" ht="19.5" customHeight="1">
      <c r="B49" s="3"/>
      <c r="C49" s="194" t="s">
        <v>80</v>
      </c>
      <c r="E49" s="33"/>
      <c r="F49" s="33"/>
      <c r="G49" s="33"/>
      <c r="H49" s="33"/>
      <c r="I49" s="33"/>
      <c r="J49" s="33"/>
      <c r="K49" s="33"/>
      <c r="M49" s="3"/>
      <c r="N49" s="16" t="s">
        <v>81</v>
      </c>
      <c r="O49" s="3"/>
      <c r="Q49" s="33"/>
      <c r="R49" s="33"/>
      <c r="S49" s="33"/>
      <c r="V49" s="542" t="s">
        <v>140</v>
      </c>
      <c r="W49" s="542"/>
      <c r="X49" s="542"/>
      <c r="Y49" s="542"/>
      <c r="Z49" s="542"/>
    </row>
    <row r="50" spans="2:26" ht="20.100000000000001" customHeight="1">
      <c r="B50" s="28"/>
      <c r="C50" s="28"/>
      <c r="D50" s="28"/>
      <c r="E50" s="28"/>
      <c r="F50" s="28"/>
      <c r="G50" s="28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28"/>
      <c r="U50" s="28"/>
    </row>
    <row r="51" spans="2:26" ht="20.100000000000001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2:26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2:26">
      <c r="B53" s="29"/>
    </row>
    <row r="56" spans="2:26" ht="19.5">
      <c r="B56" s="30"/>
    </row>
    <row r="57" spans="2:26" ht="19.5">
      <c r="B57" s="30"/>
    </row>
    <row r="58" spans="2:26" ht="19.5">
      <c r="B58" s="30"/>
    </row>
    <row r="59" spans="2:26" ht="19.5">
      <c r="B59" s="30"/>
    </row>
    <row r="60" spans="2:26" ht="19.5">
      <c r="B60" s="30"/>
    </row>
    <row r="61" spans="2:26" ht="19.5">
      <c r="B61" s="30"/>
    </row>
    <row r="62" spans="2:26" ht="19.5">
      <c r="B62" s="30"/>
    </row>
  </sheetData>
  <mergeCells count="158">
    <mergeCell ref="B48:F48"/>
    <mergeCell ref="L48:P48"/>
    <mergeCell ref="V48:Z48"/>
    <mergeCell ref="C39:D39"/>
    <mergeCell ref="C40:D40"/>
    <mergeCell ref="E40:F40"/>
    <mergeCell ref="G39:H39"/>
    <mergeCell ref="K24:N24"/>
    <mergeCell ref="A42:D42"/>
    <mergeCell ref="Q42:R42"/>
    <mergeCell ref="K42:L42"/>
    <mergeCell ref="M41:N41"/>
    <mergeCell ref="S38:T38"/>
    <mergeCell ref="M39:N39"/>
    <mergeCell ref="I39:J39"/>
    <mergeCell ref="G41:H41"/>
    <mergeCell ref="C41:D41"/>
    <mergeCell ref="E41:F41"/>
    <mergeCell ref="E39:F39"/>
    <mergeCell ref="E42:F42"/>
    <mergeCell ref="I41:J41"/>
    <mergeCell ref="G40:H40"/>
    <mergeCell ref="I40:J40"/>
    <mergeCell ref="I42:J42"/>
    <mergeCell ref="V49:Z49"/>
    <mergeCell ref="U42:Y42"/>
    <mergeCell ref="G36:H38"/>
    <mergeCell ref="S24:V24"/>
    <mergeCell ref="W23:Z23"/>
    <mergeCell ref="Z42:AE42"/>
    <mergeCell ref="S42:T42"/>
    <mergeCell ref="S23:V23"/>
    <mergeCell ref="S39:T39"/>
    <mergeCell ref="Z41:AE41"/>
    <mergeCell ref="U39:Y39"/>
    <mergeCell ref="W24:Z24"/>
    <mergeCell ref="Z40:AE40"/>
    <mergeCell ref="S41:T41"/>
    <mergeCell ref="K36:T36"/>
    <mergeCell ref="K41:L41"/>
    <mergeCell ref="M37:N38"/>
    <mergeCell ref="O39:P39"/>
    <mergeCell ref="O38:P38"/>
    <mergeCell ref="Z36:AE38"/>
    <mergeCell ref="O41:P41"/>
    <mergeCell ref="Z39:AE39"/>
    <mergeCell ref="Q41:R41"/>
    <mergeCell ref="G42:H42"/>
    <mergeCell ref="AB1:AE1"/>
    <mergeCell ref="S40:T40"/>
    <mergeCell ref="A18:U18"/>
    <mergeCell ref="K39:L39"/>
    <mergeCell ref="K40:L40"/>
    <mergeCell ref="Q40:R40"/>
    <mergeCell ref="O40:P40"/>
    <mergeCell ref="O37:T37"/>
    <mergeCell ref="M40:N40"/>
    <mergeCell ref="V16:W16"/>
    <mergeCell ref="AB18:AC18"/>
    <mergeCell ref="AD18:AE18"/>
    <mergeCell ref="X18:Y18"/>
    <mergeCell ref="V18:W18"/>
    <mergeCell ref="Z18:AA18"/>
    <mergeCell ref="X17:Y17"/>
    <mergeCell ref="V17:W17"/>
    <mergeCell ref="Z17:AA17"/>
    <mergeCell ref="AD17:AE17"/>
    <mergeCell ref="AB17:AC17"/>
    <mergeCell ref="U36:Y38"/>
    <mergeCell ref="B29:F29"/>
    <mergeCell ref="G8:L8"/>
    <mergeCell ref="G7:L7"/>
    <mergeCell ref="Z9:AB9"/>
    <mergeCell ref="T9:V9"/>
    <mergeCell ref="Z16:AA16"/>
    <mergeCell ref="X16:Y16"/>
    <mergeCell ref="G17:P17"/>
    <mergeCell ref="Q17:U17"/>
    <mergeCell ref="V13:AE13"/>
    <mergeCell ref="Q13:U15"/>
    <mergeCell ref="V14:W15"/>
    <mergeCell ref="AD15:AE15"/>
    <mergeCell ref="W9:Y9"/>
    <mergeCell ref="X14:AE14"/>
    <mergeCell ref="X15:Y15"/>
    <mergeCell ref="A9:L9"/>
    <mergeCell ref="M9:P9"/>
    <mergeCell ref="Q9:S9"/>
    <mergeCell ref="A13:A15"/>
    <mergeCell ref="AB15:AC15"/>
    <mergeCell ref="AC9:AE9"/>
    <mergeCell ref="G13:P15"/>
    <mergeCell ref="Z15:AA15"/>
    <mergeCell ref="AB16:AC16"/>
    <mergeCell ref="AD16:AE16"/>
    <mergeCell ref="Q16:U16"/>
    <mergeCell ref="U40:Y40"/>
    <mergeCell ref="U41:Y41"/>
    <mergeCell ref="K37:L38"/>
    <mergeCell ref="O23:R23"/>
    <mergeCell ref="Q39:R39"/>
    <mergeCell ref="E36:F38"/>
    <mergeCell ref="G24:J24"/>
    <mergeCell ref="I36:J38"/>
    <mergeCell ref="B28:F28"/>
    <mergeCell ref="K23:N23"/>
    <mergeCell ref="Q38:R38"/>
    <mergeCell ref="O24:R24"/>
    <mergeCell ref="A30:F30"/>
    <mergeCell ref="A4:A5"/>
    <mergeCell ref="B4:B5"/>
    <mergeCell ref="C4:F5"/>
    <mergeCell ref="C7:F7"/>
    <mergeCell ref="M4:P5"/>
    <mergeCell ref="G4:L5"/>
    <mergeCell ref="G6:L6"/>
    <mergeCell ref="M7:P7"/>
    <mergeCell ref="C6:F6"/>
    <mergeCell ref="C8:F8"/>
    <mergeCell ref="M8:P8"/>
    <mergeCell ref="Q6:S6"/>
    <mergeCell ref="Q7:S7"/>
    <mergeCell ref="T7:V7"/>
    <mergeCell ref="M6:P6"/>
    <mergeCell ref="Q4:AE4"/>
    <mergeCell ref="T5:V5"/>
    <mergeCell ref="W5:Y5"/>
    <mergeCell ref="Z5:AB5"/>
    <mergeCell ref="AC8:AE8"/>
    <mergeCell ref="Q8:S8"/>
    <mergeCell ref="T8:V8"/>
    <mergeCell ref="W8:Y8"/>
    <mergeCell ref="Z8:AB8"/>
    <mergeCell ref="W7:Y7"/>
    <mergeCell ref="Z7:AB7"/>
    <mergeCell ref="Q5:S5"/>
    <mergeCell ref="AC5:AE5"/>
    <mergeCell ref="AC6:AE6"/>
    <mergeCell ref="AC7:AE7"/>
    <mergeCell ref="Z6:AB6"/>
    <mergeCell ref="W6:Y6"/>
    <mergeCell ref="T6:V6"/>
    <mergeCell ref="M42:N42"/>
    <mergeCell ref="O42:P42"/>
    <mergeCell ref="G23:J23"/>
    <mergeCell ref="B13:B15"/>
    <mergeCell ref="C13:F15"/>
    <mergeCell ref="B26:F26"/>
    <mergeCell ref="C16:F16"/>
    <mergeCell ref="C17:F17"/>
    <mergeCell ref="B23:F25"/>
    <mergeCell ref="A31:F31"/>
    <mergeCell ref="A23:A25"/>
    <mergeCell ref="A36:A38"/>
    <mergeCell ref="B36:B38"/>
    <mergeCell ref="C36:D38"/>
    <mergeCell ref="B27:F27"/>
    <mergeCell ref="G16:P16"/>
  </mergeCells>
  <phoneticPr fontId="3" type="noConversion"/>
  <pageMargins left="0.39370078740157483" right="0.39370078740157483" top="0.39370078740157483" bottom="0.39370078740157483" header="0.27559055118110237" footer="0.31496062992125984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Лист1</vt:lpstr>
      <vt:lpstr>осн. фин пок</vt:lpstr>
      <vt:lpstr>I. Фін результат</vt:lpstr>
      <vt:lpstr>ІІ. Розр. з бюджетом</vt:lpstr>
      <vt:lpstr>ІІІ. Рух грош. коштів</vt:lpstr>
      <vt:lpstr>IV. Кап. інвестиції1</vt:lpstr>
      <vt:lpstr>V. коеф</vt:lpstr>
      <vt:lpstr>6.1. Інша інфо_1</vt:lpstr>
      <vt:lpstr>6.2. Інша інфо_2</vt:lpstr>
      <vt:lpstr>Лист2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'ІІ. Розр. з бюджетом'!Область_печати</vt:lpstr>
      <vt:lpstr>'ІІІ. Рух грош. коштів'!Область_печати</vt:lpstr>
    </vt:vector>
  </TitlesOfParts>
  <Company>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G1840-1</cp:lastModifiedBy>
  <cp:lastPrinted>2020-01-14T13:52:05Z</cp:lastPrinted>
  <dcterms:created xsi:type="dcterms:W3CDTF">2003-03-13T16:00:22Z</dcterms:created>
  <dcterms:modified xsi:type="dcterms:W3CDTF">2020-01-14T13:52:40Z</dcterms:modified>
</cp:coreProperties>
</file>