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45" windowWidth="12000" windowHeight="6420" tabRatio="837" activeTab="1"/>
  </bookViews>
  <sheets>
    <sheet name="Осн. фін. пок." sheetId="14" r:id="rId1"/>
    <sheet name="I. Фін результат" sheetId="2" r:id="rId2"/>
    <sheet name="ІІ. Розр. з бюджетом" sheetId="19" r:id="rId3"/>
    <sheet name="ІІІ. Рух грош. коштів" sheetId="18" r:id="rId4"/>
    <sheet name="IV. Кап. інвестиції" sheetId="3" r:id="rId5"/>
    <sheet name=" V. Коефіцієнти" sheetId="11" r:id="rId6"/>
    <sheet name="6.1. Інша інфо_1" sheetId="10" r:id="rId7"/>
    <sheet name="штатка" sheetId="20" r:id="rId8"/>
    <sheet name="6.2. Інша інфо_2" sheetId="9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V. Коефіцієнти'!$5:$5</definedName>
    <definedName name="_xlnm.Print_Titles" localSheetId="1">'I. Фін результат'!$5:$5</definedName>
    <definedName name="_xlnm.Print_Titles" localSheetId="2">'ІІ. Розр. з бюджетом'!$5:$5</definedName>
    <definedName name="_xlnm.Print_Titles" localSheetId="3">'ІІІ. Рух грош. коштів'!$5:$5</definedName>
    <definedName name="_xlnm.Print_Titles" localSheetId="0">'Осн. фін. пок.'!$36:$36</definedName>
    <definedName name="Заголовки_для_печати_МИ">'[28]1993'!$A$1:$IV$3,'[28]1993'!$A$1:$A$65536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V. Коефіцієнти'!$A$1:$H$26</definedName>
    <definedName name="_xlnm.Print_Area" localSheetId="6">'6.1. Інша інфо_1'!$A$1:$O$81</definedName>
    <definedName name="_xlnm.Print_Area" localSheetId="8">'6.2. Інша інфо_2'!$A$1:$AE$59</definedName>
    <definedName name="_xlnm.Print_Area" localSheetId="1">'I. Фін результат'!$A$1:$J$106</definedName>
    <definedName name="_xlnm.Print_Area" localSheetId="4">'IV. Кап. інвестиції'!$A$1:$I$16</definedName>
    <definedName name="_xlnm.Print_Area" localSheetId="2">'ІІ. Розр. з бюджетом'!$A$1:$I$41</definedName>
    <definedName name="_xlnm.Print_Area" localSheetId="3">'ІІІ. Рух грош. коштів'!$A$1:$I$76</definedName>
    <definedName name="_xlnm.Print_Area" localSheetId="0">'Осн. фін. пок.'!$A$1:$J$87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G48" i="2"/>
  <c r="H48" s="1"/>
  <c r="G7" l="1"/>
  <c r="H27" i="10"/>
  <c r="P9" i="20"/>
  <c r="R9" s="1"/>
  <c r="T9" s="1"/>
  <c r="P10"/>
  <c r="Q10"/>
  <c r="Q9"/>
  <c r="N10"/>
  <c r="R10" s="1"/>
  <c r="T10" s="1"/>
  <c r="N9"/>
  <c r="O10"/>
  <c r="O9"/>
  <c r="O8"/>
  <c r="Q8" s="1"/>
  <c r="S8" s="1"/>
  <c r="A16"/>
  <c r="A15"/>
  <c r="I48" i="2"/>
  <c r="F7"/>
  <c r="H7"/>
  <c r="I7"/>
  <c r="U6" i="20"/>
  <c r="T6"/>
  <c r="M10"/>
  <c r="S10" s="1"/>
  <c r="J10"/>
  <c r="M9"/>
  <c r="S9" s="1"/>
  <c r="M8"/>
  <c r="U7"/>
  <c r="T7"/>
  <c r="S7"/>
  <c r="R7"/>
  <c r="Q7"/>
  <c r="P7"/>
  <c r="O7"/>
  <c r="N7"/>
  <c r="S6"/>
  <c r="R6"/>
  <c r="Q6"/>
  <c r="P6"/>
  <c r="O6"/>
  <c r="N6"/>
  <c r="N8" l="1"/>
  <c r="P8" s="1"/>
  <c r="R8" s="1"/>
  <c r="T8" s="1"/>
  <c r="U8"/>
  <c r="U10"/>
  <c r="U9"/>
  <c r="V9" s="1"/>
  <c r="N17"/>
  <c r="V6"/>
  <c r="V10"/>
  <c r="V7"/>
  <c r="V8"/>
  <c r="E8" i="2" l="1"/>
  <c r="E49"/>
  <c r="E47"/>
  <c r="E48"/>
  <c r="E69"/>
  <c r="C80" i="14"/>
  <c r="C15" i="18"/>
  <c r="D57" i="10"/>
  <c r="E57"/>
  <c r="F57"/>
  <c r="F32"/>
  <c r="D32"/>
  <c r="N39" i="20"/>
  <c r="N34"/>
  <c r="F24" i="10"/>
  <c r="D24"/>
  <c r="D68" i="2" l="1"/>
  <c r="E68"/>
  <c r="F68"/>
  <c r="G68"/>
  <c r="H68"/>
  <c r="I68"/>
  <c r="C68"/>
  <c r="C7"/>
  <c r="C9"/>
  <c r="C20" s="1"/>
  <c r="C21"/>
  <c r="C46"/>
  <c r="C24" s="1"/>
  <c r="C50"/>
  <c r="C57"/>
  <c r="C63" l="1"/>
  <c r="C73" s="1"/>
  <c r="N24" i="20" l="1"/>
  <c r="H19" i="10" s="1"/>
  <c r="N29" i="20"/>
  <c r="H23" i="10" s="1"/>
  <c r="C97" i="2"/>
  <c r="D21"/>
  <c r="E21"/>
  <c r="F21"/>
  <c r="G21"/>
  <c r="H21"/>
  <c r="I21"/>
  <c r="E19" i="11"/>
  <c r="D19"/>
  <c r="J31" i="10"/>
  <c r="E7" i="19" l="1"/>
  <c r="J33" i="10" l="1"/>
  <c r="J29"/>
  <c r="J27"/>
  <c r="E16" i="18"/>
  <c r="H57" i="10"/>
  <c r="I57"/>
  <c r="J57"/>
  <c r="K57"/>
  <c r="L57"/>
  <c r="N57"/>
  <c r="O57"/>
  <c r="M56"/>
  <c r="M57" s="1"/>
  <c r="G56"/>
  <c r="G57" s="1"/>
  <c r="F23"/>
  <c r="N12"/>
  <c r="L13"/>
  <c r="L14"/>
  <c r="L15"/>
  <c r="L12"/>
  <c r="D80" i="14"/>
  <c r="D77"/>
  <c r="D8" i="19"/>
  <c r="H46" i="2"/>
  <c r="D46"/>
  <c r="D24" s="1"/>
  <c r="E46"/>
  <c r="F46"/>
  <c r="G46"/>
  <c r="I46"/>
  <c r="E17" i="11"/>
  <c r="E14"/>
  <c r="E15"/>
  <c r="D12" i="18"/>
  <c r="E12"/>
  <c r="C12"/>
  <c r="N18" i="20" l="1"/>
  <c r="P17"/>
  <c r="J23" i="10"/>
  <c r="L27"/>
  <c r="L29"/>
  <c r="L21"/>
  <c r="O17" i="20" l="1"/>
  <c r="N40"/>
  <c r="J32" i="10" s="1"/>
  <c r="V12" i="20"/>
  <c r="Q17"/>
  <c r="N25"/>
  <c r="K102" i="2"/>
  <c r="K32"/>
  <c r="M32"/>
  <c r="H32" s="1"/>
  <c r="J19" i="10"/>
  <c r="N19" s="1"/>
  <c r="N29"/>
  <c r="N25"/>
  <c r="L25"/>
  <c r="D23"/>
  <c r="L32" i="2" l="1"/>
  <c r="G32" s="1"/>
  <c r="G97" s="1"/>
  <c r="O18" i="20"/>
  <c r="L103" i="2" s="1"/>
  <c r="L102"/>
  <c r="N30" i="20"/>
  <c r="H24" i="10" s="1"/>
  <c r="N35" i="20"/>
  <c r="J28" i="10" s="1"/>
  <c r="H20"/>
  <c r="H28" s="1"/>
  <c r="H32" s="1"/>
  <c r="L32" s="1"/>
  <c r="N32"/>
  <c r="F32" i="2"/>
  <c r="F97" s="1"/>
  <c r="J20" i="10"/>
  <c r="L19"/>
  <c r="M102" i="2"/>
  <c r="Q18" i="20"/>
  <c r="N32" i="2"/>
  <c r="I32" s="1"/>
  <c r="K103"/>
  <c r="K33"/>
  <c r="P18" i="20"/>
  <c r="N102" i="2"/>
  <c r="N23" i="10"/>
  <c r="L23"/>
  <c r="F77" i="14"/>
  <c r="E83" i="2"/>
  <c r="F48" i="14" s="1"/>
  <c r="N13" i="10"/>
  <c r="N14"/>
  <c r="N15"/>
  <c r="F58" i="14"/>
  <c r="F33" i="10"/>
  <c r="H33"/>
  <c r="D33"/>
  <c r="H31"/>
  <c r="D31"/>
  <c r="C8" i="19"/>
  <c r="C84" i="2"/>
  <c r="M7" i="9"/>
  <c r="M8"/>
  <c r="M9"/>
  <c r="M10"/>
  <c r="M11"/>
  <c r="Q11"/>
  <c r="T11"/>
  <c r="W11"/>
  <c r="Z11"/>
  <c r="AC11"/>
  <c r="V19"/>
  <c r="V20"/>
  <c r="V21"/>
  <c r="V22"/>
  <c r="V23"/>
  <c r="X23"/>
  <c r="Z23"/>
  <c r="AB23"/>
  <c r="AD23"/>
  <c r="W32"/>
  <c r="X32"/>
  <c r="Y32"/>
  <c r="Z32"/>
  <c r="W33"/>
  <c r="X33"/>
  <c r="Y33"/>
  <c r="Z33"/>
  <c r="W34"/>
  <c r="X34"/>
  <c r="Y34"/>
  <c r="Z34"/>
  <c r="W35"/>
  <c r="X35"/>
  <c r="Y35"/>
  <c r="Z35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M46"/>
  <c r="M47"/>
  <c r="M48"/>
  <c r="M49"/>
  <c r="M50"/>
  <c r="M51"/>
  <c r="M52"/>
  <c r="E53"/>
  <c r="G53"/>
  <c r="I53"/>
  <c r="K53"/>
  <c r="M53"/>
  <c r="O53"/>
  <c r="Q53"/>
  <c r="S53"/>
  <c r="K66" i="10"/>
  <c r="D14" i="11"/>
  <c r="C72" i="14" s="1"/>
  <c r="F72"/>
  <c r="D15" i="11"/>
  <c r="C6" i="3"/>
  <c r="D6"/>
  <c r="E6"/>
  <c r="F6"/>
  <c r="G6"/>
  <c r="H6"/>
  <c r="I6"/>
  <c r="C21" i="18"/>
  <c r="F21"/>
  <c r="G21"/>
  <c r="H21"/>
  <c r="C39"/>
  <c r="C63" i="14" s="1"/>
  <c r="D39" i="18"/>
  <c r="E39"/>
  <c r="F39"/>
  <c r="G39"/>
  <c r="H39"/>
  <c r="I39"/>
  <c r="C54"/>
  <c r="D54"/>
  <c r="E54"/>
  <c r="C55"/>
  <c r="D55"/>
  <c r="E55"/>
  <c r="E8" i="19"/>
  <c r="C20"/>
  <c r="D20"/>
  <c r="E20"/>
  <c r="C21"/>
  <c r="D21"/>
  <c r="E21"/>
  <c r="C22"/>
  <c r="C55" i="14" s="1"/>
  <c r="F22" i="19"/>
  <c r="G22"/>
  <c r="H22"/>
  <c r="C34"/>
  <c r="C25" s="1"/>
  <c r="D34"/>
  <c r="D57" i="14" s="1"/>
  <c r="E34" i="19"/>
  <c r="F57" i="14" s="1"/>
  <c r="D7" i="2"/>
  <c r="E7"/>
  <c r="F38" i="14" s="1"/>
  <c r="G84" i="2"/>
  <c r="H84"/>
  <c r="D9"/>
  <c r="E9"/>
  <c r="F9"/>
  <c r="F20" s="1"/>
  <c r="G9"/>
  <c r="H9"/>
  <c r="I9"/>
  <c r="C41" i="14"/>
  <c r="D41"/>
  <c r="D50" i="2"/>
  <c r="D42" i="14" s="1"/>
  <c r="E50" i="2"/>
  <c r="F50"/>
  <c r="G50"/>
  <c r="H50"/>
  <c r="I50"/>
  <c r="E42" i="14" s="1"/>
  <c r="G42" s="1"/>
  <c r="H42" s="1"/>
  <c r="I42" s="1"/>
  <c r="J42" s="1"/>
  <c r="C81" i="2"/>
  <c r="C43" i="14" s="1"/>
  <c r="D57" i="2"/>
  <c r="D81" s="1"/>
  <c r="D43" i="14" s="1"/>
  <c r="E57" i="2"/>
  <c r="E81" s="1"/>
  <c r="F43" i="14" s="1"/>
  <c r="F57" i="2"/>
  <c r="F81" s="1"/>
  <c r="G57"/>
  <c r="G81" s="1"/>
  <c r="H57"/>
  <c r="H81" s="1"/>
  <c r="I57"/>
  <c r="I81"/>
  <c r="E43" i="14" s="1"/>
  <c r="G43" s="1"/>
  <c r="H43" s="1"/>
  <c r="I43" s="1"/>
  <c r="J43" s="1"/>
  <c r="C82" i="2"/>
  <c r="D82"/>
  <c r="D47" i="14" s="1"/>
  <c r="E82" i="2"/>
  <c r="F82"/>
  <c r="G82"/>
  <c r="H82"/>
  <c r="I82"/>
  <c r="C83"/>
  <c r="C48" i="14" s="1"/>
  <c r="D83" i="2"/>
  <c r="F83"/>
  <c r="G83"/>
  <c r="H83"/>
  <c r="I83"/>
  <c r="I84"/>
  <c r="C89"/>
  <c r="D89"/>
  <c r="E89"/>
  <c r="F89"/>
  <c r="G89"/>
  <c r="H89"/>
  <c r="I89"/>
  <c r="C90"/>
  <c r="D90"/>
  <c r="E90"/>
  <c r="F90"/>
  <c r="G90"/>
  <c r="H90"/>
  <c r="I90"/>
  <c r="C95"/>
  <c r="D95"/>
  <c r="E95"/>
  <c r="F95"/>
  <c r="G95"/>
  <c r="H95"/>
  <c r="I95"/>
  <c r="C96"/>
  <c r="D96"/>
  <c r="E96"/>
  <c r="F96"/>
  <c r="G96"/>
  <c r="H96"/>
  <c r="I96"/>
  <c r="D97"/>
  <c r="H97"/>
  <c r="C98"/>
  <c r="D98"/>
  <c r="C99"/>
  <c r="C9" i="18" s="1"/>
  <c r="D99" i="2"/>
  <c r="D9" i="18" s="1"/>
  <c r="E99" i="2"/>
  <c r="E88" s="1"/>
  <c r="F99"/>
  <c r="F9" i="18" s="1"/>
  <c r="G99" i="2"/>
  <c r="G9" i="18" s="1"/>
  <c r="H99" i="2"/>
  <c r="H9" i="18" s="1"/>
  <c r="I99" i="2"/>
  <c r="I9" i="18" s="1"/>
  <c r="C100" i="2"/>
  <c r="G100"/>
  <c r="I100"/>
  <c r="B38" i="14"/>
  <c r="C38"/>
  <c r="E38"/>
  <c r="G38" s="1"/>
  <c r="H38" s="1"/>
  <c r="I38" s="1"/>
  <c r="J38" s="1"/>
  <c r="B39"/>
  <c r="C39"/>
  <c r="D39"/>
  <c r="E39"/>
  <c r="G39" s="1"/>
  <c r="H39" s="1"/>
  <c r="I39" s="1"/>
  <c r="J39" s="1"/>
  <c r="B40"/>
  <c r="B41"/>
  <c r="B42"/>
  <c r="C42"/>
  <c r="F42"/>
  <c r="B43"/>
  <c r="B44"/>
  <c r="B45"/>
  <c r="B46"/>
  <c r="B47"/>
  <c r="C47"/>
  <c r="F47"/>
  <c r="E47"/>
  <c r="G47" s="1"/>
  <c r="H47" s="1"/>
  <c r="I47" s="1"/>
  <c r="J47" s="1"/>
  <c r="B48"/>
  <c r="D48"/>
  <c r="E48"/>
  <c r="G48" s="1"/>
  <c r="H48" s="1"/>
  <c r="I48" s="1"/>
  <c r="J48" s="1"/>
  <c r="B49"/>
  <c r="B50"/>
  <c r="C50"/>
  <c r="B51"/>
  <c r="B52"/>
  <c r="B54"/>
  <c r="B55"/>
  <c r="C56"/>
  <c r="D56"/>
  <c r="F56"/>
  <c r="E56"/>
  <c r="G56" s="1"/>
  <c r="H56" s="1"/>
  <c r="I56" s="1"/>
  <c r="J56" s="1"/>
  <c r="B57"/>
  <c r="B58"/>
  <c r="C58"/>
  <c r="D58"/>
  <c r="B59"/>
  <c r="B61"/>
  <c r="C61"/>
  <c r="D61"/>
  <c r="B62"/>
  <c r="B63"/>
  <c r="D63"/>
  <c r="F63"/>
  <c r="E63"/>
  <c r="G63" s="1"/>
  <c r="H63" s="1"/>
  <c r="I63" s="1"/>
  <c r="J63" s="1"/>
  <c r="B64"/>
  <c r="B65"/>
  <c r="C65"/>
  <c r="D65"/>
  <c r="F65"/>
  <c r="E65"/>
  <c r="G65" s="1"/>
  <c r="H65" s="1"/>
  <c r="I65" s="1"/>
  <c r="J65" s="1"/>
  <c r="B66"/>
  <c r="B68"/>
  <c r="C68"/>
  <c r="D68"/>
  <c r="F68"/>
  <c r="E68"/>
  <c r="B70"/>
  <c r="B71"/>
  <c r="B72"/>
  <c r="E72"/>
  <c r="F80"/>
  <c r="E80"/>
  <c r="L33" i="2" l="1"/>
  <c r="G33" s="1"/>
  <c r="G98" s="1"/>
  <c r="I97"/>
  <c r="I29" i="19" s="1"/>
  <c r="E32" i="2"/>
  <c r="E97" s="1"/>
  <c r="L28" i="10"/>
  <c r="E84" i="2"/>
  <c r="N28" i="10"/>
  <c r="L20"/>
  <c r="N20"/>
  <c r="F100" i="2"/>
  <c r="H100"/>
  <c r="D100"/>
  <c r="G20"/>
  <c r="F35" i="19"/>
  <c r="F34" s="1"/>
  <c r="F29"/>
  <c r="F33" i="2"/>
  <c r="F98" s="1"/>
  <c r="H35" i="19"/>
  <c r="H34" s="1"/>
  <c r="H29"/>
  <c r="G29"/>
  <c r="G35"/>
  <c r="G34" s="1"/>
  <c r="J24" i="10"/>
  <c r="C94" i="2"/>
  <c r="D20"/>
  <c r="D40" i="14" s="1"/>
  <c r="F31" i="10"/>
  <c r="N27"/>
  <c r="N103" i="2"/>
  <c r="N33"/>
  <c r="I33" s="1"/>
  <c r="E33" s="1"/>
  <c r="E98" s="1"/>
  <c r="M103"/>
  <c r="M33"/>
  <c r="H33" s="1"/>
  <c r="I88"/>
  <c r="C85"/>
  <c r="K98"/>
  <c r="F36" i="19" s="1"/>
  <c r="I20" i="2"/>
  <c r="E9" i="18"/>
  <c r="D88" i="2"/>
  <c r="E20"/>
  <c r="F40" i="14" s="1"/>
  <c r="F7" i="11" s="1"/>
  <c r="G18"/>
  <c r="G17"/>
  <c r="D38" i="14"/>
  <c r="H88" i="2"/>
  <c r="H20"/>
  <c r="C19" i="19"/>
  <c r="C54" i="14" s="1"/>
  <c r="D18" i="11"/>
  <c r="E66" i="18"/>
  <c r="F64" i="14" s="1"/>
  <c r="C66" i="18"/>
  <c r="C64" i="14" s="1"/>
  <c r="C88" i="2"/>
  <c r="F84"/>
  <c r="D84"/>
  <c r="L98"/>
  <c r="G36" i="19" s="1"/>
  <c r="M98" i="2"/>
  <c r="H36" i="19" s="1"/>
  <c r="F39" i="14"/>
  <c r="D17" i="11"/>
  <c r="E100" i="2"/>
  <c r="D66" i="18"/>
  <c r="H94" i="2"/>
  <c r="F94"/>
  <c r="D94"/>
  <c r="D101" s="1"/>
  <c r="E19" i="19"/>
  <c r="F54" i="14" s="1"/>
  <c r="I94" i="2"/>
  <c r="G94"/>
  <c r="E94"/>
  <c r="C101"/>
  <c r="D63"/>
  <c r="D73" s="1"/>
  <c r="D19" i="19"/>
  <c r="D54" i="14" s="1"/>
  <c r="F18" i="11"/>
  <c r="E18" s="1"/>
  <c r="G40" i="14"/>
  <c r="E7" i="11"/>
  <c r="C40" i="14"/>
  <c r="D7" i="11" s="1"/>
  <c r="C57" i="14"/>
  <c r="C37" i="19"/>
  <c r="C59" i="14" s="1"/>
  <c r="G88" i="2"/>
  <c r="L33" i="10"/>
  <c r="F88" i="2"/>
  <c r="I35" i="19" l="1"/>
  <c r="I34" s="1"/>
  <c r="I25" s="1"/>
  <c r="E57" i="14" s="1"/>
  <c r="G57" s="1"/>
  <c r="H57" s="1"/>
  <c r="I57" s="1"/>
  <c r="J57" s="1"/>
  <c r="N98" i="2"/>
  <c r="I36" i="19" s="1"/>
  <c r="E58" i="14" s="1"/>
  <c r="G58" s="1"/>
  <c r="H58" s="1"/>
  <c r="I58" s="1"/>
  <c r="J58" s="1"/>
  <c r="L24" i="10"/>
  <c r="N24"/>
  <c r="G101" i="2"/>
  <c r="F101"/>
  <c r="G24"/>
  <c r="F24"/>
  <c r="H24"/>
  <c r="H85" s="1"/>
  <c r="H98"/>
  <c r="H101" s="1"/>
  <c r="I24"/>
  <c r="E24" s="1"/>
  <c r="I98"/>
  <c r="I101" s="1"/>
  <c r="E40" i="14"/>
  <c r="G7" i="11" s="1"/>
  <c r="H25" i="19"/>
  <c r="G25"/>
  <c r="F25"/>
  <c r="N33" i="10"/>
  <c r="N31"/>
  <c r="L31"/>
  <c r="D64" i="14"/>
  <c r="E101" i="2"/>
  <c r="D44" i="14"/>
  <c r="D87" i="2"/>
  <c r="D92" s="1"/>
  <c r="D45" i="14" s="1"/>
  <c r="D7" i="18"/>
  <c r="D49" i="14"/>
  <c r="H40"/>
  <c r="C87" i="2"/>
  <c r="C92" s="1"/>
  <c r="C45" i="14" s="1"/>
  <c r="D8" i="11" s="1"/>
  <c r="C44" i="14"/>
  <c r="E41" l="1"/>
  <c r="G41" s="1"/>
  <c r="H41" s="1"/>
  <c r="I41" s="1"/>
  <c r="J41" s="1"/>
  <c r="E85" i="2"/>
  <c r="H63"/>
  <c r="H87" s="1"/>
  <c r="H92" s="1"/>
  <c r="F85"/>
  <c r="F63"/>
  <c r="G85"/>
  <c r="G63"/>
  <c r="D15" i="18"/>
  <c r="D20" s="1"/>
  <c r="I63" i="2"/>
  <c r="C46" i="14"/>
  <c r="D13" i="11"/>
  <c r="J40" i="14"/>
  <c r="I40"/>
  <c r="D50"/>
  <c r="D22" i="19"/>
  <c r="D21" i="18"/>
  <c r="D85" i="2"/>
  <c r="F50" i="14"/>
  <c r="E21" i="18"/>
  <c r="E22" i="19"/>
  <c r="C76" i="2"/>
  <c r="C49" i="14"/>
  <c r="C7" i="18"/>
  <c r="D76" i="2"/>
  <c r="I44" i="14" l="1"/>
  <c r="I49" s="1"/>
  <c r="I50" s="1"/>
  <c r="H44"/>
  <c r="H49" s="1"/>
  <c r="H50" s="1"/>
  <c r="H55" s="1"/>
  <c r="F41"/>
  <c r="E63" i="2"/>
  <c r="J44" i="14"/>
  <c r="J49" s="1"/>
  <c r="J50" s="1"/>
  <c r="G44"/>
  <c r="G49" s="1"/>
  <c r="G50" s="1"/>
  <c r="G55" s="1"/>
  <c r="H73" i="2"/>
  <c r="H7" i="18" s="1"/>
  <c r="H15" s="1"/>
  <c r="H20" s="1"/>
  <c r="H22" s="1"/>
  <c r="G73" i="2"/>
  <c r="G87"/>
  <c r="G92" s="1"/>
  <c r="F73"/>
  <c r="F87"/>
  <c r="F92" s="1"/>
  <c r="D22" i="18"/>
  <c r="D70" s="1"/>
  <c r="D76" i="14" s="1"/>
  <c r="E44"/>
  <c r="I73" i="2"/>
  <c r="I74" s="1"/>
  <c r="I87"/>
  <c r="I92" s="1"/>
  <c r="E45" i="14" s="1"/>
  <c r="G45" s="1"/>
  <c r="H45" s="1"/>
  <c r="I45" s="1"/>
  <c r="J45" s="1"/>
  <c r="C20" i="18"/>
  <c r="C22" s="1"/>
  <c r="C70" s="1"/>
  <c r="H7" i="19"/>
  <c r="E37"/>
  <c r="F59" i="14" s="1"/>
  <c r="F55"/>
  <c r="D71" i="18"/>
  <c r="C77" i="2"/>
  <c r="C78"/>
  <c r="C51" i="14"/>
  <c r="D55"/>
  <c r="D37" i="19"/>
  <c r="D59" i="14" s="1"/>
  <c r="D51"/>
  <c r="D78" i="2"/>
  <c r="D77"/>
  <c r="H51" i="14" l="1"/>
  <c r="H54" s="1"/>
  <c r="G51"/>
  <c r="G54" s="1"/>
  <c r="F44"/>
  <c r="E73" i="2"/>
  <c r="E87"/>
  <c r="E92" s="1"/>
  <c r="F45" i="14" s="1"/>
  <c r="D66"/>
  <c r="D62"/>
  <c r="H76" i="2"/>
  <c r="H9" i="19" s="1"/>
  <c r="H10" s="1"/>
  <c r="F76" i="2"/>
  <c r="F7" i="18"/>
  <c r="F15" s="1"/>
  <c r="F20" s="1"/>
  <c r="F22" s="1"/>
  <c r="G76" i="2"/>
  <c r="G7" i="18"/>
  <c r="G15" s="1"/>
  <c r="G20" s="1"/>
  <c r="G22" s="1"/>
  <c r="G13" i="11"/>
  <c r="G8"/>
  <c r="E46" i="14" s="1"/>
  <c r="G46" s="1"/>
  <c r="H46" s="1"/>
  <c r="I46" s="1"/>
  <c r="J46" s="1"/>
  <c r="I7" i="18"/>
  <c r="I15" s="1"/>
  <c r="I20" s="1"/>
  <c r="I76" i="2"/>
  <c r="E49" i="14"/>
  <c r="I7" i="19"/>
  <c r="G7"/>
  <c r="F7"/>
  <c r="C62" i="14"/>
  <c r="C71" i="18"/>
  <c r="I51" i="14"/>
  <c r="I54" s="1"/>
  <c r="I55"/>
  <c r="H52"/>
  <c r="J51"/>
  <c r="J54" s="1"/>
  <c r="J55"/>
  <c r="D9" i="11"/>
  <c r="C70" i="14" s="1"/>
  <c r="D11" i="11"/>
  <c r="C52" i="14" s="1"/>
  <c r="D10" i="11"/>
  <c r="C71" i="14" s="1"/>
  <c r="G52" l="1"/>
  <c r="F8" i="11"/>
  <c r="F13"/>
  <c r="E13" s="1"/>
  <c r="F49" i="14"/>
  <c r="E76" i="2"/>
  <c r="E7" i="18"/>
  <c r="E15" s="1"/>
  <c r="E20" s="1"/>
  <c r="E22" s="1"/>
  <c r="H77" i="2"/>
  <c r="H78"/>
  <c r="F9" i="19"/>
  <c r="I9"/>
  <c r="H20"/>
  <c r="H54" i="18"/>
  <c r="H8" i="19"/>
  <c r="H17" s="1"/>
  <c r="I10"/>
  <c r="H55" i="18"/>
  <c r="H21" i="19"/>
  <c r="G77" i="2"/>
  <c r="G78"/>
  <c r="F77"/>
  <c r="F78"/>
  <c r="C66" i="14"/>
  <c r="I78" i="2"/>
  <c r="E51" i="14"/>
  <c r="G11" i="11" s="1"/>
  <c r="E52" i="14" s="1"/>
  <c r="I77" i="2"/>
  <c r="I22" i="19"/>
  <c r="I85" i="2"/>
  <c r="E50" i="14"/>
  <c r="I21" i="18"/>
  <c r="I22" s="1"/>
  <c r="J52" i="14"/>
  <c r="I52"/>
  <c r="F61"/>
  <c r="G59"/>
  <c r="E70" i="18" l="1"/>
  <c r="F76" i="14" s="1"/>
  <c r="E71" i="18"/>
  <c r="F62" i="14"/>
  <c r="F46"/>
  <c r="E8" i="11"/>
  <c r="D46" i="14" s="1"/>
  <c r="E78" i="2"/>
  <c r="F51" i="14"/>
  <c r="E77" i="2"/>
  <c r="I21" i="19"/>
  <c r="I55" i="18"/>
  <c r="G9" i="19"/>
  <c r="F20"/>
  <c r="F54" i="18"/>
  <c r="I54"/>
  <c r="I8" i="19"/>
  <c r="I17" s="1"/>
  <c r="I20"/>
  <c r="H19"/>
  <c r="H37" s="1"/>
  <c r="H66" i="18"/>
  <c r="H71" s="1"/>
  <c r="F10" i="19"/>
  <c r="F21" s="1"/>
  <c r="E62" i="14"/>
  <c r="G62" s="1"/>
  <c r="H62" s="1"/>
  <c r="I62" s="1"/>
  <c r="J62" s="1"/>
  <c r="E55"/>
  <c r="H59"/>
  <c r="G68" i="18" l="1"/>
  <c r="F68"/>
  <c r="I68"/>
  <c r="E61" i="14" s="1"/>
  <c r="H68" i="18"/>
  <c r="F66" i="14"/>
  <c r="F9" i="11"/>
  <c r="F10"/>
  <c r="F11"/>
  <c r="I19" i="19"/>
  <c r="H70" i="18"/>
  <c r="G10" i="19"/>
  <c r="G8" s="1"/>
  <c r="G17" s="1"/>
  <c r="F55" i="18"/>
  <c r="F66" s="1"/>
  <c r="F71" s="1"/>
  <c r="F19" i="19"/>
  <c r="F37" s="1"/>
  <c r="G54" i="18"/>
  <c r="G20" i="19"/>
  <c r="F8"/>
  <c r="F17" s="1"/>
  <c r="I66" i="18"/>
  <c r="E77" i="14"/>
  <c r="E83"/>
  <c r="G10" i="11" s="1"/>
  <c r="E71" i="14" s="1"/>
  <c r="G9" i="11"/>
  <c r="E70" i="14" s="1"/>
  <c r="J59"/>
  <c r="I59"/>
  <c r="I70" i="18" l="1"/>
  <c r="E76" i="14" s="1"/>
  <c r="F52"/>
  <c r="E11" i="11"/>
  <c r="E9"/>
  <c r="F70" i="14"/>
  <c r="F71"/>
  <c r="E10" i="11"/>
  <c r="E54" i="14"/>
  <c r="I37" i="19"/>
  <c r="E59" i="14" s="1"/>
  <c r="E64"/>
  <c r="G64" s="1"/>
  <c r="H64" s="1"/>
  <c r="I64" s="1"/>
  <c r="J64" s="1"/>
  <c r="I71" i="18"/>
  <c r="G21" i="19"/>
  <c r="G19" s="1"/>
  <c r="G37" s="1"/>
  <c r="G55" i="18"/>
  <c r="G66" s="1"/>
  <c r="F70"/>
  <c r="E66" i="14" l="1"/>
  <c r="G61" s="1"/>
  <c r="G66" s="1"/>
  <c r="H61" s="1"/>
  <c r="H66" s="1"/>
  <c r="I61" s="1"/>
  <c r="I66" s="1"/>
  <c r="J61" s="1"/>
  <c r="J66" s="1"/>
  <c r="G71" i="18"/>
  <c r="G70"/>
</calcChain>
</file>

<file path=xl/sharedStrings.xml><?xml version="1.0" encoding="utf-8"?>
<sst xmlns="http://schemas.openxmlformats.org/spreadsheetml/2006/main" count="721" uniqueCount="477">
  <si>
    <t>Код рядка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</si>
  <si>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</si>
  <si>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</si>
  <si>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</si>
  <si>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</si>
  <si>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</si>
  <si>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</si>
  <si>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</si>
  <si>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</si>
  <si>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</si>
  <si>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</si>
  <si>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Прізвище та ініціали керівника  </t>
  </si>
  <si>
    <t xml:space="preserve">Код рядка </t>
  </si>
  <si>
    <t>Додаток 1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</si>
  <si>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</si>
  <si>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</si>
  <si>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</si>
  <si>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</si>
  <si>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</si>
  <si>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</si>
  <si>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</si>
  <si>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</si>
  <si>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</si>
  <si>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</si>
  <si>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Факт минулого року</t>
  </si>
  <si>
    <t>Виручка від реалізації основних фондів</t>
  </si>
  <si>
    <t xml:space="preserve">Виручка від реалізації нематеріальних активів </t>
  </si>
  <si>
    <t>Грошові кошти:</t>
  </si>
  <si>
    <t>на початок періоду</t>
  </si>
  <si>
    <t>Чистий грошовий потік</t>
  </si>
  <si>
    <t>Забезпечення</t>
  </si>
  <si>
    <t>х</t>
  </si>
  <si>
    <t>Фінансовий план поточного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</si>
  <si>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</si>
  <si>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</si>
  <si>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</si>
  <si>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</si>
  <si>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</si>
  <si>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</si>
  <si>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</si>
  <si>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</si>
  <si>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</si>
  <si>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</si>
  <si>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</si>
  <si>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</si>
  <si>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</si>
  <si>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</si>
  <si>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</si>
  <si>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</si>
  <si>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</si>
  <si>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</si>
  <si>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</si>
  <si>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</si>
  <si>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</si>
  <si>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</si>
  <si>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</si>
  <si>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</si>
  <si>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</si>
  <si>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</si>
  <si>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</si>
  <si>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</si>
  <si>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</si>
  <si>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</si>
  <si>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План поточного року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</si>
  <si>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</si>
  <si>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</si>
  <si>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</si>
  <si>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</si>
  <si>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</si>
  <si>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</si>
  <si>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</si>
  <si>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>за минулий рік</t>
  </si>
  <si>
    <t>за плановий рік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</si>
  <si>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</si>
  <si>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</si>
  <si>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</si>
  <si>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</si>
  <si>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</si>
  <si>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</si>
  <si>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рік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</si>
  <si>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</si>
  <si>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</si>
  <si>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</si>
  <si>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</si>
  <si>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</si>
  <si>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</si>
  <si>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</si>
  <si>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Заборгованість за кредитами на початок ______ року</t>
  </si>
  <si>
    <t>Заборгованість за кредитами на кінець ______ року</t>
  </si>
  <si>
    <t>Бюджетне фінансування</t>
  </si>
  <si>
    <t>інші платежі (розшифрувати)</t>
  </si>
  <si>
    <t xml:space="preserve">      1. Дані про підприємство, персонал та фонд заробітної плати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</si>
  <si>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</si>
  <si>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</si>
  <si>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</si>
  <si>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</si>
  <si>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</si>
  <si>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</si>
  <si>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у тому числі за кварталами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</si>
  <si>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</si>
  <si>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</si>
  <si>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</si>
  <si>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</si>
  <si>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</si>
  <si>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Факт за звітний період поточного року на останню дату</t>
  </si>
  <si>
    <t>Планові показники</t>
  </si>
  <si>
    <t>Примітки</t>
  </si>
  <si>
    <t>&gt; 0</t>
  </si>
  <si>
    <t xml:space="preserve">         (ініціали, прізвище)    </t>
  </si>
  <si>
    <t>у тому числі:</t>
  </si>
  <si>
    <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</si>
  <si>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рентна плата за транспортування</t>
  </si>
  <si>
    <t>_____________________________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</si>
  <si>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</si>
  <si>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</si>
  <si>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</si>
  <si>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</si>
  <si>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</si>
  <si>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</si>
  <si>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</si>
  <si>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</si>
  <si>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</si>
  <si>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</si>
  <si>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місцеві податки та збори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</si>
  <si>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</si>
  <si>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</si>
  <si>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</si>
  <si>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</si>
  <si>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</si>
  <si>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</si>
  <si>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Інформація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</si>
  <si>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</si>
  <si>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</si>
  <si>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</si>
  <si>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</si>
  <si>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</si>
  <si>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</si>
  <si>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</si>
  <si>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</si>
  <si>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</si>
  <si>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</si>
  <si>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</si>
  <si>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</si>
  <si>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Плановий рік</t>
  </si>
  <si>
    <t>Код за ЄДРПОУ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</si>
  <si>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</si>
  <si>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</si>
  <si>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</si>
  <si>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</si>
  <si>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</si>
  <si>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</si>
  <si>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</si>
  <si>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</si>
  <si>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</si>
  <si>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</si>
  <si>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</si>
  <si>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</si>
  <si>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</si>
  <si>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</si>
  <si>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</si>
  <si>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</si>
  <si>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</si>
  <si>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</si>
  <si>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</si>
  <si>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</si>
  <si>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</si>
  <si>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</si>
  <si>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</si>
  <si>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</si>
  <si>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</si>
  <si>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</si>
  <si>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</si>
  <si>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</si>
  <si>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</si>
  <si>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</si>
  <si>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Прогноз на поточний рік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</si>
  <si>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</si>
  <si>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</si>
  <si>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</si>
  <si>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</si>
  <si>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</si>
  <si>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</si>
  <si>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</si>
  <si>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</si>
  <si>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</si>
  <si>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</si>
  <si>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</si>
  <si>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</si>
  <si>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</si>
  <si>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</si>
  <si>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</si>
  <si>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</si>
  <si>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</si>
  <si>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</si>
  <si>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</si>
  <si>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</si>
  <si>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</si>
  <si>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</si>
  <si>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</si>
  <si>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</si>
  <si>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</si>
  <si>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</si>
  <si>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</si>
  <si>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</si>
  <si>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</si>
  <si>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</si>
  <si>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</si>
  <si>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</si>
  <si>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</si>
  <si>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</si>
  <si>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</si>
  <si>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</si>
  <si>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</si>
  <si>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Усього на рік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</si>
  <si>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</si>
  <si>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</si>
  <si>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</si>
  <si>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</si>
  <si>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</si>
  <si>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</si>
  <si>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</si>
  <si>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</si>
  <si>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</si>
  <si>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 xml:space="preserve">IV. Капітальні інвестиції 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</si>
  <si>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</si>
  <si>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</si>
  <si>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</si>
  <si>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</si>
  <si>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</si>
  <si>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</si>
  <si>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</si>
  <si>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</si>
  <si>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</si>
  <si>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</si>
  <si>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x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</si>
  <si>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</si>
  <si>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</si>
  <si>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</si>
  <si>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</si>
  <si>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</si>
  <si>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2120 / 2130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</si>
  <si>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</si>
  <si>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</si>
  <si>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</si>
  <si>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Пояснення та обґрунтування до запланованого рівня доходів/витрат</t>
  </si>
  <si>
    <t>Елементи операційних витрат</t>
  </si>
  <si>
    <t>тис. гривень (без ПДВ)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</si>
  <si>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</si>
  <si>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</si>
  <si>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</si>
  <si>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</si>
  <si>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</si>
  <si>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</si>
  <si>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</si>
  <si>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 xml:space="preserve">                                (посада)</t>
  </si>
  <si>
    <t>_________________________</t>
  </si>
  <si>
    <t>____________________________________________</t>
  </si>
  <si>
    <t>Коди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</si>
  <si>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</si>
  <si>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</si>
  <si>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</si>
  <si>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</si>
  <si>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</si>
  <si>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</si>
  <si>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погашення реструктуризованих та відстрочених сум,  що підлягають сплаті в поточному році до бюджетів та державних цільових фондів</t>
  </si>
  <si>
    <t xml:space="preserve">                                                                   (посада)</t>
  </si>
  <si>
    <t xml:space="preserve">                (ініціали, прізвище)    </t>
  </si>
  <si>
    <t>директор</t>
  </si>
  <si>
    <t>працівники</t>
  </si>
  <si>
    <t>Найменування показника</t>
  </si>
  <si>
    <t>Інформація згідно із стратегічним планом розвитку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</si>
  <si>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</si>
  <si>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</si>
  <si>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</si>
  <si>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Усього зобов'язання і забезпечення</t>
  </si>
  <si>
    <t>Усього активи</t>
  </si>
  <si>
    <t>Доходи і витрати (деталізація)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</si>
  <si>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</si>
  <si>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</si>
  <si>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 (рядок 1100)</t>
  </si>
  <si>
    <t>плюс амортизація (рядок 1530)</t>
  </si>
  <si>
    <t>мінус операційні доходи від курсових різниць (рядок 1031)</t>
  </si>
  <si>
    <t>плюс операційні витрати від курсових різниць (рядок 1084)</t>
  </si>
  <si>
    <t>Інші операційні доходи/витрати
(рядок 1030 - рядок 1080)</t>
  </si>
  <si>
    <t>Надходження</t>
  </si>
  <si>
    <t xml:space="preserve">Надходження </t>
  </si>
  <si>
    <t>Витрати</t>
  </si>
  <si>
    <t>Ковенанти/обмежувальні коефіцієнти</t>
  </si>
  <si>
    <t>Фонд оплати праці, тис. гривень, у тому числі:</t>
  </si>
  <si>
    <t>Витрати на оплату праці, тис. гривень, у тому числі:</t>
  </si>
  <si>
    <t>Плановий рік до плану поточного року, %</t>
  </si>
  <si>
    <t>Плановий рік до факту минулого року, %</t>
  </si>
  <si>
    <t>адміністративно-управлінський персонал</t>
  </si>
  <si>
    <t>Незавершене будівництво на початок планового року</t>
  </si>
  <si>
    <t>власні кошти</t>
  </si>
  <si>
    <t>кредитні кошти</t>
  </si>
  <si>
    <t>інші джерела (зазначити джерело)</t>
  </si>
  <si>
    <t>Документ, яким затверджений титул будови, із зазначенням органу, який його погодив</t>
  </si>
  <si>
    <t>У тому числі за їх видами</t>
  </si>
  <si>
    <t xml:space="preserve">                    (підпис)</t>
  </si>
  <si>
    <t xml:space="preserve">                                     (посада)</t>
  </si>
  <si>
    <t xml:space="preserve">Найменування об’єктів </t>
  </si>
  <si>
    <t>Власні кошти (розшифрувати)</t>
  </si>
  <si>
    <t>Валовий прибуток/збиток</t>
  </si>
  <si>
    <t>витрати на сировину та основні матеріали</t>
  </si>
  <si>
    <t>Доходи і витрати (узагальнені показники)</t>
  </si>
  <si>
    <t>Матеріальні витрати, у тому числі:</t>
  </si>
  <si>
    <t>Коефіцієнт відношення боргу до EBITDA
(довгострокові зобов'язання, рядок 6040 + поточні зобов'язання, рядок 6050 / EBITDA, рядок 1410)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</si>
  <si>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</si>
  <si>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</si>
  <si>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</si>
  <si>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Коефіцієнт відношення капітальних інвестицій до чистого доходу (виручки) від реалізації продукції (товарів, робіт, послуг)
(рядок 4000 / рядок 1000)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</si>
  <si>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</si>
  <si>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</si>
  <si>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</si>
  <si>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</si>
  <si>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</si>
  <si>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</si>
  <si>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</si>
  <si>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</si>
  <si>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 У разі збільшення витрат на оплату праці в плановому році порівняно з установленим рівнем поточного року та фактом попереднього року надаються обґрунтування. </t>
  </si>
  <si>
    <t xml:space="preserve">      2. Перелік підприємств, які включені до консолідованого (зведеного) фінансового плану</t>
  </si>
  <si>
    <t>Найменування підприємства</t>
  </si>
  <si>
    <t>Питома вага в загальному обсязі реалізації, %</t>
  </si>
  <si>
    <t>чистий дохід  від реалізації продукції (товарів, робіт, послуг),     тис. гривень</t>
  </si>
  <si>
    <t>кількість продукції/             наданих послуг, одиниця виміру</t>
  </si>
  <si>
    <t>ціна одиниці     (вартість  продукції/     наданих послуг), гривень</t>
  </si>
  <si>
    <t>Дата видачі/погашення (графік)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</si>
  <si>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</si>
  <si>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</si>
  <si>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</si>
  <si>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 xml:space="preserve">у тому числі </t>
  </si>
  <si>
    <t>Рік початку                і закінчення будівництва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</si>
  <si>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</si>
  <si>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 xml:space="preserve">               (підпис)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</si>
  <si>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</si>
  <si>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</si>
  <si>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</si>
  <si>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Характеризує ефективність використання активів підприємства</t>
  </si>
  <si>
    <t>Характеризує ефективність господарської діяльності підприємства</t>
  </si>
  <si>
    <t>Характеризує співвідношення власних та позикових коштів і залежність підприємства від зовнішніх фінансових джерел</t>
  </si>
  <si>
    <t>Характеризує інвестиційну політику підприємства</t>
  </si>
  <si>
    <t>Показує достатність ресурсів підприємства, які може бути використано для погашення його поточних зобов'язань.  Нормативним значенням для цього показника є &gt; 1–1,5</t>
  </si>
  <si>
    <t>Мета використання</t>
  </si>
  <si>
    <t>освоєння капітальних вкладень</t>
  </si>
  <si>
    <t>фінансування капітальних інвестицій (оплата грошовими коштами), усього</t>
  </si>
  <si>
    <t>М. П.</t>
  </si>
  <si>
    <t>План з повернення коштів</t>
  </si>
  <si>
    <t>мінус/плюс значні нетипові операційні доходи/витрати (розшифрувати)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</si>
  <si>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</si>
  <si>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</si>
  <si>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</si>
  <si>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</si>
  <si>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План із залучення коштів</t>
  </si>
  <si>
    <t>плановий рік
+4 роки</t>
  </si>
  <si>
    <t>Податок на додану вартість нарахований/до відшкодування
(з мінусом)</t>
  </si>
  <si>
    <t>Коефіцієнт рентабельності активів
(чистий фінансовий результат, рядок 1200 / вартість активів, рядок 6030)</t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</si>
  <si>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</si>
  <si>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</si>
  <si>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Відрахування частини чистого прибутку</t>
  </si>
  <si>
    <t>Сплата інших податків, зборів, обов'язкових платежів до державного та місцевих бюджетів</t>
  </si>
  <si>
    <t>Усього виплат</t>
  </si>
  <si>
    <t>Усього доходів (рядок 1000 + рядок 1030 + рядок 1110 + рядок 1120+ рядок 1150)</t>
  </si>
  <si>
    <t>Усього витрат (рядок 1010 + рядок 1040 + рядок 1070 + рядок 1080 + рядок 1130 + рядок 1140 + рядок 1160 + рядок 1180 + рядок 1190)</t>
  </si>
  <si>
    <t>План</t>
  </si>
  <si>
    <t>І   квартал</t>
  </si>
  <si>
    <t>півріччя</t>
  </si>
  <si>
    <t>9 місяців</t>
  </si>
  <si>
    <t>Таблиця IІ. Розрахунки з бюджетом</t>
  </si>
  <si>
    <t>Таблиця I. Формування фінансових результатів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</si>
  <si>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</si>
  <si>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15 % чистого прибутку до загального фонду міського бюджету</t>
  </si>
  <si>
    <t>Таблиця ІІІ. Рух грошових коштів</t>
  </si>
  <si>
    <t>І  квартал</t>
  </si>
  <si>
    <t>І квартал</t>
  </si>
  <si>
    <t xml:space="preserve">І квартал </t>
  </si>
  <si>
    <t>РОЗГЛЯНУТО __________________________________________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</si>
  <si>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</si>
  <si>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 xml:space="preserve">(прізвище, ініціали та підпис керівника виконавчого органу міської ради відповідно до підпорядкованості, який розглянув фінансовий план) </t>
  </si>
  <si>
    <t>ЗАТВЕРДЖЕНО ______________________________</t>
  </si>
  <si>
    <t xml:space="preserve">(дата та номер рішення виконавчого </t>
  </si>
  <si>
    <t>комітету міської ради)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</si>
  <si>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</si>
  <si>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 xml:space="preserve">                      (посада)</t>
  </si>
  <si>
    <t>військовий збір</t>
  </si>
  <si>
    <t>2147/1</t>
  </si>
  <si>
    <t>1000/1</t>
  </si>
  <si>
    <t>1062/1</t>
  </si>
  <si>
    <t>1062/2</t>
  </si>
  <si>
    <t>Комунальні послуги</t>
  </si>
  <si>
    <t>охорона об'єктів та комунальні платежі</t>
  </si>
  <si>
    <t>1018/1</t>
  </si>
  <si>
    <t>1018/2</t>
  </si>
  <si>
    <t>придбання МБП та комунальні платежі</t>
  </si>
  <si>
    <t>у тому числі за основними видами діяльності за КВЕД 81.29</t>
  </si>
  <si>
    <t xml:space="preserve">Функціювання спортивних споруд        </t>
  </si>
  <si>
    <t>1150/1</t>
  </si>
  <si>
    <t>Послуги сторонніх організацій</t>
  </si>
  <si>
    <t>бюджетна дотація</t>
  </si>
  <si>
    <t>Погодинна оренда інвентарю</t>
  </si>
  <si>
    <r>
      <t xml:space="preserve">Керівник                               </t>
    </r>
    <r>
      <rPr>
        <b/>
        <u/>
        <sz val="16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 xml:space="preserve"> </t>
    </r>
  </si>
  <si>
    <r>
      <t xml:space="preserve">Керівник </t>
    </r>
    <r>
      <rPr>
        <sz val="14"/>
        <rFont val="Times New Roman"/>
        <family val="1"/>
        <charset val="204"/>
      </rPr>
      <t xml:space="preserve">      </t>
    </r>
    <r>
      <rPr>
        <b/>
        <u/>
        <sz val="14"/>
        <rFont val="Times New Roman"/>
        <family val="1"/>
        <charset val="204"/>
      </rPr>
      <t>Директор</t>
    </r>
  </si>
  <si>
    <r>
      <t xml:space="preserve">Керівник </t>
    </r>
    <r>
      <rPr>
        <sz val="14"/>
        <rFont val="Times New Roman"/>
        <family val="1"/>
        <charset val="204"/>
      </rPr>
      <t xml:space="preserve">                   </t>
    </r>
    <r>
      <rPr>
        <b/>
        <u/>
        <sz val="14"/>
        <rFont val="Times New Roman"/>
        <family val="1"/>
        <charset val="204"/>
      </rPr>
      <t>Директор</t>
    </r>
  </si>
  <si>
    <r>
      <t xml:space="preserve">Керівник          </t>
    </r>
    <r>
      <rPr>
        <b/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 xml:space="preserve"> </t>
    </r>
  </si>
  <si>
    <r>
      <t xml:space="preserve">Керівник        </t>
    </r>
    <r>
      <rPr>
        <b/>
        <u/>
        <sz val="14"/>
        <rFont val="Times New Roman"/>
        <family val="1"/>
        <charset val="204"/>
      </rPr>
      <t>Директор</t>
    </r>
  </si>
  <si>
    <t>Утворення амортизаційного фонду</t>
  </si>
  <si>
    <t>3570/1</t>
  </si>
  <si>
    <r>
      <t xml:space="preserve">                             Керівник                 </t>
    </r>
    <r>
      <rPr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Директор</t>
    </r>
  </si>
  <si>
    <r>
      <t>Керівник</t>
    </r>
    <r>
      <rPr>
        <sz val="14"/>
        <rFont val="Times New Roman"/>
        <family val="1"/>
        <charset val="204"/>
      </rPr>
      <t xml:space="preserve">          </t>
    </r>
    <r>
      <rPr>
        <b/>
        <u/>
        <sz val="14"/>
        <rFont val="Times New Roman"/>
        <family val="1"/>
        <charset val="204"/>
      </rPr>
      <t>Директор</t>
    </r>
  </si>
  <si>
    <r>
      <t xml:space="preserve">Організаційно-правова форма    </t>
    </r>
    <r>
      <rPr>
        <b/>
        <sz val="16"/>
        <rFont val="Times New Roman"/>
        <family val="1"/>
        <charset val="204"/>
      </rPr>
      <t xml:space="preserve"> Комунальне підприємство  </t>
    </r>
  </si>
  <si>
    <t>93.11</t>
  </si>
  <si>
    <t>Х</t>
  </si>
  <si>
    <t>коригування суми амортизації</t>
  </si>
  <si>
    <t>3030/1</t>
  </si>
  <si>
    <t>3030/2</t>
  </si>
  <si>
    <t>3050/1</t>
  </si>
  <si>
    <t>поточна кредиторська заборгованість</t>
  </si>
  <si>
    <t>3060/1</t>
  </si>
  <si>
    <t>Матеріальні витрати</t>
  </si>
  <si>
    <t>1062/3</t>
  </si>
  <si>
    <r>
      <rPr>
        <b/>
        <u/>
        <sz val="16"/>
        <rFont val="Times New Roman"/>
        <family val="1"/>
        <charset val="204"/>
      </rPr>
      <t>Комунальне підприємство «Міський шахово-шашковий клуб ім. Й.Уріха» Дніпровської міської ради</t>
    </r>
    <r>
      <rPr>
        <sz val="14"/>
        <rFont val="Times New Roman"/>
        <family val="1"/>
        <charset val="204"/>
      </rPr>
      <t xml:space="preserve">
</t>
    </r>
  </si>
  <si>
    <t>Загальна інформація про підприємство (резюме): Комунальне підприємство «Міський шахово-шашковий клуб ім. Й. Уріха"  Дніпровської міської ради створене рішенням Дніпропетровської міської ради 
від 08.10.2003 № 25/15 . Види діяльності КП «Міський шахово-шашковий клуб ім. Й. Уріха» згідно КВЕД 2010: 
Функціювання спортивних споруд;
Надання інших допоміжних комерційних послуг;
Діяльність спортивних клубів;
Інша діяльність у сфері спорту.</t>
  </si>
  <si>
    <r>
      <t xml:space="preserve">Підприємство </t>
    </r>
    <r>
      <rPr>
        <b/>
        <sz val="16"/>
        <rFont val="Times New Roman"/>
        <family val="1"/>
        <charset val="204"/>
      </rPr>
      <t>Комунальне підприємство"Міський шахово-шашковий клуб ім. Й.Уріха"Дніпровської міської ради</t>
    </r>
  </si>
  <si>
    <r>
      <t xml:space="preserve">Територія         </t>
    </r>
    <r>
      <rPr>
        <b/>
        <sz val="16"/>
        <rFont val="Times New Roman"/>
        <family val="1"/>
        <charset val="204"/>
      </rPr>
      <t>Соборний район</t>
    </r>
  </si>
  <si>
    <r>
      <t xml:space="preserve">Галузь        </t>
    </r>
    <r>
      <rPr>
        <b/>
        <sz val="16"/>
        <rFont val="Times New Roman"/>
        <family val="1"/>
        <charset val="204"/>
      </rPr>
      <t xml:space="preserve"> спорт</t>
    </r>
  </si>
  <si>
    <r>
      <t xml:space="preserve">Вид економічної діяльності      </t>
    </r>
    <r>
      <rPr>
        <b/>
        <sz val="16"/>
        <rFont val="Times New Roman"/>
        <family val="1"/>
        <charset val="204"/>
      </rPr>
      <t xml:space="preserve"> Функціювання спортивних споруд</t>
    </r>
    <r>
      <rPr>
        <sz val="16"/>
        <rFont val="Times New Roman"/>
        <family val="1"/>
        <charset val="204"/>
      </rPr>
      <t xml:space="preserve"> </t>
    </r>
  </si>
  <si>
    <r>
      <t xml:space="preserve">Одиниця виміру, </t>
    </r>
    <r>
      <rPr>
        <b/>
        <sz val="16"/>
        <rFont val="Times New Roman"/>
        <family val="1"/>
        <charset val="204"/>
      </rPr>
      <t>тис. гривень без десяткових знаків</t>
    </r>
  </si>
  <si>
    <r>
      <t xml:space="preserve">Форма власності     </t>
    </r>
    <r>
      <rPr>
        <b/>
        <sz val="16"/>
        <rFont val="Times New Roman"/>
        <family val="1"/>
        <charset val="204"/>
      </rPr>
      <t xml:space="preserve">комунальна              </t>
    </r>
  </si>
  <si>
    <r>
      <t xml:space="preserve">Телефон  </t>
    </r>
    <r>
      <rPr>
        <b/>
        <sz val="16"/>
        <rFont val="Times New Roman"/>
        <family val="1"/>
        <charset val="204"/>
      </rPr>
      <t>(056)745-51-25</t>
    </r>
  </si>
  <si>
    <t>коригування суми непокритого збитку</t>
  </si>
  <si>
    <t>запаси, дебіторська заборгованість</t>
  </si>
  <si>
    <t>Назва структурного підрозділу та посад</t>
  </si>
  <si>
    <t>Тарифний розряд організацій ф/к та спорту (наказ 2097 від 23.03.05)</t>
  </si>
  <si>
    <t>Кількість штатних посад</t>
  </si>
  <si>
    <t>Посадовий оклад (грн.)</t>
  </si>
  <si>
    <t>Надбавки (грн.)</t>
  </si>
  <si>
    <t>Доплати (грн.)</t>
  </si>
  <si>
    <t>Директор</t>
  </si>
  <si>
    <t>п859</t>
  </si>
  <si>
    <t>Головний бухгалтер</t>
  </si>
  <si>
    <t xml:space="preserve">Інструктор -методист </t>
  </si>
  <si>
    <t>Администратор</t>
  </si>
  <si>
    <t>Прибиральница</t>
  </si>
  <si>
    <t>усього</t>
  </si>
  <si>
    <t>фоп</t>
  </si>
  <si>
    <t>єсв</t>
  </si>
  <si>
    <t>таб. 6.1</t>
  </si>
  <si>
    <t>Фонд оплати праці</t>
  </si>
  <si>
    <t>ауп</t>
  </si>
  <si>
    <t>Витрати з оплати праці</t>
  </si>
  <si>
    <t>Середньомісячна ЗП</t>
  </si>
  <si>
    <t>Середньомісячний дохід</t>
  </si>
  <si>
    <t>індексация</t>
  </si>
  <si>
    <r>
      <t xml:space="preserve">Місцезнаходження    </t>
    </r>
    <r>
      <rPr>
        <b/>
        <sz val="16"/>
        <rFont val="Times New Roman"/>
        <family val="1"/>
        <charset val="204"/>
      </rPr>
      <t>м.Дніпро, вул. В.Вернадського, 27</t>
    </r>
  </si>
  <si>
    <t>Рік 2019</t>
  </si>
  <si>
    <t>оклад</t>
  </si>
  <si>
    <t>за шкідливість, почесні звання 10 %</t>
  </si>
  <si>
    <t>доплата</t>
  </si>
  <si>
    <t>всього</t>
  </si>
  <si>
    <t>Малахова Єлизавета Хкматівна</t>
  </si>
  <si>
    <t>Є.Х.Малахова</t>
  </si>
  <si>
    <t>Директор департаменту гуманітарної політики Дніпровської міської ради</t>
  </si>
  <si>
    <t>__________________________Сушко К.А.</t>
  </si>
  <si>
    <t>ПОГОДЖЕНО  Заступник міського голови з питань діяльності виконавчих органів Дніпровської міської ради ___________________Шикуленко О.В.           (прізвище та ініціали та підпис заступника міського голови за напрямом діяльності  підприємства)</t>
  </si>
  <si>
    <t>доплата до мінімальної 4723</t>
  </si>
  <si>
    <t>Фактичний показник за 2018 минулий рік</t>
  </si>
  <si>
    <t>Плановий показник поточного 
2019 року</t>
  </si>
  <si>
    <t>Фактичний показник поточного року за останній звітний період  
2019 року</t>
  </si>
  <si>
    <t>Плановий 2020 рік</t>
  </si>
  <si>
    <t>1916 год./чол</t>
  </si>
  <si>
    <t>1667 год./чол</t>
  </si>
  <si>
    <t>1600 год./чол</t>
  </si>
  <si>
    <t>ФІНАНСОВИЙ ПЛАН ПІДПРИЄМСТВА НА 2020 рік</t>
  </si>
  <si>
    <t>виплачено с простоем в 04 и 05</t>
  </si>
  <si>
    <t xml:space="preserve">виплачено </t>
  </si>
  <si>
    <t>до фінансового плану на 2020 рік</t>
  </si>
  <si>
    <r>
      <t xml:space="preserve">Середньооблікова кількість штатних працівників  </t>
    </r>
    <r>
      <rPr>
        <b/>
        <sz val="16"/>
        <rFont val="Times New Roman"/>
        <family val="1"/>
        <charset val="204"/>
      </rPr>
      <t xml:space="preserve">  6</t>
    </r>
  </si>
</sst>
</file>

<file path=xl/styles.xml><?xml version="1.0" encoding="utf-8"?>
<styleSheet xmlns="http://schemas.openxmlformats.org/spreadsheetml/2006/main">
  <numFmts count="19">
    <numFmt numFmtId="6" formatCode="#,##0&quot;р.&quot;;[Red]\-#,##0&quot;р.&quot;"/>
    <numFmt numFmtId="7" formatCode="#,##0.00&quot;р.&quot;;\-#,##0.00&quot;р.&quot;"/>
    <numFmt numFmtId="43" formatCode="_-* #,##0.00_р_._-;\-* #,##0.00_р_._-;_-* &quot;-&quot;??_р_._-;_-@_-"/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0.0"/>
    <numFmt numFmtId="167" formatCode="#,##0.0"/>
    <numFmt numFmtId="168" formatCode="###\ ##0.000"/>
    <numFmt numFmtId="169" formatCode="_(&quot;$&quot;* #,##0.00_);_(&quot;$&quot;* \(#,##0.00\);_(&quot;$&quot;* &quot;-&quot;??_);_(@_)"/>
    <numFmt numFmtId="170" formatCode="_(* #,##0_);_(* \(#,##0\);_(* &quot;-&quot;_);_(@_)"/>
    <numFmt numFmtId="171" formatCode="_(* #,##0.00_);_(* \(#,##0.00\);_(* &quot;-&quot;??_);_(@_)"/>
    <numFmt numFmtId="172" formatCode="#,##0.0_ ;[Red]\-#,##0.0\ "/>
    <numFmt numFmtId="173" formatCode="0.0;\(0.0\);\ ;\-"/>
    <numFmt numFmtId="174" formatCode="dd\.mm\.yyyy;@"/>
    <numFmt numFmtId="175" formatCode="_(* #,##0.0_);_(* \(#,##0.0\);_(* &quot;-&quot;??_);_(@_)"/>
    <numFmt numFmtId="176" formatCode="_(* #,##0_);_(* \(#,##0\);_(* &quot;-&quot;??_);_(@_)"/>
    <numFmt numFmtId="177" formatCode="0.000"/>
    <numFmt numFmtId="178" formatCode="#,##0.000"/>
    <numFmt numFmtId="179" formatCode="_-* #,##0_₴_-;\-* #,##0_₴_-;_-* &quot;-&quot;??_₴_-;_-@_-"/>
  </numFmts>
  <fonts count="9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u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u/>
      <sz val="18"/>
      <name val="Arial Cyr"/>
      <charset val="204"/>
    </font>
    <font>
      <b/>
      <sz val="16"/>
      <name val="Times New Roman"/>
      <family val="1"/>
      <charset val="204"/>
    </font>
    <font>
      <sz val="11"/>
      <name val="Arial"/>
      <family val="2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4"/>
      <color rgb="FF00206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54"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3" fillId="2" borderId="0" applyNumberFormat="0" applyBorder="0" applyAlignment="0" applyProtection="0"/>
    <xf numFmtId="0" fontId="1" fillId="2" borderId="0" applyNumberFormat="0" applyBorder="0" applyAlignment="0" applyProtection="0"/>
    <xf numFmtId="0" fontId="33" fillId="3" borderId="0" applyNumberFormat="0" applyBorder="0" applyAlignment="0" applyProtection="0"/>
    <xf numFmtId="0" fontId="1" fillId="3" borderId="0" applyNumberFormat="0" applyBorder="0" applyAlignment="0" applyProtection="0"/>
    <xf numFmtId="0" fontId="33" fillId="4" borderId="0" applyNumberFormat="0" applyBorder="0" applyAlignment="0" applyProtection="0"/>
    <xf numFmtId="0" fontId="1" fillId="4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6" borderId="0" applyNumberFormat="0" applyBorder="0" applyAlignment="0" applyProtection="0"/>
    <xf numFmtId="0" fontId="1" fillId="6" borderId="0" applyNumberFormat="0" applyBorder="0" applyAlignment="0" applyProtection="0"/>
    <xf numFmtId="0" fontId="33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9" borderId="0" applyNumberFormat="0" applyBorder="0" applyAlignment="0" applyProtection="0"/>
    <xf numFmtId="0" fontId="1" fillId="9" borderId="0" applyNumberFormat="0" applyBorder="0" applyAlignment="0" applyProtection="0"/>
    <xf numFmtId="0" fontId="33" fillId="10" borderId="0" applyNumberFormat="0" applyBorder="0" applyAlignment="0" applyProtection="0"/>
    <xf numFmtId="0" fontId="1" fillId="10" borderId="0" applyNumberFormat="0" applyBorder="0" applyAlignment="0" applyProtection="0"/>
    <xf numFmtId="0" fontId="33" fillId="5" borderId="0" applyNumberFormat="0" applyBorder="0" applyAlignment="0" applyProtection="0"/>
    <xf numFmtId="0" fontId="1" fillId="5" borderId="0" applyNumberFormat="0" applyBorder="0" applyAlignment="0" applyProtection="0"/>
    <xf numFmtId="0" fontId="33" fillId="8" borderId="0" applyNumberFormat="0" applyBorder="0" applyAlignment="0" applyProtection="0"/>
    <xf numFmtId="0" fontId="1" fillId="8" borderId="0" applyNumberFormat="0" applyBorder="0" applyAlignment="0" applyProtection="0"/>
    <xf numFmtId="0" fontId="33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4" fillId="12" borderId="0" applyNumberFormat="0" applyBorder="0" applyAlignment="0" applyProtection="0"/>
    <xf numFmtId="0" fontId="16" fillId="12" borderId="0" applyNumberFormat="0" applyBorder="0" applyAlignment="0" applyProtection="0"/>
    <xf numFmtId="0" fontId="34" fillId="9" borderId="0" applyNumberFormat="0" applyBorder="0" applyAlignment="0" applyProtection="0"/>
    <xf numFmtId="0" fontId="16" fillId="9" borderId="0" applyNumberFormat="0" applyBorder="0" applyAlignment="0" applyProtection="0"/>
    <xf numFmtId="0" fontId="34" fillId="10" borderId="0" applyNumberFormat="0" applyBorder="0" applyAlignment="0" applyProtection="0"/>
    <xf numFmtId="0" fontId="16" fillId="10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27" fillId="3" borderId="0" applyNumberFormat="0" applyBorder="0" applyAlignment="0" applyProtection="0"/>
    <xf numFmtId="0" fontId="19" fillId="20" borderId="1" applyNumberFormat="0" applyAlignment="0" applyProtection="0"/>
    <xf numFmtId="0" fontId="24" fillId="21" borderId="2" applyNumberFormat="0" applyAlignment="0" applyProtection="0"/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49" fontId="35" fillId="0" borderId="3">
      <alignment horizontal="center" vertical="center"/>
      <protection locked="0"/>
    </xf>
    <xf numFmtId="165" fontId="13" fillId="0" borderId="0" applyFont="0" applyFill="0" applyBorder="0" applyAlignment="0" applyProtection="0"/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49" fontId="13" fillId="0" borderId="3">
      <alignment horizontal="left" vertical="center"/>
      <protection locked="0"/>
    </xf>
    <xf numFmtId="0" fontId="28" fillId="0" borderId="0" applyNumberFormat="0" applyFill="0" applyBorder="0" applyAlignment="0" applyProtection="0"/>
    <xf numFmtId="168" fontId="36" fillId="0" borderId="0" applyAlignment="0">
      <alignment wrapText="1"/>
    </xf>
    <xf numFmtId="0" fontId="31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13" fillId="0" borderId="0" applyNumberFormat="0" applyFont="0" applyAlignment="0">
      <alignment vertical="top" wrapText="1"/>
      <protection locked="0"/>
    </xf>
    <xf numFmtId="49" fontId="38" fillId="22" borderId="7">
      <alignment horizontal="left" vertical="center"/>
      <protection locked="0"/>
    </xf>
    <xf numFmtId="49" fontId="38" fillId="22" borderId="7">
      <alignment horizontal="left" vertical="center"/>
    </xf>
    <xf numFmtId="4" fontId="38" fillId="22" borderId="7">
      <alignment horizontal="right" vertical="center"/>
      <protection locked="0"/>
    </xf>
    <xf numFmtId="4" fontId="38" fillId="22" borderId="7">
      <alignment horizontal="right" vertical="center"/>
    </xf>
    <xf numFmtId="4" fontId="39" fillId="22" borderId="7">
      <alignment horizontal="right" vertical="center"/>
      <protection locked="0"/>
    </xf>
    <xf numFmtId="49" fontId="40" fillId="22" borderId="3">
      <alignment horizontal="left" vertical="center"/>
      <protection locked="0"/>
    </xf>
    <xf numFmtId="49" fontId="40" fillId="22" borderId="3">
      <alignment horizontal="left" vertical="center"/>
    </xf>
    <xf numFmtId="49" fontId="41" fillId="22" borderId="3">
      <alignment horizontal="left" vertical="center"/>
      <protection locked="0"/>
    </xf>
    <xf numFmtId="49" fontId="41" fillId="22" borderId="3">
      <alignment horizontal="left" vertical="center"/>
    </xf>
    <xf numFmtId="4" fontId="40" fillId="22" borderId="3">
      <alignment horizontal="right" vertical="center"/>
      <protection locked="0"/>
    </xf>
    <xf numFmtId="4" fontId="40" fillId="22" borderId="3">
      <alignment horizontal="right" vertical="center"/>
    </xf>
    <xf numFmtId="4" fontId="42" fillId="22" borderId="3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5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5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3" fillId="22" borderId="3">
      <alignment horizontal="left" vertical="center"/>
      <protection locked="0"/>
    </xf>
    <xf numFmtId="49" fontId="43" fillId="22" borderId="3">
      <alignment horizontal="left" vertical="center"/>
    </xf>
    <xf numFmtId="49" fontId="44" fillId="22" borderId="3">
      <alignment horizontal="left" vertical="center"/>
      <protection locked="0"/>
    </xf>
    <xf numFmtId="49" fontId="44" fillId="22" borderId="3">
      <alignment horizontal="left" vertical="center"/>
    </xf>
    <xf numFmtId="4" fontId="43" fillId="22" borderId="3">
      <alignment horizontal="right" vertical="center"/>
      <protection locked="0"/>
    </xf>
    <xf numFmtId="4" fontId="43" fillId="22" borderId="3">
      <alignment horizontal="right" vertical="center"/>
    </xf>
    <xf numFmtId="4" fontId="45" fillId="22" borderId="3">
      <alignment horizontal="right" vertical="center"/>
      <protection locked="0"/>
    </xf>
    <xf numFmtId="49" fontId="46" fillId="0" borderId="3">
      <alignment horizontal="left" vertical="center"/>
      <protection locked="0"/>
    </xf>
    <xf numFmtId="49" fontId="46" fillId="0" borderId="3">
      <alignment horizontal="left" vertical="center"/>
    </xf>
    <xf numFmtId="49" fontId="47" fillId="0" borderId="3">
      <alignment horizontal="left" vertical="center"/>
      <protection locked="0"/>
    </xf>
    <xf numFmtId="49" fontId="47" fillId="0" borderId="3">
      <alignment horizontal="left" vertical="center"/>
    </xf>
    <xf numFmtId="4" fontId="46" fillId="0" borderId="3">
      <alignment horizontal="right" vertical="center"/>
      <protection locked="0"/>
    </xf>
    <xf numFmtId="4" fontId="46" fillId="0" borderId="3">
      <alignment horizontal="right" vertical="center"/>
    </xf>
    <xf numFmtId="4" fontId="47" fillId="0" borderId="3">
      <alignment horizontal="right" vertical="center"/>
      <protection locked="0"/>
    </xf>
    <xf numFmtId="49" fontId="48" fillId="0" borderId="3">
      <alignment horizontal="left" vertical="center"/>
      <protection locked="0"/>
    </xf>
    <xf numFmtId="49" fontId="48" fillId="0" borderId="3">
      <alignment horizontal="left" vertical="center"/>
    </xf>
    <xf numFmtId="49" fontId="49" fillId="0" borderId="3">
      <alignment horizontal="left" vertical="center"/>
      <protection locked="0"/>
    </xf>
    <xf numFmtId="49" fontId="49" fillId="0" borderId="3">
      <alignment horizontal="left" vertical="center"/>
    </xf>
    <xf numFmtId="4" fontId="48" fillId="0" borderId="3">
      <alignment horizontal="right" vertical="center"/>
      <protection locked="0"/>
    </xf>
    <xf numFmtId="4" fontId="48" fillId="0" borderId="3">
      <alignment horizontal="right" vertical="center"/>
    </xf>
    <xf numFmtId="49" fontId="46" fillId="0" borderId="3">
      <alignment horizontal="left" vertical="center"/>
      <protection locked="0"/>
    </xf>
    <xf numFmtId="49" fontId="47" fillId="0" borderId="3">
      <alignment horizontal="left" vertical="center"/>
      <protection locked="0"/>
    </xf>
    <xf numFmtId="4" fontId="46" fillId="0" borderId="3">
      <alignment horizontal="right" vertical="center"/>
      <protection locked="0"/>
    </xf>
    <xf numFmtId="0" fontId="29" fillId="0" borderId="8" applyNumberFormat="0" applyFill="0" applyAlignment="0" applyProtection="0"/>
    <xf numFmtId="0" fontId="26" fillId="23" borderId="0" applyNumberFormat="0" applyBorder="0" applyAlignment="0" applyProtection="0"/>
    <xf numFmtId="0" fontId="13" fillId="0" borderId="0"/>
    <xf numFmtId="0" fontId="13" fillId="0" borderId="0"/>
    <xf numFmtId="0" fontId="13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50" fillId="26" borderId="3">
      <alignment horizontal="right" vertical="center"/>
      <protection locked="0"/>
    </xf>
    <xf numFmtId="4" fontId="50" fillId="27" borderId="3">
      <alignment horizontal="right" vertical="center"/>
      <protection locked="0"/>
    </xf>
    <xf numFmtId="4" fontId="50" fillId="28" borderId="3">
      <alignment horizontal="right" vertical="center"/>
      <protection locked="0"/>
    </xf>
    <xf numFmtId="0" fontId="18" fillId="20" borderId="10" applyNumberFormat="0" applyAlignment="0" applyProtection="0"/>
    <xf numFmtId="49" fontId="35" fillId="0" borderId="3">
      <alignment horizontal="left" vertical="center" wrapText="1"/>
      <protection locked="0"/>
    </xf>
    <xf numFmtId="49" fontId="35" fillId="0" borderId="3">
      <alignment horizontal="left" vertical="center" wrapText="1"/>
      <protection locked="0"/>
    </xf>
    <xf numFmtId="0" fontId="25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4" fillId="16" borderId="0" applyNumberFormat="0" applyBorder="0" applyAlignment="0" applyProtection="0"/>
    <xf numFmtId="0" fontId="16" fillId="16" borderId="0" applyNumberFormat="0" applyBorder="0" applyAlignment="0" applyProtection="0"/>
    <xf numFmtId="0" fontId="34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13" borderId="0" applyNumberFormat="0" applyBorder="0" applyAlignment="0" applyProtection="0"/>
    <xf numFmtId="0" fontId="16" fillId="13" borderId="0" applyNumberFormat="0" applyBorder="0" applyAlignment="0" applyProtection="0"/>
    <xf numFmtId="0" fontId="34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19" borderId="0" applyNumberFormat="0" applyBorder="0" applyAlignment="0" applyProtection="0"/>
    <xf numFmtId="0" fontId="16" fillId="19" borderId="0" applyNumberFormat="0" applyBorder="0" applyAlignment="0" applyProtection="0"/>
    <xf numFmtId="0" fontId="51" fillId="7" borderId="1" applyNumberFormat="0" applyAlignment="0" applyProtection="0"/>
    <xf numFmtId="0" fontId="17" fillId="7" borderId="1" applyNumberFormat="0" applyAlignment="0" applyProtection="0"/>
    <xf numFmtId="0" fontId="52" fillId="20" borderId="10" applyNumberFormat="0" applyAlignment="0" applyProtection="0"/>
    <xf numFmtId="0" fontId="18" fillId="20" borderId="10" applyNumberFormat="0" applyAlignment="0" applyProtection="0"/>
    <xf numFmtId="0" fontId="53" fillId="20" borderId="1" applyNumberFormat="0" applyAlignment="0" applyProtection="0"/>
    <xf numFmtId="0" fontId="19" fillId="20" borderId="1" applyNumberFormat="0" applyAlignment="0" applyProtection="0"/>
    <xf numFmtId="169" fontId="13" fillId="0" borderId="0" applyFont="0" applyFill="0" applyBorder="0" applyAlignment="0" applyProtection="0"/>
    <xf numFmtId="0" fontId="54" fillId="0" borderId="4" applyNumberFormat="0" applyFill="0" applyAlignment="0" applyProtection="0"/>
    <xf numFmtId="0" fontId="20" fillId="0" borderId="4" applyNumberFormat="0" applyFill="0" applyAlignment="0" applyProtection="0"/>
    <xf numFmtId="0" fontId="55" fillId="0" borderId="5" applyNumberFormat="0" applyFill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22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23" fillId="0" borderId="11" applyNumberFormat="0" applyFill="0" applyAlignment="0" applyProtection="0"/>
    <xf numFmtId="0" fontId="58" fillId="21" borderId="2" applyNumberForma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26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1" fillId="0" borderId="0"/>
    <xf numFmtId="0" fontId="82" fillId="0" borderId="0"/>
    <xf numFmtId="0" fontId="13" fillId="0" borderId="0"/>
    <xf numFmtId="0" fontId="2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0" fillId="3" borderId="0" applyNumberFormat="0" applyBorder="0" applyAlignment="0" applyProtection="0"/>
    <xf numFmtId="0" fontId="27" fillId="3" borderId="0" applyNumberFormat="0" applyBorder="0" applyAlignment="0" applyProtection="0"/>
    <xf numFmtId="0" fontId="6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2" fillId="25" borderId="9" applyNumberFormat="0" applyFont="0" applyAlignment="0" applyProtection="0"/>
    <xf numFmtId="0" fontId="13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8" applyNumberFormat="0" applyFill="0" applyAlignment="0" applyProtection="0"/>
    <xf numFmtId="0" fontId="29" fillId="0" borderId="8" applyNumberFormat="0" applyFill="0" applyAlignment="0" applyProtection="0"/>
    <xf numFmtId="0" fontId="3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0" fontId="66" fillId="0" borderId="0" applyFont="0" applyFill="0" applyBorder="0" applyAlignment="0" applyProtection="0"/>
    <xf numFmtId="171" fontId="6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7" fillId="4" borderId="0" applyNumberFormat="0" applyBorder="0" applyAlignment="0" applyProtection="0"/>
    <xf numFmtId="0" fontId="31" fillId="4" borderId="0" applyNumberFormat="0" applyBorder="0" applyAlignment="0" applyProtection="0"/>
    <xf numFmtId="173" fontId="68" fillId="22" borderId="12" applyFill="0" applyBorder="0">
      <alignment horizontal="center" vertical="center" wrapText="1"/>
      <protection locked="0"/>
    </xf>
    <xf numFmtId="168" fontId="69" fillId="0" borderId="0">
      <alignment wrapText="1"/>
    </xf>
    <xf numFmtId="168" fontId="36" fillId="0" borderId="0">
      <alignment wrapText="1"/>
    </xf>
    <xf numFmtId="164" fontId="2" fillId="0" borderId="0" applyFont="0" applyFill="0" applyBorder="0" applyAlignment="0" applyProtection="0"/>
  </cellStyleXfs>
  <cellXfs count="47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167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167" fontId="5" fillId="0" borderId="0" xfId="0" applyNumberFormat="1" applyFont="1" applyFill="1" applyAlignment="1">
      <alignment vertical="center"/>
    </xf>
    <xf numFmtId="0" fontId="12" fillId="0" borderId="0" xfId="0" applyFont="1" applyFill="1"/>
    <xf numFmtId="166" fontId="4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/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 shrinkToFit="1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3" xfId="237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 wrapText="1"/>
    </xf>
    <xf numFmtId="0" fontId="5" fillId="0" borderId="0" xfId="245" applyFont="1" applyFill="1" applyBorder="1" applyAlignment="1">
      <alignment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245" applyFont="1" applyFill="1" applyBorder="1" applyAlignment="1">
      <alignment vertical="center"/>
    </xf>
    <xf numFmtId="0" fontId="5" fillId="0" borderId="0" xfId="245" applyFont="1" applyFill="1" applyBorder="1" applyAlignment="1">
      <alignment horizontal="center" vertical="center"/>
    </xf>
    <xf numFmtId="0" fontId="4" fillId="0" borderId="0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3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15" fillId="0" borderId="0" xfId="245" applyFont="1" applyFill="1"/>
    <xf numFmtId="0" fontId="6" fillId="0" borderId="0" xfId="0" applyFont="1" applyFill="1" applyAlignment="1">
      <alignment vertical="center"/>
    </xf>
    <xf numFmtId="0" fontId="5" fillId="0" borderId="0" xfId="245" applyFont="1" applyFill="1" applyBorder="1" applyAlignment="1">
      <alignment vertical="center" wrapText="1"/>
    </xf>
    <xf numFmtId="0" fontId="4" fillId="0" borderId="3" xfId="237" applyFont="1" applyFill="1" applyBorder="1" applyAlignment="1">
      <alignment horizontal="left" vertical="center"/>
    </xf>
    <xf numFmtId="0" fontId="5" fillId="0" borderId="0" xfId="0" applyFont="1" applyFill="1"/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3" xfId="182" applyFont="1" applyFill="1" applyBorder="1" applyAlignment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0" fontId="5" fillId="0" borderId="3" xfId="0" quotePrefix="1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4" fillId="0" borderId="3" xfId="237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left" vertical="center" wrapText="1"/>
    </xf>
    <xf numFmtId="0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10" fillId="0" borderId="3" xfId="0" applyNumberFormat="1" applyFont="1" applyFill="1" applyBorder="1" applyAlignment="1">
      <alignment horizontal="center" vertical="center" wrapText="1" shrinkToFit="1"/>
    </xf>
    <xf numFmtId="49" fontId="5" fillId="0" borderId="3" xfId="237" applyNumberFormat="1" applyFont="1" applyFill="1" applyBorder="1" applyAlignment="1">
      <alignment horizontal="left" vertical="center" wrapText="1"/>
    </xf>
    <xf numFmtId="167" fontId="5" fillId="0" borderId="3" xfId="237" applyNumberFormat="1" applyFont="1" applyFill="1" applyBorder="1" applyAlignment="1">
      <alignment horizontal="center" vertical="center" wrapText="1"/>
    </xf>
    <xf numFmtId="0" fontId="5" fillId="0" borderId="3" xfId="237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center" wrapText="1" shrinkToFi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182" applyFont="1" applyFill="1" applyBorder="1" applyAlignment="1" applyProtection="1">
      <alignment vertical="center" wrapText="1"/>
    </xf>
    <xf numFmtId="0" fontId="5" fillId="29" borderId="3" xfId="0" applyNumberFormat="1" applyFont="1" applyFill="1" applyBorder="1" applyAlignment="1" applyProtection="1">
      <alignment horizontal="center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182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0" fontId="5" fillId="0" borderId="3" xfId="245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167" fontId="5" fillId="0" borderId="3" xfId="0" applyNumberFormat="1" applyFont="1" applyFill="1" applyBorder="1" applyAlignment="1" applyProtection="1">
      <alignment horizontal="center" vertical="center" wrapText="1"/>
    </xf>
    <xf numFmtId="17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167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quotePrefix="1" applyFont="1" applyFill="1" applyBorder="1" applyAlignment="1" applyProtection="1">
      <alignment horizontal="center" vertical="center"/>
      <protection locked="0"/>
    </xf>
    <xf numFmtId="167" fontId="6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4" fillId="0" borderId="0" xfId="0" quotePrefix="1" applyFont="1" applyFill="1" applyBorder="1" applyAlignment="1" applyProtection="1">
      <alignment horizontal="center"/>
      <protection locked="0"/>
    </xf>
    <xf numFmtId="167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left" vertical="center" wrapText="1"/>
      <protection locked="0"/>
    </xf>
    <xf numFmtId="0" fontId="5" fillId="0" borderId="0" xfId="245" applyFont="1" applyFill="1" applyBorder="1" applyAlignment="1" applyProtection="1">
      <alignment horizontal="center" vertical="center"/>
      <protection locked="0"/>
    </xf>
    <xf numFmtId="167" fontId="5" fillId="0" borderId="0" xfId="245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245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166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167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237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 shrinkToFit="1"/>
      <protection locked="0"/>
    </xf>
    <xf numFmtId="0" fontId="5" fillId="0" borderId="3" xfId="0" quotePrefix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0" borderId="3" xfId="245" applyFont="1" applyFill="1" applyBorder="1" applyAlignment="1" applyProtection="1">
      <alignment horizontal="center" vertical="center" wrapText="1"/>
      <protection locked="0"/>
    </xf>
    <xf numFmtId="0" fontId="4" fillId="0" borderId="3" xfId="245" applyFont="1" applyFill="1" applyBorder="1" applyAlignment="1" applyProtection="1">
      <alignment horizontal="left" vertical="center" wrapText="1"/>
      <protection locked="0"/>
    </xf>
    <xf numFmtId="0" fontId="4" fillId="0" borderId="3" xfId="245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29" borderId="3" xfId="0" applyNumberFormat="1" applyFont="1" applyFill="1" applyBorder="1" applyAlignment="1">
      <alignment horizontal="center" vertical="center" wrapText="1"/>
    </xf>
    <xf numFmtId="1" fontId="4" fillId="29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 shrinkToFit="1"/>
    </xf>
    <xf numFmtId="0" fontId="71" fillId="0" borderId="14" xfId="0" applyFont="1" applyFill="1" applyBorder="1" applyAlignment="1">
      <alignment horizontal="center" vertical="center" wrapText="1" shrinkToFit="1"/>
    </xf>
    <xf numFmtId="0" fontId="71" fillId="0" borderId="0" xfId="0" applyFont="1" applyFill="1" applyAlignment="1">
      <alignment vertical="center"/>
    </xf>
    <xf numFmtId="1" fontId="5" fillId="0" borderId="3" xfId="0" applyNumberFormat="1" applyFont="1" applyFill="1" applyBorder="1" applyAlignment="1">
      <alignment horizontal="center" vertical="center" wrapText="1"/>
    </xf>
    <xf numFmtId="1" fontId="5" fillId="29" borderId="3" xfId="0" applyNumberFormat="1" applyFont="1" applyFill="1" applyBorder="1" applyAlignment="1" applyProtection="1">
      <alignment horizontal="center" vertical="center" wrapText="1"/>
    </xf>
    <xf numFmtId="177" fontId="5" fillId="29" borderId="3" xfId="0" applyNumberFormat="1" applyFont="1" applyFill="1" applyBorder="1" applyAlignment="1" applyProtection="1">
      <alignment horizontal="center" vertical="center" wrapText="1"/>
    </xf>
    <xf numFmtId="178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178" fontId="5" fillId="0" borderId="3" xfId="237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/>
    </xf>
    <xf numFmtId="0" fontId="70" fillId="0" borderId="0" xfId="0" applyFont="1" applyAlignment="1">
      <alignment horizontal="left" vertical="top" wrapText="1"/>
    </xf>
    <xf numFmtId="0" fontId="70" fillId="0" borderId="0" xfId="0" applyFont="1" applyAlignment="1">
      <alignment vertical="top" wrapText="1"/>
    </xf>
    <xf numFmtId="0" fontId="71" fillId="0" borderId="0" xfId="0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/>
    </xf>
    <xf numFmtId="0" fontId="71" fillId="0" borderId="14" xfId="0" applyFont="1" applyFill="1" applyBorder="1" applyAlignment="1">
      <alignment vertical="center"/>
    </xf>
    <xf numFmtId="0" fontId="71" fillId="0" borderId="15" xfId="0" applyFont="1" applyFill="1" applyBorder="1" applyAlignment="1">
      <alignment vertical="center"/>
    </xf>
    <xf numFmtId="0" fontId="71" fillId="0" borderId="16" xfId="0" applyFont="1" applyFill="1" applyBorder="1" applyAlignment="1">
      <alignment vertical="center"/>
    </xf>
    <xf numFmtId="0" fontId="71" fillId="0" borderId="3" xfId="0" applyFont="1" applyFill="1" applyBorder="1" applyAlignment="1">
      <alignment horizontal="left" vertical="center"/>
    </xf>
    <xf numFmtId="0" fontId="71" fillId="0" borderId="3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vertical="center" wrapText="1"/>
    </xf>
    <xf numFmtId="0" fontId="71" fillId="0" borderId="16" xfId="0" applyFont="1" applyFill="1" applyBorder="1" applyAlignment="1">
      <alignment vertical="center" wrapText="1"/>
    </xf>
    <xf numFmtId="0" fontId="71" fillId="0" borderId="3" xfId="0" applyFont="1" applyFill="1" applyBorder="1" applyAlignment="1">
      <alignment vertical="center"/>
    </xf>
    <xf numFmtId="0" fontId="71" fillId="0" borderId="17" xfId="0" applyFont="1" applyFill="1" applyBorder="1" applyAlignment="1">
      <alignment vertical="center" wrapText="1"/>
    </xf>
    <xf numFmtId="0" fontId="71" fillId="0" borderId="18" xfId="0" applyFont="1" applyFill="1" applyBorder="1" applyAlignment="1">
      <alignment vertical="center"/>
    </xf>
    <xf numFmtId="0" fontId="71" fillId="0" borderId="3" xfId="0" applyFont="1" applyFill="1" applyBorder="1" applyAlignment="1">
      <alignment vertical="center" wrapText="1"/>
    </xf>
    <xf numFmtId="0" fontId="80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1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vertical="center"/>
    </xf>
    <xf numFmtId="1" fontId="5" fillId="0" borderId="0" xfId="245" applyNumberFormat="1" applyFont="1" applyFill="1" applyBorder="1" applyAlignment="1">
      <alignment vertical="center"/>
    </xf>
    <xf numFmtId="1" fontId="4" fillId="0" borderId="0" xfId="245" applyNumberFormat="1" applyFont="1" applyFill="1" applyBorder="1" applyAlignment="1">
      <alignment vertical="center"/>
    </xf>
    <xf numFmtId="1" fontId="5" fillId="30" borderId="3" xfId="0" applyNumberFormat="1" applyFont="1" applyFill="1" applyBorder="1" applyAlignment="1" applyProtection="1">
      <alignment horizontal="center" vertical="center" wrapText="1"/>
    </xf>
    <xf numFmtId="177" fontId="5" fillId="31" borderId="3" xfId="0" applyNumberFormat="1" applyFont="1" applyFill="1" applyBorder="1" applyAlignment="1" applyProtection="1">
      <alignment horizontal="center" vertical="center" wrapText="1"/>
    </xf>
    <xf numFmtId="0" fontId="5" fillId="31" borderId="3" xfId="0" applyNumberFormat="1" applyFont="1" applyFill="1" applyBorder="1" applyAlignment="1" applyProtection="1">
      <alignment horizontal="center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2" borderId="0" xfId="245" applyFont="1" applyFill="1" applyBorder="1" applyAlignment="1">
      <alignment vertical="center"/>
    </xf>
    <xf numFmtId="167" fontId="4" fillId="30" borderId="0" xfId="0" quotePrefix="1" applyNumberFormat="1" applyFont="1" applyFill="1" applyBorder="1" applyAlignment="1" applyProtection="1">
      <alignment horizontal="center"/>
      <protection locked="0"/>
    </xf>
    <xf numFmtId="1" fontId="5" fillId="30" borderId="3" xfId="0" applyNumberFormat="1" applyFont="1" applyFill="1" applyBorder="1" applyAlignment="1">
      <alignment horizontal="center" vertical="center" wrapText="1"/>
    </xf>
    <xf numFmtId="1" fontId="4" fillId="30" borderId="3" xfId="0" applyNumberFormat="1" applyFont="1" applyFill="1" applyBorder="1" applyAlignment="1">
      <alignment horizontal="center" vertical="center" wrapText="1"/>
    </xf>
    <xf numFmtId="0" fontId="5" fillId="30" borderId="3" xfId="245" applyFont="1" applyFill="1" applyBorder="1" applyAlignment="1">
      <alignment horizontal="left" vertical="center" wrapText="1"/>
    </xf>
    <xf numFmtId="1" fontId="5" fillId="31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29" borderId="3" xfId="237" applyNumberFormat="1" applyFont="1" applyFill="1" applyBorder="1" applyAlignment="1">
      <alignment horizontal="center" vertical="center" wrapText="1"/>
    </xf>
    <xf numFmtId="4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0" applyFont="1" applyFill="1" applyBorder="1" applyAlignment="1">
      <alignment horizontal="left" vertical="center" wrapText="1"/>
    </xf>
    <xf numFmtId="0" fontId="5" fillId="30" borderId="3" xfId="0" applyNumberFormat="1" applyFont="1" applyFill="1" applyBorder="1" applyAlignment="1">
      <alignment horizontal="center" vertical="center" wrapText="1"/>
    </xf>
    <xf numFmtId="0" fontId="4" fillId="30" borderId="3" xfId="0" applyNumberFormat="1" applyFont="1" applyFill="1" applyBorder="1" applyAlignment="1">
      <alignment horizontal="center" vertical="center" wrapText="1"/>
    </xf>
    <xf numFmtId="10" fontId="5" fillId="29" borderId="3" xfId="237" applyNumberFormat="1" applyFont="1" applyFill="1" applyBorder="1" applyAlignment="1">
      <alignment horizontal="center" vertical="center" wrapText="1"/>
    </xf>
    <xf numFmtId="10" fontId="5" fillId="0" borderId="3" xfId="237" applyNumberFormat="1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>
      <alignment horizontal="justify" vertical="center" textRotation="90" wrapText="1"/>
    </xf>
    <xf numFmtId="0" fontId="86" fillId="0" borderId="3" xfId="0" applyFont="1" applyBorder="1" applyAlignment="1">
      <alignment horizontal="center" vertical="top" wrapText="1"/>
    </xf>
    <xf numFmtId="2" fontId="10" fillId="0" borderId="3" xfId="0" applyNumberFormat="1" applyFont="1" applyBorder="1" applyAlignment="1">
      <alignment horizontal="right" vertical="center" wrapText="1"/>
    </xf>
    <xf numFmtId="9" fontId="86" fillId="0" borderId="3" xfId="0" applyNumberFormat="1" applyFont="1" applyBorder="1" applyAlignment="1">
      <alignment horizontal="center" vertical="top" wrapText="1"/>
    </xf>
    <xf numFmtId="0" fontId="87" fillId="0" borderId="3" xfId="0" applyFont="1" applyBorder="1" applyAlignment="1">
      <alignment horizontal="center" vertical="center" wrapText="1"/>
    </xf>
    <xf numFmtId="0" fontId="88" fillId="0" borderId="0" xfId="0" applyFont="1"/>
    <xf numFmtId="2" fontId="0" fillId="0" borderId="0" xfId="0" applyNumberFormat="1"/>
    <xf numFmtId="179" fontId="5" fillId="0" borderId="0" xfId="353" applyNumberFormat="1" applyFont="1" applyFill="1" applyAlignment="1">
      <alignment vertical="center"/>
    </xf>
    <xf numFmtId="179" fontId="89" fillId="0" borderId="0" xfId="353" applyNumberFormat="1" applyFont="1" applyFill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1" fontId="4" fillId="33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4" fillId="30" borderId="0" xfId="245" applyFont="1" applyFill="1" applyBorder="1" applyAlignment="1">
      <alignment horizontal="center" vertical="center" wrapText="1"/>
    </xf>
    <xf numFmtId="0" fontId="5" fillId="30" borderId="3" xfId="245" applyFont="1" applyFill="1" applyBorder="1" applyAlignment="1">
      <alignment horizontal="center" vertical="center" wrapText="1"/>
    </xf>
    <xf numFmtId="167" fontId="5" fillId="30" borderId="0" xfId="245" applyNumberFormat="1" applyFont="1" applyFill="1" applyBorder="1" applyAlignment="1" applyProtection="1">
      <alignment horizontal="right" vertical="center" wrapText="1"/>
      <protection locked="0"/>
    </xf>
    <xf numFmtId="0" fontId="5" fillId="30" borderId="0" xfId="245" applyFont="1" applyFill="1" applyBorder="1" applyAlignment="1">
      <alignment horizontal="center" vertical="center"/>
    </xf>
    <xf numFmtId="0" fontId="5" fillId="30" borderId="0" xfId="0" applyFont="1" applyFill="1" applyBorder="1" applyAlignment="1">
      <alignment horizontal="right" vertical="center"/>
    </xf>
    <xf numFmtId="0" fontId="5" fillId="30" borderId="3" xfId="0" applyFont="1" applyFill="1" applyBorder="1" applyAlignment="1">
      <alignment horizontal="center" vertical="center" wrapText="1" shrinkToFit="1"/>
    </xf>
    <xf numFmtId="0" fontId="5" fillId="30" borderId="3" xfId="0" applyNumberFormat="1" applyFont="1" applyFill="1" applyBorder="1" applyAlignment="1" applyProtection="1">
      <alignment horizontal="center" vertical="center" wrapText="1"/>
      <protection locked="0"/>
    </xf>
    <xf numFmtId="166" fontId="4" fillId="3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0" borderId="0" xfId="0" applyFont="1" applyFill="1" applyAlignment="1">
      <alignment vertical="center"/>
    </xf>
    <xf numFmtId="0" fontId="5" fillId="30" borderId="0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67" fontId="4" fillId="30" borderId="0" xfId="0" applyNumberFormat="1" applyFont="1" applyFill="1" applyBorder="1" applyAlignment="1" applyProtection="1">
      <alignment horizontal="center"/>
      <protection locked="0"/>
    </xf>
    <xf numFmtId="167" fontId="5" fillId="30" borderId="0" xfId="0" applyNumberFormat="1" applyFont="1" applyFill="1" applyBorder="1" applyAlignment="1" applyProtection="1">
      <alignment horizontal="right" vertical="center" wrapText="1"/>
      <protection locked="0"/>
    </xf>
    <xf numFmtId="167" fontId="5" fillId="30" borderId="0" xfId="0" applyNumberFormat="1" applyFont="1" applyFill="1" applyBorder="1" applyAlignment="1">
      <alignment horizontal="right" vertical="center" wrapText="1"/>
    </xf>
    <xf numFmtId="0" fontId="5" fillId="3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justify" vertical="center" wrapText="1"/>
    </xf>
    <xf numFmtId="0" fontId="83" fillId="0" borderId="0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2" fontId="83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0" fillId="30" borderId="0" xfId="0" applyFill="1"/>
    <xf numFmtId="2" fontId="0" fillId="30" borderId="0" xfId="0" applyNumberFormat="1" applyFill="1"/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3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3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2" fontId="91" fillId="0" borderId="3" xfId="0" applyNumberFormat="1" applyFont="1" applyBorder="1" applyAlignment="1">
      <alignment horizontal="right" vertical="center" wrapText="1"/>
    </xf>
    <xf numFmtId="2" fontId="91" fillId="30" borderId="3" xfId="0" applyNumberFormat="1" applyFont="1" applyFill="1" applyBorder="1" applyAlignment="1">
      <alignment horizontal="right" vertical="center" wrapText="1"/>
    </xf>
    <xf numFmtId="2" fontId="91" fillId="22" borderId="3" xfId="0" applyNumberFormat="1" applyFont="1" applyFill="1" applyBorder="1" applyAlignment="1">
      <alignment horizontal="right" vertical="center" wrapText="1"/>
    </xf>
    <xf numFmtId="1" fontId="4" fillId="33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33" borderId="3" xfId="0" applyNumberFormat="1" applyFont="1" applyFill="1" applyBorder="1" applyAlignment="1">
      <alignment horizontal="center" vertical="center" wrapText="1"/>
    </xf>
    <xf numFmtId="0" fontId="71" fillId="0" borderId="3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 applyProtection="1">
      <alignment horizontal="left" vertical="center" wrapText="1"/>
      <protection locked="0"/>
    </xf>
    <xf numFmtId="0" fontId="5" fillId="33" borderId="3" xfId="0" quotePrefix="1" applyFont="1" applyFill="1" applyBorder="1" applyAlignment="1">
      <alignment horizontal="center" vertical="center"/>
    </xf>
    <xf numFmtId="49" fontId="5" fillId="33" borderId="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Border="1" applyAlignment="1">
      <alignment vertical="center"/>
    </xf>
    <xf numFmtId="0" fontId="5" fillId="33" borderId="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5" fillId="33" borderId="3" xfId="0" applyFont="1" applyFill="1" applyBorder="1" applyAlignment="1">
      <alignment horizontal="center" vertical="center" wrapText="1"/>
    </xf>
    <xf numFmtId="167" fontId="4" fillId="33" borderId="0" xfId="0" quotePrefix="1" applyNumberFormat="1" applyFont="1" applyFill="1" applyBorder="1" applyAlignment="1" applyProtection="1">
      <alignment horizontal="center"/>
      <protection locked="0"/>
    </xf>
    <xf numFmtId="167" fontId="4" fillId="33" borderId="0" xfId="0" applyNumberFormat="1" applyFont="1" applyFill="1" applyBorder="1" applyAlignment="1" applyProtection="1">
      <alignment horizontal="center"/>
      <protection locked="0"/>
    </xf>
    <xf numFmtId="167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167" fontId="5" fillId="33" borderId="0" xfId="0" applyNumberFormat="1" applyFont="1" applyFill="1" applyBorder="1" applyAlignment="1">
      <alignment horizontal="center" vertical="center" wrapText="1"/>
    </xf>
    <xf numFmtId="167" fontId="5" fillId="33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0" fillId="33" borderId="0" xfId="0" applyFill="1"/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237" applyNumberFormat="1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9" xfId="0" applyFont="1" applyFill="1" applyBorder="1" applyAlignment="1" applyProtection="1">
      <alignment horizontal="center" vertical="center" wrapText="1" shrinkToFit="1"/>
    </xf>
    <xf numFmtId="0" fontId="75" fillId="0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2" fillId="0" borderId="0" xfId="0" applyFont="1" applyAlignment="1">
      <alignment horizontal="left" vertical="top" wrapText="1"/>
    </xf>
    <xf numFmtId="0" fontId="71" fillId="0" borderId="14" xfId="0" applyFont="1" applyFill="1" applyBorder="1" applyAlignment="1">
      <alignment horizontal="left" vertical="center" wrapText="1"/>
    </xf>
    <xf numFmtId="0" fontId="71" fillId="0" borderId="15" xfId="0" applyFont="1" applyFill="1" applyBorder="1" applyAlignment="1">
      <alignment horizontal="left" vertical="center" wrapText="1"/>
    </xf>
    <xf numFmtId="0" fontId="79" fillId="0" borderId="15" xfId="0" applyFont="1" applyFill="1" applyBorder="1" applyAlignment="1">
      <alignment horizontal="left" vertical="center" wrapText="1"/>
    </xf>
    <xf numFmtId="0" fontId="70" fillId="0" borderId="0" xfId="0" applyFont="1" applyAlignment="1">
      <alignment horizontal="center" vertical="top" wrapText="1"/>
    </xf>
    <xf numFmtId="0" fontId="71" fillId="0" borderId="0" xfId="0" applyFont="1" applyFill="1" applyBorder="1" applyAlignment="1">
      <alignment horizontal="left" vertical="center" wrapText="1"/>
    </xf>
    <xf numFmtId="0" fontId="74" fillId="0" borderId="15" xfId="0" applyFont="1" applyBorder="1" applyAlignment="1">
      <alignment horizontal="left" vertical="center" wrapText="1"/>
    </xf>
    <xf numFmtId="0" fontId="74" fillId="0" borderId="16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71" fillId="0" borderId="0" xfId="0" applyFont="1" applyFill="1" applyBorder="1" applyAlignment="1">
      <alignment horizontal="left" vertical="center"/>
    </xf>
    <xf numFmtId="0" fontId="0" fillId="0" borderId="15" xfId="0" applyBorder="1" applyAlignment="1">
      <alignment horizontal="left" vertical="center" wrapText="1"/>
    </xf>
    <xf numFmtId="0" fontId="70" fillId="0" borderId="0" xfId="0" applyFont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33" borderId="3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>
      <alignment horizontal="center" vertical="center" wrapText="1" shrinkToFit="1"/>
    </xf>
    <xf numFmtId="0" fontId="10" fillId="33" borderId="3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5" xfId="245" applyFont="1" applyFill="1" applyBorder="1" applyAlignment="1">
      <alignment horizontal="center" vertical="center" wrapText="1"/>
    </xf>
    <xf numFmtId="0" fontId="4" fillId="0" borderId="16" xfId="245" applyFont="1" applyFill="1" applyBorder="1" applyAlignment="1">
      <alignment horizontal="center" vertical="center" wrapText="1"/>
    </xf>
    <xf numFmtId="167" fontId="5" fillId="0" borderId="0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0" xfId="245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center" vertical="center" wrapText="1"/>
    </xf>
    <xf numFmtId="0" fontId="5" fillId="30" borderId="3" xfId="245" applyFont="1" applyFill="1" applyBorder="1" applyAlignment="1">
      <alignment horizontal="center" vertical="center" wrapText="1"/>
    </xf>
    <xf numFmtId="0" fontId="5" fillId="0" borderId="18" xfId="245" applyFont="1" applyFill="1" applyBorder="1" applyAlignment="1">
      <alignment horizontal="center" vertical="center" wrapText="1"/>
    </xf>
    <xf numFmtId="0" fontId="5" fillId="0" borderId="19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/>
    </xf>
    <xf numFmtId="0" fontId="4" fillId="0" borderId="0" xfId="237" applyNumberFormat="1" applyFont="1" applyFill="1" applyBorder="1" applyAlignment="1">
      <alignment horizontal="center" vertical="center" wrapText="1"/>
    </xf>
    <xf numFmtId="0" fontId="5" fillId="0" borderId="18" xfId="237" applyNumberFormat="1" applyFont="1" applyFill="1" applyBorder="1" applyAlignment="1">
      <alignment horizontal="center" vertical="center" wrapText="1"/>
    </xf>
    <xf numFmtId="0" fontId="5" fillId="0" borderId="19" xfId="237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30" borderId="14" xfId="0" applyFont="1" applyFill="1" applyBorder="1" applyAlignment="1" applyProtection="1">
      <alignment horizontal="center" vertical="center" wrapText="1"/>
    </xf>
    <xf numFmtId="0" fontId="4" fillId="30" borderId="15" xfId="0" applyFont="1" applyFill="1" applyBorder="1" applyAlignment="1" applyProtection="1">
      <alignment horizontal="center" vertical="center" wrapText="1"/>
    </xf>
    <xf numFmtId="0" fontId="4" fillId="30" borderId="16" xfId="0" applyFont="1" applyFill="1" applyBorder="1" applyAlignment="1" applyProtection="1">
      <alignment horizontal="center" vertical="center" wrapText="1"/>
    </xf>
    <xf numFmtId="167" fontId="5" fillId="29" borderId="14" xfId="0" applyNumberFormat="1" applyFont="1" applyFill="1" applyBorder="1" applyAlignment="1" applyProtection="1">
      <alignment horizontal="center" vertical="center" wrapText="1"/>
    </xf>
    <xf numFmtId="167" fontId="5" fillId="29" borderId="16" xfId="0" applyNumberFormat="1" applyFont="1" applyFill="1" applyBorder="1" applyAlignment="1" applyProtection="1">
      <alignment horizontal="center" vertical="center" wrapText="1"/>
    </xf>
    <xf numFmtId="0" fontId="5" fillId="30" borderId="3" xfId="0" applyFont="1" applyFill="1" applyBorder="1" applyAlignment="1" applyProtection="1">
      <alignment horizontal="left" vertical="center" wrapText="1"/>
    </xf>
    <xf numFmtId="176" fontId="5" fillId="30" borderId="14" xfId="0" applyNumberFormat="1" applyFont="1" applyFill="1" applyBorder="1" applyAlignment="1" applyProtection="1">
      <alignment horizontal="center" vertical="center" wrapText="1"/>
    </xf>
    <xf numFmtId="176" fontId="5" fillId="30" borderId="16" xfId="0" applyNumberFormat="1" applyFont="1" applyFill="1" applyBorder="1" applyAlignment="1" applyProtection="1">
      <alignment horizontal="center" vertical="center" wrapText="1"/>
    </xf>
    <xf numFmtId="167" fontId="90" fillId="29" borderId="14" xfId="0" applyNumberFormat="1" applyFont="1" applyFill="1" applyBorder="1" applyAlignment="1" applyProtection="1">
      <alignment horizontal="center" vertical="center" wrapText="1"/>
    </xf>
    <xf numFmtId="167" fontId="90" fillId="29" borderId="16" xfId="0" applyNumberFormat="1" applyFont="1" applyFill="1" applyBorder="1" applyAlignment="1" applyProtection="1">
      <alignment horizontal="center" vertical="center" wrapText="1"/>
    </xf>
    <xf numFmtId="176" fontId="5" fillId="33" borderId="14" xfId="0" applyNumberFormat="1" applyFont="1" applyFill="1" applyBorder="1" applyAlignment="1" applyProtection="1">
      <alignment horizontal="center" vertical="center" wrapText="1"/>
    </xf>
    <xf numFmtId="176" fontId="5" fillId="33" borderId="16" xfId="0" applyNumberFormat="1" applyFont="1" applyFill="1" applyBorder="1" applyAlignment="1" applyProtection="1">
      <alignment horizontal="center" vertical="center" wrapText="1"/>
    </xf>
    <xf numFmtId="167" fontId="90" fillId="30" borderId="14" xfId="0" applyNumberFormat="1" applyFont="1" applyFill="1" applyBorder="1" applyAlignment="1" applyProtection="1">
      <alignment horizontal="center" vertical="center" wrapText="1"/>
    </xf>
    <xf numFmtId="167" fontId="90" fillId="30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76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6" fontId="5" fillId="0" borderId="14" xfId="0" applyNumberFormat="1" applyFont="1" applyFill="1" applyBorder="1" applyAlignment="1" applyProtection="1">
      <alignment horizontal="center" vertical="center" wrapText="1"/>
    </xf>
    <xf numFmtId="176" fontId="5" fillId="0" borderId="16" xfId="0" applyNumberFormat="1" applyFont="1" applyFill="1" applyBorder="1" applyAlignment="1" applyProtection="1">
      <alignment horizontal="center" vertical="center" wrapText="1"/>
    </xf>
    <xf numFmtId="176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17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9" borderId="14" xfId="0" applyNumberFormat="1" applyFont="1" applyFill="1" applyBorder="1" applyAlignment="1">
      <alignment horizontal="center" vertical="center" wrapText="1"/>
    </xf>
    <xf numFmtId="0" fontId="5" fillId="29" borderId="16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5" fillId="0" borderId="3" xfId="0" applyFont="1" applyFill="1" applyBorder="1" applyAlignment="1" applyProtection="1">
      <alignment horizontal="left" vertical="center" wrapText="1"/>
    </xf>
    <xf numFmtId="0" fontId="4" fillId="0" borderId="14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 wrapText="1"/>
    </xf>
    <xf numFmtId="175" fontId="5" fillId="29" borderId="14" xfId="0" applyNumberFormat="1" applyFont="1" applyFill="1" applyBorder="1" applyAlignment="1" applyProtection="1">
      <alignment horizontal="center" vertical="center" wrapText="1"/>
    </xf>
    <xf numFmtId="175" fontId="5" fillId="29" borderId="16" xfId="0" applyNumberFormat="1" applyFont="1" applyFill="1" applyBorder="1" applyAlignment="1" applyProtection="1">
      <alignment horizontal="center" vertical="center" wrapText="1"/>
    </xf>
    <xf numFmtId="0" fontId="83" fillId="0" borderId="3" xfId="0" applyFont="1" applyBorder="1" applyAlignment="1">
      <alignment horizontal="center" vertical="center" wrapText="1"/>
    </xf>
    <xf numFmtId="0" fontId="84" fillId="0" borderId="3" xfId="0" applyFont="1" applyBorder="1" applyAlignment="1">
      <alignment vertical="top" wrapText="1"/>
    </xf>
    <xf numFmtId="0" fontId="85" fillId="0" borderId="3" xfId="0" applyFont="1" applyBorder="1" applyAlignment="1">
      <alignment wrapText="1"/>
    </xf>
    <xf numFmtId="0" fontId="83" fillId="0" borderId="16" xfId="0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29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" fontId="71" fillId="0" borderId="14" xfId="0" applyNumberFormat="1" applyFont="1" applyFill="1" applyBorder="1" applyAlignment="1">
      <alignment horizontal="center" vertical="center" wrapText="1"/>
    </xf>
    <xf numFmtId="1" fontId="71" fillId="0" borderId="15" xfId="0" applyNumberFormat="1" applyFont="1" applyFill="1" applyBorder="1" applyAlignment="1">
      <alignment horizontal="center" vertical="center" wrapText="1"/>
    </xf>
    <xf numFmtId="1" fontId="71" fillId="0" borderId="16" xfId="0" applyNumberFormat="1" applyFont="1" applyFill="1" applyBorder="1" applyAlignment="1">
      <alignment horizontal="center" vertic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5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1" fontId="5" fillId="29" borderId="14" xfId="0" applyNumberFormat="1" applyFont="1" applyFill="1" applyBorder="1" applyAlignment="1">
      <alignment horizontal="center" vertical="center" wrapText="1"/>
    </xf>
    <xf numFmtId="1" fontId="5" fillId="29" borderId="15" xfId="0" applyNumberFormat="1" applyFont="1" applyFill="1" applyBorder="1" applyAlignment="1">
      <alignment horizontal="center" vertical="center" wrapText="1"/>
    </xf>
    <xf numFmtId="1" fontId="5" fillId="29" borderId="16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lef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6" xfId="0" applyFont="1" applyFill="1" applyBorder="1" applyAlignment="1">
      <alignment horizontal="center" vertical="center" wrapText="1"/>
    </xf>
    <xf numFmtId="49" fontId="71" fillId="0" borderId="14" xfId="0" applyNumberFormat="1" applyFont="1" applyFill="1" applyBorder="1" applyAlignment="1">
      <alignment horizontal="left" vertical="center" wrapText="1"/>
    </xf>
    <xf numFmtId="49" fontId="71" fillId="0" borderId="15" xfId="0" applyNumberFormat="1" applyFont="1" applyFill="1" applyBorder="1" applyAlignment="1">
      <alignment horizontal="left" vertical="center" wrapText="1"/>
    </xf>
    <xf numFmtId="49" fontId="71" fillId="0" borderId="16" xfId="0" applyNumberFormat="1" applyFont="1" applyFill="1" applyBorder="1" applyAlignment="1">
      <alignment horizontal="left" vertical="center" wrapText="1"/>
    </xf>
    <xf numFmtId="1" fontId="71" fillId="29" borderId="14" xfId="0" applyNumberFormat="1" applyFont="1" applyFill="1" applyBorder="1" applyAlignment="1">
      <alignment horizontal="center" vertical="center" wrapText="1"/>
    </xf>
    <xf numFmtId="1" fontId="71" fillId="29" borderId="15" xfId="0" applyNumberFormat="1" applyFont="1" applyFill="1" applyBorder="1" applyAlignment="1">
      <alignment horizontal="center" vertical="center" wrapText="1"/>
    </xf>
    <xf numFmtId="1" fontId="71" fillId="29" borderId="16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left" vertical="center" wrapText="1"/>
    </xf>
    <xf numFmtId="49" fontId="10" fillId="0" borderId="16" xfId="0" applyNumberFormat="1" applyFont="1" applyFill="1" applyBorder="1" applyAlignment="1">
      <alignment horizontal="left" vertical="center" wrapText="1"/>
    </xf>
    <xf numFmtId="1" fontId="10" fillId="29" borderId="14" xfId="0" applyNumberFormat="1" applyFont="1" applyFill="1" applyBorder="1" applyAlignment="1">
      <alignment horizontal="center" vertical="center" wrapText="1"/>
    </xf>
    <xf numFmtId="1" fontId="10" fillId="29" borderId="15" xfId="0" applyNumberFormat="1" applyFont="1" applyFill="1" applyBorder="1" applyAlignment="1">
      <alignment horizontal="center" vertical="center" wrapText="1"/>
    </xf>
    <xf numFmtId="1" fontId="10" fillId="29" borderId="1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174" fontId="10" fillId="0" borderId="3" xfId="0" applyNumberFormat="1" applyFont="1" applyFill="1" applyBorder="1" applyAlignment="1">
      <alignment horizontal="center" vertical="center" wrapText="1"/>
    </xf>
    <xf numFmtId="0" fontId="10" fillId="29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</cellXfs>
  <cellStyles count="354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" xfId="353" builtinId="3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externalLink" Target="externalLinks/externalLink25.xml"/><Relationship Id="rId42" Type="http://schemas.openxmlformats.org/officeDocument/2006/relationships/externalLink" Target="externalLinks/externalLink33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24.xml"/><Relationship Id="rId38" Type="http://schemas.openxmlformats.org/officeDocument/2006/relationships/externalLink" Target="externalLinks/externalLink29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0.xml"/><Relationship Id="rId41" Type="http://schemas.openxmlformats.org/officeDocument/2006/relationships/externalLink" Target="externalLinks/externalLink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externalLink" Target="externalLinks/externalLink23.xml"/><Relationship Id="rId37" Type="http://schemas.openxmlformats.org/officeDocument/2006/relationships/externalLink" Target="externalLinks/externalLink28.xml"/><Relationship Id="rId40" Type="http://schemas.openxmlformats.org/officeDocument/2006/relationships/externalLink" Target="externalLinks/externalLink31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9.xml"/><Relationship Id="rId36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externalLink" Target="externalLinks/externalLink22.xml"/><Relationship Id="rId44" Type="http://schemas.openxmlformats.org/officeDocument/2006/relationships/externalLink" Target="externalLinks/externalLink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externalLink" Target="externalLinks/externalLink21.xml"/><Relationship Id="rId35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34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N256"/>
  <sheetViews>
    <sheetView view="pageBreakPreview" zoomScale="75" zoomScaleNormal="75" zoomScaleSheetLayoutView="75" workbookViewId="0">
      <selection activeCell="A25" sqref="A25:F25"/>
    </sheetView>
  </sheetViews>
  <sheetFormatPr defaultRowHeight="18.75"/>
  <cols>
    <col min="1" max="1" width="50.28515625" style="2" customWidth="1"/>
    <col min="2" max="2" width="16.85546875" style="25" customWidth="1"/>
    <col min="3" max="3" width="14.5703125" style="25" customWidth="1"/>
    <col min="4" max="5" width="15.5703125" style="25" customWidth="1"/>
    <col min="6" max="6" width="14.5703125" style="25" customWidth="1"/>
    <col min="7" max="7" width="13.7109375" style="2" customWidth="1"/>
    <col min="8" max="9" width="14.5703125" style="2" customWidth="1"/>
    <col min="10" max="10" width="15.140625" style="2" customWidth="1"/>
    <col min="11" max="11" width="10" style="2" customWidth="1"/>
    <col min="12" max="12" width="9.5703125" style="2" customWidth="1"/>
    <col min="13" max="14" width="9.140625" style="2"/>
    <col min="15" max="15" width="10.5703125" style="2" customWidth="1"/>
    <col min="16" max="16384" width="9.140625" style="2"/>
  </cols>
  <sheetData>
    <row r="1" spans="1:11" ht="20.25">
      <c r="A1" s="169"/>
      <c r="B1" s="170"/>
      <c r="C1" s="171"/>
      <c r="D1" s="169"/>
      <c r="E1" s="169"/>
      <c r="F1" s="312" t="s">
        <v>13</v>
      </c>
      <c r="G1" s="312"/>
      <c r="H1" s="312"/>
      <c r="I1" s="312"/>
      <c r="J1" s="312"/>
      <c r="K1" s="169"/>
    </row>
    <row r="2" spans="1:11" ht="18.75" customHeight="1">
      <c r="A2" s="314" t="s">
        <v>376</v>
      </c>
      <c r="B2" s="314"/>
      <c r="C2" s="174"/>
      <c r="D2" s="169"/>
      <c r="E2" s="169"/>
      <c r="F2" s="311" t="s">
        <v>377</v>
      </c>
      <c r="G2" s="311"/>
      <c r="H2" s="311"/>
      <c r="I2" s="311"/>
      <c r="J2" s="311"/>
      <c r="K2" s="169"/>
    </row>
    <row r="3" spans="1:11" ht="39" customHeight="1">
      <c r="A3" s="302" t="s">
        <v>461</v>
      </c>
      <c r="B3" s="302"/>
      <c r="C3" s="174"/>
      <c r="D3" s="170"/>
      <c r="E3" s="170"/>
      <c r="F3" s="311"/>
      <c r="G3" s="311"/>
      <c r="H3" s="311"/>
      <c r="I3" s="311"/>
      <c r="J3" s="311"/>
      <c r="K3" s="169"/>
    </row>
    <row r="4" spans="1:11" ht="18.75" customHeight="1">
      <c r="A4" s="302"/>
      <c r="B4" s="302"/>
      <c r="C4" s="174"/>
      <c r="D4" s="170"/>
      <c r="E4" s="170"/>
      <c r="F4" s="311"/>
      <c r="G4" s="311"/>
      <c r="H4" s="311"/>
      <c r="I4" s="311"/>
      <c r="J4" s="311"/>
      <c r="K4" s="169"/>
    </row>
    <row r="5" spans="1:11" ht="18.75" customHeight="1">
      <c r="A5" s="302" t="s">
        <v>462</v>
      </c>
      <c r="B5" s="302"/>
      <c r="C5" s="174"/>
      <c r="D5" s="170"/>
      <c r="E5" s="170"/>
      <c r="F5" s="170"/>
      <c r="G5" s="312"/>
      <c r="H5" s="312"/>
      <c r="I5" s="172"/>
      <c r="J5" s="172"/>
      <c r="K5" s="169"/>
    </row>
    <row r="6" spans="1:11" ht="18.75" customHeight="1">
      <c r="A6" s="306" t="s">
        <v>378</v>
      </c>
      <c r="B6" s="306"/>
      <c r="C6" s="174"/>
      <c r="D6" s="175"/>
      <c r="E6" s="175"/>
      <c r="F6" s="307" t="s">
        <v>379</v>
      </c>
      <c r="G6" s="307"/>
      <c r="H6" s="307"/>
      <c r="I6" s="307"/>
      <c r="J6" s="307"/>
      <c r="K6" s="169"/>
    </row>
    <row r="7" spans="1:11" ht="63" customHeight="1">
      <c r="A7" s="306"/>
      <c r="B7" s="306"/>
      <c r="C7" s="174"/>
      <c r="D7" s="175"/>
      <c r="E7" s="175"/>
      <c r="F7" s="307" t="s">
        <v>256</v>
      </c>
      <c r="G7" s="307"/>
      <c r="H7" s="307"/>
      <c r="I7" s="307"/>
      <c r="J7" s="307"/>
      <c r="K7" s="169"/>
    </row>
    <row r="8" spans="1:11" ht="18.75" customHeight="1">
      <c r="A8" s="176" t="s">
        <v>346</v>
      </c>
      <c r="B8" s="173"/>
      <c r="C8" s="174"/>
      <c r="D8" s="175"/>
      <c r="E8" s="175"/>
      <c r="F8" s="307" t="s">
        <v>380</v>
      </c>
      <c r="G8" s="307"/>
      <c r="H8" s="307"/>
      <c r="I8" s="307"/>
      <c r="J8" s="307"/>
      <c r="K8" s="169"/>
    </row>
    <row r="9" spans="1:11" ht="18.75" customHeight="1">
      <c r="A9" s="173"/>
      <c r="B9" s="173"/>
      <c r="C9" s="174"/>
      <c r="D9" s="175"/>
      <c r="E9" s="175"/>
      <c r="F9" s="307" t="s">
        <v>381</v>
      </c>
      <c r="G9" s="307"/>
      <c r="H9" s="307"/>
      <c r="I9" s="307"/>
      <c r="J9" s="307"/>
      <c r="K9" s="169"/>
    </row>
    <row r="10" spans="1:11" ht="20.25">
      <c r="A10" s="173"/>
      <c r="B10" s="173"/>
      <c r="C10" s="174"/>
      <c r="D10" s="175"/>
      <c r="E10" s="175"/>
      <c r="F10" s="169"/>
      <c r="G10" s="169"/>
      <c r="H10" s="169"/>
      <c r="I10" s="169"/>
      <c r="J10" s="169"/>
      <c r="K10" s="169"/>
    </row>
    <row r="11" spans="1:11" ht="102.75" customHeight="1">
      <c r="A11" s="173"/>
      <c r="B11" s="173"/>
      <c r="C11" s="174"/>
      <c r="D11" s="175"/>
      <c r="E11" s="175"/>
      <c r="F11" s="307" t="s">
        <v>463</v>
      </c>
      <c r="G11" s="307"/>
      <c r="H11" s="307"/>
      <c r="I11" s="307"/>
      <c r="J11" s="307"/>
      <c r="K11" s="169"/>
    </row>
    <row r="12" spans="1:11" ht="20.25" customHeight="1">
      <c r="A12" s="173"/>
      <c r="B12" s="173"/>
      <c r="C12" s="174"/>
      <c r="D12" s="175"/>
      <c r="E12" s="175"/>
      <c r="F12" s="176" t="s">
        <v>346</v>
      </c>
      <c r="G12" s="169"/>
      <c r="H12" s="169"/>
      <c r="I12" s="169"/>
      <c r="J12" s="169"/>
      <c r="K12" s="169"/>
    </row>
    <row r="13" spans="1:11" ht="19.5" customHeight="1">
      <c r="A13" s="173"/>
      <c r="B13" s="173"/>
      <c r="C13" s="174"/>
      <c r="D13" s="175"/>
      <c r="E13" s="175"/>
      <c r="F13" s="169"/>
      <c r="G13" s="172"/>
      <c r="H13" s="176"/>
      <c r="I13" s="176"/>
      <c r="J13" s="176"/>
      <c r="K13" s="169"/>
    </row>
    <row r="14" spans="1:11" ht="19.5" customHeight="1">
      <c r="A14" s="169"/>
      <c r="B14" s="177"/>
      <c r="C14" s="177"/>
      <c r="D14" s="177"/>
      <c r="E14" s="177"/>
      <c r="F14" s="177"/>
      <c r="G14" s="171"/>
      <c r="H14" s="171"/>
      <c r="I14" s="171"/>
      <c r="J14" s="171"/>
      <c r="K14" s="169"/>
    </row>
    <row r="15" spans="1:11" ht="19.5" customHeight="1">
      <c r="A15" s="178"/>
      <c r="B15" s="304"/>
      <c r="C15" s="304"/>
      <c r="D15" s="304"/>
      <c r="E15" s="304"/>
      <c r="F15" s="304"/>
      <c r="G15" s="179"/>
      <c r="H15" s="180"/>
      <c r="I15" s="181" t="s">
        <v>454</v>
      </c>
      <c r="J15" s="182" t="s">
        <v>257</v>
      </c>
      <c r="K15" s="169"/>
    </row>
    <row r="16" spans="1:11" ht="21.75" customHeight="1">
      <c r="A16" s="303" t="s">
        <v>422</v>
      </c>
      <c r="B16" s="313"/>
      <c r="C16" s="313"/>
      <c r="D16" s="313"/>
      <c r="E16" s="313"/>
      <c r="F16" s="313"/>
      <c r="G16" s="315"/>
      <c r="H16" s="316"/>
      <c r="I16" s="14" t="s">
        <v>139</v>
      </c>
      <c r="J16" s="192">
        <v>32835966</v>
      </c>
      <c r="K16" s="190"/>
    </row>
    <row r="17" spans="1:11" ht="22.5" customHeight="1">
      <c r="A17" s="303" t="s">
        <v>409</v>
      </c>
      <c r="B17" s="313"/>
      <c r="C17" s="313"/>
      <c r="D17" s="313"/>
      <c r="E17" s="313"/>
      <c r="F17" s="313"/>
      <c r="G17" s="179"/>
      <c r="H17" s="180"/>
      <c r="I17" s="14" t="s">
        <v>138</v>
      </c>
      <c r="J17" s="192">
        <v>150</v>
      </c>
      <c r="K17" s="190"/>
    </row>
    <row r="18" spans="1:11" ht="18.75" customHeight="1">
      <c r="A18" s="303" t="s">
        <v>423</v>
      </c>
      <c r="B18" s="313"/>
      <c r="C18" s="313"/>
      <c r="D18" s="313"/>
      <c r="E18" s="313"/>
      <c r="F18" s="313"/>
      <c r="G18" s="179"/>
      <c r="H18" s="180"/>
      <c r="I18" s="14" t="s">
        <v>137</v>
      </c>
      <c r="J18" s="192">
        <v>1210136900</v>
      </c>
      <c r="K18" s="190"/>
    </row>
    <row r="19" spans="1:11" ht="24" customHeight="1">
      <c r="A19" s="303" t="s">
        <v>382</v>
      </c>
      <c r="B19" s="313"/>
      <c r="C19" s="313"/>
      <c r="D19" s="313"/>
      <c r="E19" s="313"/>
      <c r="F19" s="313"/>
      <c r="G19" s="184"/>
      <c r="H19" s="185"/>
      <c r="I19" s="14" t="s">
        <v>9</v>
      </c>
      <c r="J19" s="193"/>
      <c r="K19" s="191"/>
    </row>
    <row r="20" spans="1:11" ht="18.75" customHeight="1">
      <c r="A20" s="303" t="s">
        <v>424</v>
      </c>
      <c r="B20" s="313"/>
      <c r="C20" s="313"/>
      <c r="D20" s="313"/>
      <c r="E20" s="313"/>
      <c r="F20" s="313"/>
      <c r="G20" s="184"/>
      <c r="H20" s="185"/>
      <c r="I20" s="186" t="s">
        <v>8</v>
      </c>
      <c r="J20" s="193"/>
      <c r="K20" s="191"/>
    </row>
    <row r="21" spans="1:11" ht="21" customHeight="1">
      <c r="A21" s="303" t="s">
        <v>425</v>
      </c>
      <c r="B21" s="313"/>
      <c r="C21" s="313"/>
      <c r="D21" s="313"/>
      <c r="E21" s="313"/>
      <c r="F21" s="313"/>
      <c r="G21" s="184"/>
      <c r="H21" s="187"/>
      <c r="I21" s="188" t="s">
        <v>10</v>
      </c>
      <c r="J21" s="192" t="s">
        <v>410</v>
      </c>
      <c r="K21" s="190"/>
    </row>
    <row r="22" spans="1:11" ht="20.25" customHeight="1">
      <c r="A22" s="303" t="s">
        <v>426</v>
      </c>
      <c r="B22" s="304"/>
      <c r="C22" s="304"/>
      <c r="D22" s="304"/>
      <c r="E22" s="304"/>
      <c r="F22" s="304"/>
      <c r="G22" s="304" t="s">
        <v>200</v>
      </c>
      <c r="H22" s="308"/>
      <c r="I22" s="309"/>
      <c r="J22" s="189"/>
      <c r="K22" s="169"/>
    </row>
    <row r="23" spans="1:11" ht="19.5" customHeight="1">
      <c r="A23" s="212" t="s">
        <v>427</v>
      </c>
      <c r="B23" s="304"/>
      <c r="C23" s="304"/>
      <c r="D23" s="304"/>
      <c r="E23" s="304"/>
      <c r="F23" s="304"/>
      <c r="G23" s="304" t="s">
        <v>201</v>
      </c>
      <c r="H23" s="308"/>
      <c r="I23" s="309"/>
      <c r="J23" s="189"/>
      <c r="K23" s="169"/>
    </row>
    <row r="24" spans="1:11" ht="21.75" customHeight="1">
      <c r="A24" s="303" t="s">
        <v>476</v>
      </c>
      <c r="B24" s="304"/>
      <c r="C24" s="304"/>
      <c r="D24" s="304"/>
      <c r="E24" s="304"/>
      <c r="F24" s="304"/>
      <c r="G24" s="184"/>
      <c r="H24" s="184"/>
      <c r="I24" s="184"/>
      <c r="J24" s="185"/>
      <c r="K24" s="169"/>
    </row>
    <row r="25" spans="1:11" ht="18.75" customHeight="1">
      <c r="A25" s="303" t="s">
        <v>453</v>
      </c>
      <c r="B25" s="313"/>
      <c r="C25" s="313"/>
      <c r="D25" s="313"/>
      <c r="E25" s="313"/>
      <c r="F25" s="313"/>
      <c r="G25" s="179"/>
      <c r="H25" s="179"/>
      <c r="I25" s="179"/>
      <c r="J25" s="180"/>
      <c r="K25" s="169"/>
    </row>
    <row r="26" spans="1:11" ht="18" customHeight="1">
      <c r="A26" s="212" t="s">
        <v>428</v>
      </c>
      <c r="B26" s="304"/>
      <c r="C26" s="304"/>
      <c r="D26" s="304"/>
      <c r="E26" s="304"/>
      <c r="F26" s="304"/>
      <c r="G26" s="184"/>
      <c r="H26" s="184"/>
      <c r="I26" s="184"/>
      <c r="J26" s="185"/>
      <c r="K26" s="169"/>
    </row>
    <row r="27" spans="1:11" ht="21" customHeight="1">
      <c r="A27" s="183" t="s">
        <v>11</v>
      </c>
      <c r="B27" s="305" t="s">
        <v>459</v>
      </c>
      <c r="C27" s="305"/>
      <c r="D27" s="305"/>
      <c r="E27" s="305"/>
      <c r="F27" s="305"/>
      <c r="G27" s="179"/>
      <c r="H27" s="179"/>
      <c r="I27" s="179"/>
      <c r="J27" s="180"/>
      <c r="K27" s="169"/>
    </row>
    <row r="28" spans="1:11" ht="20.100000000000001" customHeight="1">
      <c r="B28" s="2"/>
      <c r="C28" s="2"/>
      <c r="D28" s="2"/>
      <c r="E28" s="2"/>
      <c r="F28" s="2"/>
    </row>
    <row r="29" spans="1:11" ht="19.5" customHeight="1">
      <c r="A29" s="70"/>
      <c r="B29" s="2"/>
      <c r="D29" s="2"/>
      <c r="E29" s="2"/>
      <c r="F29" s="2"/>
    </row>
    <row r="30" spans="1:11">
      <c r="A30" s="301" t="s">
        <v>472</v>
      </c>
      <c r="B30" s="301"/>
      <c r="C30" s="301"/>
      <c r="D30" s="301"/>
      <c r="E30" s="301"/>
      <c r="F30" s="301"/>
      <c r="G30" s="301"/>
      <c r="H30" s="301"/>
      <c r="I30" s="301"/>
      <c r="J30" s="301"/>
    </row>
    <row r="31" spans="1:11" ht="9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1">
      <c r="A32" s="310" t="s">
        <v>214</v>
      </c>
      <c r="B32" s="310"/>
      <c r="C32" s="310"/>
      <c r="D32" s="310"/>
      <c r="E32" s="310"/>
      <c r="F32" s="310"/>
      <c r="G32" s="310"/>
      <c r="H32" s="310"/>
      <c r="I32" s="310"/>
      <c r="J32" s="310"/>
    </row>
    <row r="33" spans="1:14" ht="12" customHeight="1">
      <c r="B33" s="27"/>
      <c r="C33" s="4"/>
      <c r="D33" s="27"/>
      <c r="E33" s="27"/>
      <c r="F33" s="27"/>
      <c r="G33" s="27"/>
      <c r="H33" s="27"/>
      <c r="I33" s="27"/>
      <c r="J33" s="27"/>
    </row>
    <row r="34" spans="1:14" ht="41.25" customHeight="1">
      <c r="A34" s="283" t="s">
        <v>269</v>
      </c>
      <c r="B34" s="284" t="s">
        <v>12</v>
      </c>
      <c r="C34" s="290" t="s">
        <v>24</v>
      </c>
      <c r="D34" s="290" t="s">
        <v>32</v>
      </c>
      <c r="E34" s="284" t="s">
        <v>143</v>
      </c>
      <c r="F34" s="295" t="s">
        <v>175</v>
      </c>
      <c r="G34" s="285" t="s">
        <v>270</v>
      </c>
      <c r="H34" s="286"/>
      <c r="I34" s="286"/>
      <c r="J34" s="287"/>
    </row>
    <row r="35" spans="1:14" ht="54.75" customHeight="1">
      <c r="A35" s="283"/>
      <c r="B35" s="284"/>
      <c r="C35" s="291"/>
      <c r="D35" s="291"/>
      <c r="E35" s="284"/>
      <c r="F35" s="296"/>
      <c r="G35" s="105" t="s">
        <v>261</v>
      </c>
      <c r="H35" s="105" t="s">
        <v>262</v>
      </c>
      <c r="I35" s="105" t="s">
        <v>263</v>
      </c>
      <c r="J35" s="105" t="s">
        <v>354</v>
      </c>
    </row>
    <row r="36" spans="1:14" ht="20.100000000000001" customHeight="1">
      <c r="A36" s="104">
        <v>1</v>
      </c>
      <c r="B36" s="105">
        <v>2</v>
      </c>
      <c r="C36" s="105">
        <v>3</v>
      </c>
      <c r="D36" s="105">
        <v>4</v>
      </c>
      <c r="E36" s="105">
        <v>5</v>
      </c>
      <c r="F36" s="105">
        <v>6</v>
      </c>
      <c r="G36" s="105">
        <v>7</v>
      </c>
      <c r="H36" s="105">
        <v>8</v>
      </c>
      <c r="I36" s="105">
        <v>9</v>
      </c>
      <c r="J36" s="105">
        <v>10</v>
      </c>
    </row>
    <row r="37" spans="1:14" ht="24.95" customHeight="1">
      <c r="A37" s="288" t="s">
        <v>101</v>
      </c>
      <c r="B37" s="288"/>
      <c r="C37" s="288"/>
      <c r="D37" s="288"/>
      <c r="E37" s="288"/>
      <c r="F37" s="288"/>
      <c r="G37" s="288"/>
      <c r="H37" s="288"/>
      <c r="I37" s="288"/>
      <c r="J37" s="288"/>
    </row>
    <row r="38" spans="1:14" ht="37.5">
      <c r="A38" s="106" t="s">
        <v>215</v>
      </c>
      <c r="B38" s="104">
        <f>'I. Фін результат'!B7</f>
        <v>1000</v>
      </c>
      <c r="C38" s="165">
        <f>'I. Фін результат'!C7</f>
        <v>13</v>
      </c>
      <c r="D38" s="165">
        <f>'I. Фін результат'!D7</f>
        <v>23</v>
      </c>
      <c r="E38" s="202">
        <f>'I. Фін результат'!I7</f>
        <v>23</v>
      </c>
      <c r="F38" s="165">
        <f>'I. Фін результат'!E7</f>
        <v>23</v>
      </c>
      <c r="G38" s="158">
        <f>ROUND(E38*105.6%,0)</f>
        <v>24</v>
      </c>
      <c r="H38" s="158">
        <f>ROUND(G38*105%,0)</f>
        <v>25</v>
      </c>
      <c r="I38" s="158">
        <f t="shared" ref="I38:J39" si="0">ROUND(H38*105%,0)</f>
        <v>26</v>
      </c>
      <c r="J38" s="158">
        <f t="shared" si="0"/>
        <v>27</v>
      </c>
      <c r="K38" s="195"/>
      <c r="L38" s="195"/>
      <c r="M38" s="195"/>
      <c r="N38" s="195"/>
    </row>
    <row r="39" spans="1:14" ht="37.5">
      <c r="A39" s="106" t="s">
        <v>183</v>
      </c>
      <c r="B39" s="104">
        <f>'I. Фін результат'!B9</f>
        <v>1010</v>
      </c>
      <c r="C39" s="165">
        <f>'I. Фін результат'!C9</f>
        <v>0</v>
      </c>
      <c r="D39" s="165">
        <f>'I. Фін результат'!D9</f>
        <v>0</v>
      </c>
      <c r="E39" s="202">
        <f>'I. Фін результат'!I9</f>
        <v>0</v>
      </c>
      <c r="F39" s="165">
        <f>'I. Фін результат'!E9</f>
        <v>0</v>
      </c>
      <c r="G39" s="158">
        <f>ROUND(E39*105.6%,0)</f>
        <v>0</v>
      </c>
      <c r="H39" s="158">
        <f>ROUND(G39*105%,0)</f>
        <v>0</v>
      </c>
      <c r="I39" s="158">
        <f t="shared" si="0"/>
        <v>0</v>
      </c>
      <c r="J39" s="158">
        <f t="shared" si="0"/>
        <v>0</v>
      </c>
    </row>
    <row r="40" spans="1:14" ht="20.100000000000001" customHeight="1">
      <c r="A40" s="109" t="s">
        <v>303</v>
      </c>
      <c r="B40" s="104">
        <f>'I. Фін результат'!B20</f>
        <v>1020</v>
      </c>
      <c r="C40" s="165">
        <f>'I. Фін результат'!C20</f>
        <v>13</v>
      </c>
      <c r="D40" s="165">
        <f>'I. Фін результат'!D20</f>
        <v>23</v>
      </c>
      <c r="E40" s="202">
        <f>'I. Фін результат'!I20</f>
        <v>23</v>
      </c>
      <c r="F40" s="165">
        <f>'I. Фін результат'!E20</f>
        <v>23</v>
      </c>
      <c r="G40" s="165">
        <f>G38-G39</f>
        <v>24</v>
      </c>
      <c r="H40" s="165">
        <f>H38-H39</f>
        <v>25</v>
      </c>
      <c r="I40" s="165">
        <f>I38-I39</f>
        <v>26</v>
      </c>
      <c r="J40" s="165">
        <f>J38-J39</f>
        <v>27</v>
      </c>
    </row>
    <row r="41" spans="1:14" ht="20.100000000000001" customHeight="1">
      <c r="A41" s="106" t="s">
        <v>148</v>
      </c>
      <c r="B41" s="104">
        <f>'I. Фін результат'!B24</f>
        <v>1040</v>
      </c>
      <c r="C41" s="165">
        <f>'I. Фін результат'!C24</f>
        <v>537</v>
      </c>
      <c r="D41" s="165">
        <f>'I. Фін результат'!D24</f>
        <v>549</v>
      </c>
      <c r="E41" s="202">
        <f>'I. Фін результат'!I24</f>
        <v>760</v>
      </c>
      <c r="F41" s="165">
        <f>'I. Фін результат'!E24</f>
        <v>760</v>
      </c>
      <c r="G41" s="158">
        <f>ROUND(E41*105.6%,0)</f>
        <v>803</v>
      </c>
      <c r="H41" s="158">
        <f>ROUND(G41*105%,0)</f>
        <v>843</v>
      </c>
      <c r="I41" s="158">
        <f t="shared" ref="I41:J41" si="1">ROUND(H41*105%,0)</f>
        <v>885</v>
      </c>
      <c r="J41" s="158">
        <f t="shared" si="1"/>
        <v>929</v>
      </c>
    </row>
    <row r="42" spans="1:14" ht="20.100000000000001" customHeight="1">
      <c r="A42" s="106" t="s">
        <v>145</v>
      </c>
      <c r="B42" s="104">
        <f>'I. Фін результат'!B50</f>
        <v>1070</v>
      </c>
      <c r="C42" s="165">
        <f>'I. Фін результат'!C50</f>
        <v>0</v>
      </c>
      <c r="D42" s="165">
        <f>'I. Фін результат'!D50</f>
        <v>0</v>
      </c>
      <c r="E42" s="202">
        <f>'I. Фін результат'!I50</f>
        <v>0</v>
      </c>
      <c r="F42" s="165">
        <f>'I. Фін результат'!E50</f>
        <v>0</v>
      </c>
      <c r="G42" s="158">
        <f t="shared" ref="G42:G43" si="2">ROUND(E42*105.6%,0)</f>
        <v>0</v>
      </c>
      <c r="H42" s="158">
        <f t="shared" ref="H42:J42" si="3">ROUND(G42*105%,0)</f>
        <v>0</v>
      </c>
      <c r="I42" s="158">
        <f t="shared" si="3"/>
        <v>0</v>
      </c>
      <c r="J42" s="158">
        <f t="shared" si="3"/>
        <v>0</v>
      </c>
    </row>
    <row r="43" spans="1:14" ht="20.100000000000001" customHeight="1">
      <c r="A43" s="106" t="s">
        <v>149</v>
      </c>
      <c r="B43" s="104">
        <f>'I. Фін результат'!B81</f>
        <v>1300</v>
      </c>
      <c r="C43" s="165">
        <f>'I. Фін результат'!C81</f>
        <v>0</v>
      </c>
      <c r="D43" s="165">
        <f>'I. Фін результат'!D81</f>
        <v>0</v>
      </c>
      <c r="E43" s="202">
        <f>'I. Фін результат'!I81</f>
        <v>0</v>
      </c>
      <c r="F43" s="165">
        <f>'I. Фін результат'!E81</f>
        <v>0</v>
      </c>
      <c r="G43" s="158">
        <f t="shared" si="2"/>
        <v>0</v>
      </c>
      <c r="H43" s="158">
        <f t="shared" ref="H43:J43" si="4">ROUND(G43*105%,0)</f>
        <v>0</v>
      </c>
      <c r="I43" s="158">
        <f t="shared" si="4"/>
        <v>0</v>
      </c>
      <c r="J43" s="158">
        <f t="shared" si="4"/>
        <v>0</v>
      </c>
    </row>
    <row r="44" spans="1:14" ht="37.5">
      <c r="A44" s="110" t="s">
        <v>4</v>
      </c>
      <c r="B44" s="104">
        <f>'I. Фін результат'!B63</f>
        <v>1100</v>
      </c>
      <c r="C44" s="165">
        <f>'I. Фін результат'!C63</f>
        <v>-524</v>
      </c>
      <c r="D44" s="165">
        <f>'I. Фін результат'!D63</f>
        <v>-526</v>
      </c>
      <c r="E44" s="202">
        <f>'I. Фін результат'!I63</f>
        <v>-737</v>
      </c>
      <c r="F44" s="165">
        <f>'I. Фін результат'!E63</f>
        <v>-737</v>
      </c>
      <c r="G44" s="165">
        <f>G40-G41-G42+G43</f>
        <v>-779</v>
      </c>
      <c r="H44" s="165">
        <f>H40-H41-H42+H43</f>
        <v>-818</v>
      </c>
      <c r="I44" s="165">
        <f>I40-I41-I42+I43</f>
        <v>-859</v>
      </c>
      <c r="J44" s="165">
        <f>J40-J41-J42+J43</f>
        <v>-902</v>
      </c>
    </row>
    <row r="45" spans="1:14" ht="20.100000000000001" customHeight="1">
      <c r="A45" s="110" t="s">
        <v>150</v>
      </c>
      <c r="B45" s="104">
        <f>'I. Фін результат'!B92</f>
        <v>1410</v>
      </c>
      <c r="C45" s="165">
        <f>'I. Фін результат'!C92</f>
        <v>-508</v>
      </c>
      <c r="D45" s="165">
        <f>'I. Фін результат'!D92</f>
        <v>-516</v>
      </c>
      <c r="E45" s="202">
        <f>'I. Фін результат'!I92</f>
        <v>-720</v>
      </c>
      <c r="F45" s="165">
        <f>'I. Фін результат'!E92</f>
        <v>-727</v>
      </c>
      <c r="G45" s="158">
        <f>ROUND(E45*105.6%,0)</f>
        <v>-760</v>
      </c>
      <c r="H45" s="158">
        <f>ROUND(G45*105%,0)</f>
        <v>-798</v>
      </c>
      <c r="I45" s="158">
        <f t="shared" ref="I45:J45" si="5">ROUND(H45*105%,0)</f>
        <v>-838</v>
      </c>
      <c r="J45" s="158">
        <f t="shared" si="5"/>
        <v>-880</v>
      </c>
    </row>
    <row r="46" spans="1:14" ht="20.100000000000001" customHeight="1">
      <c r="A46" s="111" t="s">
        <v>237</v>
      </c>
      <c r="B46" s="104">
        <f>' V. Коефіцієнти'!B8</f>
        <v>5010</v>
      </c>
      <c r="C46" s="165">
        <f>' V. Коефіцієнти'!D8</f>
        <v>-39.07692307692308</v>
      </c>
      <c r="D46" s="165">
        <f>' V. Коефіцієнти'!E8</f>
        <v>-31.608695652173914</v>
      </c>
      <c r="E46" s="202">
        <f>' V. Коефіцієнти'!G8</f>
        <v>-31.304347826086957</v>
      </c>
      <c r="F46" s="165">
        <f>' V. Коефіцієнти'!F8</f>
        <v>-31.608695652173914</v>
      </c>
      <c r="G46" s="158">
        <f>ROUND(E46*105.6%,0)</f>
        <v>-33</v>
      </c>
      <c r="H46" s="158">
        <f>ROUND(G46*105%,0)</f>
        <v>-35</v>
      </c>
      <c r="I46" s="158">
        <f t="shared" ref="I46:J46" si="6">ROUND(H46*105%,0)</f>
        <v>-37</v>
      </c>
      <c r="J46" s="158">
        <f t="shared" si="6"/>
        <v>-39</v>
      </c>
    </row>
    <row r="47" spans="1:14" ht="37.5">
      <c r="A47" s="111" t="s">
        <v>151</v>
      </c>
      <c r="B47" s="104">
        <f>'I. Фін результат'!B82</f>
        <v>1310</v>
      </c>
      <c r="C47" s="165">
        <f>'I. Фін результат'!C82</f>
        <v>0</v>
      </c>
      <c r="D47" s="165">
        <f>'I. Фін результат'!D82</f>
        <v>0</v>
      </c>
      <c r="E47" s="202">
        <f>'I. Фін результат'!I82</f>
        <v>0</v>
      </c>
      <c r="F47" s="165">
        <f>'I. Фін результат'!E82</f>
        <v>0</v>
      </c>
      <c r="G47" s="158">
        <f>ROUND(E47*105.6%,0)</f>
        <v>0</v>
      </c>
      <c r="H47" s="158">
        <f>ROUND(G47*105%,0)</f>
        <v>0</v>
      </c>
      <c r="I47" s="158">
        <f t="shared" ref="I47:J47" si="7">ROUND(H47*105%,0)</f>
        <v>0</v>
      </c>
      <c r="J47" s="158">
        <f t="shared" si="7"/>
        <v>0</v>
      </c>
    </row>
    <row r="48" spans="1:14" ht="20.100000000000001" customHeight="1">
      <c r="A48" s="106" t="s">
        <v>242</v>
      </c>
      <c r="B48" s="104">
        <f>'I. Фін результат'!B83</f>
        <v>1320</v>
      </c>
      <c r="C48" s="165">
        <f>'I. Фін результат'!C83</f>
        <v>510</v>
      </c>
      <c r="D48" s="165">
        <f>'I. Фін результат'!D83</f>
        <v>530</v>
      </c>
      <c r="E48" s="202">
        <f>'I. Фін результат'!I83</f>
        <v>738</v>
      </c>
      <c r="F48" s="165">
        <f>'I. Фін результат'!E83</f>
        <v>738</v>
      </c>
      <c r="G48" s="158">
        <f>ROUND(E48*105.6%,0)</f>
        <v>779</v>
      </c>
      <c r="H48" s="158">
        <f>ROUND(G48*105%,0)</f>
        <v>818</v>
      </c>
      <c r="I48" s="158">
        <f t="shared" ref="I48:J48" si="8">ROUND(H48*105%,0)</f>
        <v>859</v>
      </c>
      <c r="J48" s="158">
        <f t="shared" si="8"/>
        <v>902</v>
      </c>
    </row>
    <row r="49" spans="1:10" ht="37.5">
      <c r="A49" s="110" t="s">
        <v>99</v>
      </c>
      <c r="B49" s="104">
        <f>'I. Фін результат'!B73</f>
        <v>1170</v>
      </c>
      <c r="C49" s="165">
        <f>'I. Фін результат'!C73</f>
        <v>-14</v>
      </c>
      <c r="D49" s="165">
        <f>'I. Фін результат'!D73</f>
        <v>4</v>
      </c>
      <c r="E49" s="202">
        <f>'I. Фін результат'!I73</f>
        <v>1</v>
      </c>
      <c r="F49" s="165">
        <f>'I. Фін результат'!E73</f>
        <v>1</v>
      </c>
      <c r="G49" s="165">
        <f>G44+G47+G48</f>
        <v>0</v>
      </c>
      <c r="H49" s="165">
        <f>H44+H47+H48</f>
        <v>0</v>
      </c>
      <c r="I49" s="165">
        <f>I44+I47+I48</f>
        <v>0</v>
      </c>
      <c r="J49" s="165">
        <f>J44+J47+J48</f>
        <v>0</v>
      </c>
    </row>
    <row r="50" spans="1:10" ht="20.100000000000001" customHeight="1">
      <c r="A50" s="111" t="s">
        <v>146</v>
      </c>
      <c r="B50" s="104">
        <f>'I. Фін результат'!B74</f>
        <v>1180</v>
      </c>
      <c r="C50" s="165">
        <f>'I. Фін результат'!C74</f>
        <v>0</v>
      </c>
      <c r="D50" s="165">
        <f>'I. Фін результат'!D74</f>
        <v>1</v>
      </c>
      <c r="E50" s="202">
        <f>'I. Фін результат'!I74</f>
        <v>0</v>
      </c>
      <c r="F50" s="165">
        <f>'I. Фін результат'!E74</f>
        <v>1</v>
      </c>
      <c r="G50" s="158">
        <f>ROUND(G49*18%,0)</f>
        <v>0</v>
      </c>
      <c r="H50" s="158">
        <f t="shared" ref="H50:J50" si="9">ROUND(H49*18%,0)</f>
        <v>0</v>
      </c>
      <c r="I50" s="158">
        <f t="shared" si="9"/>
        <v>0</v>
      </c>
      <c r="J50" s="158">
        <f t="shared" si="9"/>
        <v>0</v>
      </c>
    </row>
    <row r="51" spans="1:10" ht="20.100000000000001" customHeight="1">
      <c r="A51" s="110" t="s">
        <v>238</v>
      </c>
      <c r="B51" s="104">
        <f>'I. Фін результат'!B76</f>
        <v>1200</v>
      </c>
      <c r="C51" s="165">
        <f>'I. Фін результат'!C76</f>
        <v>-14</v>
      </c>
      <c r="D51" s="165">
        <f>'I. Фін результат'!D76</f>
        <v>3</v>
      </c>
      <c r="E51" s="202">
        <f>'I. Фін результат'!I76</f>
        <v>1</v>
      </c>
      <c r="F51" s="165">
        <f>'I. Фін результат'!E76</f>
        <v>0</v>
      </c>
      <c r="G51" s="165">
        <f>G49-G50</f>
        <v>0</v>
      </c>
      <c r="H51" s="165">
        <f>H49-H50</f>
        <v>0</v>
      </c>
      <c r="I51" s="165">
        <f>I49-I50</f>
        <v>0</v>
      </c>
      <c r="J51" s="165">
        <f>J49-J50</f>
        <v>0</v>
      </c>
    </row>
    <row r="52" spans="1:10" ht="20.100000000000001" customHeight="1">
      <c r="A52" s="111" t="s">
        <v>239</v>
      </c>
      <c r="B52" s="104">
        <f>' V. Коефіцієнти'!B11</f>
        <v>5040</v>
      </c>
      <c r="C52" s="165">
        <f>' V. Коефіцієнти'!D11</f>
        <v>-1.0769230769230769</v>
      </c>
      <c r="D52" s="165">
        <v>0</v>
      </c>
      <c r="E52" s="202">
        <f>' V. Коефіцієнти'!G11</f>
        <v>4.3478260869565216E-2</v>
      </c>
      <c r="F52" s="165">
        <f>' V. Коефіцієнти'!F11</f>
        <v>0</v>
      </c>
      <c r="G52" s="165">
        <f>G51/G38</f>
        <v>0</v>
      </c>
      <c r="H52" s="165">
        <f>H51/H38</f>
        <v>0</v>
      </c>
      <c r="I52" s="165">
        <f>I51/I38</f>
        <v>0</v>
      </c>
      <c r="J52" s="165">
        <f>J51/J38</f>
        <v>0</v>
      </c>
    </row>
    <row r="53" spans="1:10" ht="24.95" customHeight="1">
      <c r="A53" s="292" t="s">
        <v>163</v>
      </c>
      <c r="B53" s="292"/>
      <c r="C53" s="292"/>
      <c r="D53" s="292"/>
      <c r="E53" s="292"/>
      <c r="F53" s="292"/>
      <c r="G53" s="292"/>
      <c r="H53" s="292"/>
      <c r="I53" s="292"/>
      <c r="J53" s="292"/>
    </row>
    <row r="54" spans="1:10" ht="20.100000000000001" customHeight="1">
      <c r="A54" s="112" t="s">
        <v>359</v>
      </c>
      <c r="B54" s="104">
        <f>'ІІ. Розр. з бюджетом'!B19</f>
        <v>2100</v>
      </c>
      <c r="C54" s="165">
        <f>'ІІ. Розр. з бюджетом'!C19</f>
        <v>0</v>
      </c>
      <c r="D54" s="165">
        <f>'ІІ. Розр. з бюджетом'!D19</f>
        <v>1</v>
      </c>
      <c r="E54" s="202">
        <f>'ІІ. Розр. з бюджетом'!I19</f>
        <v>-1</v>
      </c>
      <c r="F54" s="165">
        <f>'ІІ. Розр. з бюджетом'!E19</f>
        <v>1</v>
      </c>
      <c r="G54" s="158">
        <f>ROUND(G51*66%,0)</f>
        <v>0</v>
      </c>
      <c r="H54" s="158">
        <f t="shared" ref="H54:J54" si="10">ROUND(H51*66%,0)</f>
        <v>0</v>
      </c>
      <c r="I54" s="158">
        <f t="shared" si="10"/>
        <v>0</v>
      </c>
      <c r="J54" s="158">
        <f t="shared" si="10"/>
        <v>0</v>
      </c>
    </row>
    <row r="55" spans="1:10" ht="20.100000000000001" customHeight="1">
      <c r="A55" s="113" t="s">
        <v>162</v>
      </c>
      <c r="B55" s="104">
        <f>'ІІ. Розр. з бюджетом'!B22</f>
        <v>2110</v>
      </c>
      <c r="C55" s="165">
        <f>'ІІ. Розр. з бюджетом'!C22</f>
        <v>0</v>
      </c>
      <c r="D55" s="165">
        <f>'ІІ. Розр. з бюджетом'!D22</f>
        <v>1</v>
      </c>
      <c r="E55" s="202">
        <f>'ІІ. Розр. з бюджетом'!I22</f>
        <v>0</v>
      </c>
      <c r="F55" s="165">
        <f>'ІІ. Розр. з бюджетом'!E22</f>
        <v>1</v>
      </c>
      <c r="G55" s="158">
        <f>G50</f>
        <v>0</v>
      </c>
      <c r="H55" s="158">
        <f t="shared" ref="H55:J55" si="11">H50</f>
        <v>0</v>
      </c>
      <c r="I55" s="158">
        <f t="shared" si="11"/>
        <v>0</v>
      </c>
      <c r="J55" s="158">
        <f t="shared" si="11"/>
        <v>0</v>
      </c>
    </row>
    <row r="56" spans="1:10" ht="56.25">
      <c r="A56" s="113" t="s">
        <v>355</v>
      </c>
      <c r="B56" s="104" t="s">
        <v>240</v>
      </c>
      <c r="C56" s="165">
        <f>SUM('ІІ. Розр. з бюджетом'!C23,'ІІ. Розр. з бюджетом'!C24)</f>
        <v>0</v>
      </c>
      <c r="D56" s="165">
        <f>SUM('ІІ. Розр. з бюджетом'!D23,'ІІ. Розр. з бюджетом'!D24)</f>
        <v>0</v>
      </c>
      <c r="E56" s="202">
        <f>'ІІ. Розр. з бюджетом'!I23+'ІІ. Розр. з бюджетом'!I24</f>
        <v>0</v>
      </c>
      <c r="F56" s="165">
        <f>SUM('ІІ. Розр. з бюджетом'!E23,'ІІ. Розр. з бюджетом'!E24)</f>
        <v>0</v>
      </c>
      <c r="G56" s="158">
        <f>ROUND(E56*105.6%,0)</f>
        <v>0</v>
      </c>
      <c r="H56" s="158">
        <f>ROUND(G56*105%,0)</f>
        <v>0</v>
      </c>
      <c r="I56" s="158">
        <f t="shared" ref="I56:J56" si="12">ROUND(H56*105%,0)</f>
        <v>0</v>
      </c>
      <c r="J56" s="158">
        <f t="shared" si="12"/>
        <v>0</v>
      </c>
    </row>
    <row r="57" spans="1:10" ht="56.25">
      <c r="A57" s="112" t="s">
        <v>360</v>
      </c>
      <c r="B57" s="104">
        <f>'ІІ. Розр. з бюджетом'!B25</f>
        <v>2140</v>
      </c>
      <c r="C57" s="165">
        <f>'ІІ. Розр. з бюджетом'!C25</f>
        <v>64</v>
      </c>
      <c r="D57" s="165">
        <f>'ІІ. Розр. з бюджетом'!D25</f>
        <v>70</v>
      </c>
      <c r="E57" s="202">
        <f>'ІІ. Розр. з бюджетом'!I25</f>
        <v>100</v>
      </c>
      <c r="F57" s="165">
        <f>'ІІ. Розр. з бюджетом'!E25</f>
        <v>70</v>
      </c>
      <c r="G57" s="158">
        <f t="shared" ref="G57:G58" si="13">ROUND(E57*105.6%,0)</f>
        <v>106</v>
      </c>
      <c r="H57" s="158">
        <f t="shared" ref="H57:J57" si="14">ROUND(G57*105%,0)</f>
        <v>111</v>
      </c>
      <c r="I57" s="158">
        <f t="shared" si="14"/>
        <v>117</v>
      </c>
      <c r="J57" s="158">
        <f t="shared" si="14"/>
        <v>123</v>
      </c>
    </row>
    <row r="58" spans="1:10" ht="39" customHeight="1">
      <c r="A58" s="112" t="s">
        <v>83</v>
      </c>
      <c r="B58" s="104">
        <f>'ІІ. Розр. з бюджетом'!B36</f>
        <v>2150</v>
      </c>
      <c r="C58" s="165">
        <f>'ІІ. Розр. з бюджетом'!C36</f>
        <v>83</v>
      </c>
      <c r="D58" s="165">
        <f>'ІІ. Розр. з бюджетом'!D36</f>
        <v>79</v>
      </c>
      <c r="E58" s="202">
        <f>'ІІ. Розр. з бюджетом'!I36</f>
        <v>112.64</v>
      </c>
      <c r="F58" s="165">
        <f>'ІІ. Розр. з бюджетом'!E36</f>
        <v>79</v>
      </c>
      <c r="G58" s="158">
        <f t="shared" si="13"/>
        <v>119</v>
      </c>
      <c r="H58" s="158">
        <f t="shared" ref="H58:J58" si="15">ROUND(G58*105%,0)</f>
        <v>125</v>
      </c>
      <c r="I58" s="158">
        <f t="shared" si="15"/>
        <v>131</v>
      </c>
      <c r="J58" s="158">
        <f t="shared" si="15"/>
        <v>138</v>
      </c>
    </row>
    <row r="59" spans="1:10" ht="20.100000000000001" customHeight="1">
      <c r="A59" s="114" t="s">
        <v>361</v>
      </c>
      <c r="B59" s="104">
        <f>'ІІ. Розр. з бюджетом'!B37</f>
        <v>2200</v>
      </c>
      <c r="C59" s="165">
        <f>'ІІ. Розр. з бюджетом'!C37</f>
        <v>147</v>
      </c>
      <c r="D59" s="165">
        <f>'ІІ. Розр. з бюджетом'!D37</f>
        <v>151</v>
      </c>
      <c r="E59" s="202">
        <f>'ІІ. Розр. з бюджетом'!I37</f>
        <v>211.64</v>
      </c>
      <c r="F59" s="165">
        <f>'ІІ. Розр. з бюджетом'!E37</f>
        <v>151</v>
      </c>
      <c r="G59" s="165">
        <f>SUM(G54:G58)</f>
        <v>225</v>
      </c>
      <c r="H59" s="165">
        <f>SUM(H54:H58)</f>
        <v>236</v>
      </c>
      <c r="I59" s="165">
        <f>SUM(I54:I58)</f>
        <v>248</v>
      </c>
      <c r="J59" s="165">
        <f>SUM(J54:J58)</f>
        <v>261</v>
      </c>
    </row>
    <row r="60" spans="1:10" ht="24.95" customHeight="1">
      <c r="A60" s="292" t="s">
        <v>161</v>
      </c>
      <c r="B60" s="292"/>
      <c r="C60" s="292"/>
      <c r="D60" s="292"/>
      <c r="E60" s="292"/>
      <c r="F60" s="292"/>
      <c r="G60" s="292"/>
      <c r="H60" s="292"/>
      <c r="I60" s="292"/>
      <c r="J60" s="292"/>
    </row>
    <row r="61" spans="1:10" ht="20.100000000000001" customHeight="1">
      <c r="A61" s="114" t="s">
        <v>152</v>
      </c>
      <c r="B61" s="104">
        <f>'ІІІ. Рух грош. коштів'!B68</f>
        <v>3600</v>
      </c>
      <c r="C61" s="165">
        <f>'ІІІ. Рух грош. коштів'!C68</f>
        <v>2</v>
      </c>
      <c r="D61" s="165">
        <f>'ІІІ. Рух грош. коштів'!D68</f>
        <v>2</v>
      </c>
      <c r="E61" s="202">
        <f>'ІІІ. Рух грош. коштів'!I68</f>
        <v>11</v>
      </c>
      <c r="F61" s="165">
        <f>'ІІІ. Рух грош. коштів'!E68</f>
        <v>2</v>
      </c>
      <c r="G61" s="165">
        <f>E66</f>
        <v>30</v>
      </c>
      <c r="H61" s="165">
        <f>G66</f>
        <v>50</v>
      </c>
      <c r="I61" s="165">
        <f>H66</f>
        <v>71</v>
      </c>
      <c r="J61" s="165">
        <f>I66</f>
        <v>93</v>
      </c>
    </row>
    <row r="62" spans="1:10" ht="37.5">
      <c r="A62" s="112" t="s">
        <v>153</v>
      </c>
      <c r="B62" s="104">
        <f>'ІІІ. Рух грош. коштів'!B22</f>
        <v>3090</v>
      </c>
      <c r="C62" s="165">
        <f>'ІІІ. Рух грош. коштів'!C22</f>
        <v>2</v>
      </c>
      <c r="D62" s="165">
        <f>'ІІІ. Рух грош. коштів'!D22</f>
        <v>13</v>
      </c>
      <c r="E62" s="202">
        <f>'ІІІ. Рух грош. коштів'!I22</f>
        <v>18</v>
      </c>
      <c r="F62" s="165">
        <f>'ІІІ. Рух грош. коштів'!E22</f>
        <v>10</v>
      </c>
      <c r="G62" s="158">
        <f>ROUND(E62*105.6%,0)</f>
        <v>19</v>
      </c>
      <c r="H62" s="158">
        <f>ROUND(G62*105%,0)</f>
        <v>20</v>
      </c>
      <c r="I62" s="158">
        <f t="shared" ref="I62:J62" si="16">ROUND(H62*105%,0)</f>
        <v>21</v>
      </c>
      <c r="J62" s="158">
        <f t="shared" si="16"/>
        <v>22</v>
      </c>
    </row>
    <row r="63" spans="1:10" ht="37.5">
      <c r="A63" s="112" t="s">
        <v>243</v>
      </c>
      <c r="B63" s="104">
        <f>'ІІІ. Рух грош. коштів'!B39</f>
        <v>3320</v>
      </c>
      <c r="C63" s="165">
        <f>'ІІІ. Рух грош. коштів'!C39</f>
        <v>0</v>
      </c>
      <c r="D63" s="165">
        <f>'ІІІ. Рух грош. коштів'!D39</f>
        <v>0</v>
      </c>
      <c r="E63" s="202">
        <f>'ІІІ. Рух грош. коштів'!I39</f>
        <v>0</v>
      </c>
      <c r="F63" s="165">
        <f>'ІІІ. Рух грош. коштів'!E39</f>
        <v>0</v>
      </c>
      <c r="G63" s="158">
        <f t="shared" ref="G63:G64" si="17">ROUND(E63*105.6%,0)</f>
        <v>0</v>
      </c>
      <c r="H63" s="158">
        <f t="shared" ref="H63:J63" si="18">ROUND(G63*105%,0)</f>
        <v>0</v>
      </c>
      <c r="I63" s="158">
        <f t="shared" si="18"/>
        <v>0</v>
      </c>
      <c r="J63" s="158">
        <f t="shared" si="18"/>
        <v>0</v>
      </c>
    </row>
    <row r="64" spans="1:10" ht="37.5">
      <c r="A64" s="112" t="s">
        <v>154</v>
      </c>
      <c r="B64" s="104">
        <f>'ІІІ. Рух грош. коштів'!B66</f>
        <v>3580</v>
      </c>
      <c r="C64" s="165">
        <f>'ІІІ. Рух грош. коштів'!C66</f>
        <v>0</v>
      </c>
      <c r="D64" s="165">
        <f>'ІІІ. Рух грош. коштів'!D66</f>
        <v>-1</v>
      </c>
      <c r="E64" s="202">
        <f>'ІІІ. Рух грош. коштів'!I66</f>
        <v>1</v>
      </c>
      <c r="F64" s="165">
        <f>'ІІІ. Рух грош. коштів'!E66</f>
        <v>-1</v>
      </c>
      <c r="G64" s="158">
        <f t="shared" si="17"/>
        <v>1</v>
      </c>
      <c r="H64" s="158">
        <f t="shared" ref="H64:J65" si="19">ROUND(G64*105%,0)</f>
        <v>1</v>
      </c>
      <c r="I64" s="158">
        <f t="shared" si="19"/>
        <v>1</v>
      </c>
      <c r="J64" s="158">
        <f t="shared" si="19"/>
        <v>1</v>
      </c>
    </row>
    <row r="65" spans="1:10" ht="37.5">
      <c r="A65" s="112" t="s">
        <v>178</v>
      </c>
      <c r="B65" s="104">
        <f>'ІІІ. Рух грош. коштів'!B69</f>
        <v>3610</v>
      </c>
      <c r="C65" s="165">
        <f>'ІІІ. Рух грош. коштів'!C69</f>
        <v>0</v>
      </c>
      <c r="D65" s="165">
        <f>'ІІІ. Рух грош. коштів'!D69</f>
        <v>0</v>
      </c>
      <c r="E65" s="202">
        <f>'ІІІ. Рух грош. коштів'!I69</f>
        <v>0</v>
      </c>
      <c r="F65" s="165">
        <f>'ІІІ. Рух грош. коштів'!E69</f>
        <v>0</v>
      </c>
      <c r="G65" s="158">
        <f>ROUND(E65*105.6%,0)</f>
        <v>0</v>
      </c>
      <c r="H65" s="158">
        <f>ROUND(G65*105%,0)</f>
        <v>0</v>
      </c>
      <c r="I65" s="158">
        <f t="shared" si="19"/>
        <v>0</v>
      </c>
      <c r="J65" s="158">
        <f t="shared" si="19"/>
        <v>0</v>
      </c>
    </row>
    <row r="66" spans="1:10" ht="20.100000000000001" customHeight="1">
      <c r="A66" s="114" t="s">
        <v>155</v>
      </c>
      <c r="B66" s="104">
        <f>'ІІІ. Рух грош. коштів'!B70</f>
        <v>3620</v>
      </c>
      <c r="C66" s="165">
        <f>'ІІІ. Рух грош. коштів'!C70</f>
        <v>4</v>
      </c>
      <c r="D66" s="165">
        <f>'ІІІ. Рух грош. коштів'!D70</f>
        <v>14</v>
      </c>
      <c r="E66" s="202">
        <f>'ІІІ. Рух грош. коштів'!I70</f>
        <v>30</v>
      </c>
      <c r="F66" s="165">
        <f>'ІІІ. Рух грош. коштів'!E70</f>
        <v>11</v>
      </c>
      <c r="G66" s="165">
        <f>SUM(G61:G65)</f>
        <v>50</v>
      </c>
      <c r="H66" s="165">
        <f>SUM(H61:H65)</f>
        <v>71</v>
      </c>
      <c r="I66" s="165">
        <f>SUM(I61:I65)</f>
        <v>93</v>
      </c>
      <c r="J66" s="165">
        <f>SUM(J61:J65)</f>
        <v>116</v>
      </c>
    </row>
    <row r="67" spans="1:10" ht="24.95" customHeight="1">
      <c r="A67" s="298" t="s">
        <v>222</v>
      </c>
      <c r="B67" s="299"/>
      <c r="C67" s="299"/>
      <c r="D67" s="299"/>
      <c r="E67" s="299"/>
      <c r="F67" s="299"/>
      <c r="G67" s="299"/>
      <c r="H67" s="299"/>
      <c r="I67" s="299"/>
      <c r="J67" s="300"/>
    </row>
    <row r="68" spans="1:10" ht="20.100000000000001" customHeight="1">
      <c r="A68" s="112" t="s">
        <v>221</v>
      </c>
      <c r="B68" s="104">
        <f>'IV. Кап. інвестиції'!B6</f>
        <v>4000</v>
      </c>
      <c r="C68" s="107">
        <f>'IV. Кап. інвестиції'!C6</f>
        <v>0</v>
      </c>
      <c r="D68" s="107">
        <f>'IV. Кап. інвестиції'!D6</f>
        <v>0</v>
      </c>
      <c r="E68" s="201">
        <f>'IV. Кап. інвестиції'!I6</f>
        <v>0</v>
      </c>
      <c r="F68" s="107">
        <f>'IV. Кап. інвестиції'!E6</f>
        <v>0</v>
      </c>
      <c r="G68" s="116">
        <v>0</v>
      </c>
      <c r="H68" s="116">
        <v>0</v>
      </c>
      <c r="I68" s="116">
        <v>0</v>
      </c>
      <c r="J68" s="116">
        <v>0</v>
      </c>
    </row>
    <row r="69" spans="1:10" ht="24.95" customHeight="1">
      <c r="A69" s="289" t="s">
        <v>225</v>
      </c>
      <c r="B69" s="289"/>
      <c r="C69" s="289"/>
      <c r="D69" s="289"/>
      <c r="E69" s="289"/>
      <c r="F69" s="289"/>
      <c r="G69" s="289"/>
      <c r="H69" s="289"/>
      <c r="I69" s="289"/>
      <c r="J69" s="289"/>
    </row>
    <row r="70" spans="1:10" ht="20.100000000000001" customHeight="1">
      <c r="A70" s="112" t="s">
        <v>181</v>
      </c>
      <c r="B70" s="104">
        <f>' V. Коефіцієнти'!B9</f>
        <v>5020</v>
      </c>
      <c r="C70" s="166">
        <f>' V. Коефіцієнти'!D9</f>
        <v>-1.9746121297602257E-2</v>
      </c>
      <c r="D70" s="166"/>
      <c r="E70" s="200">
        <f>' V. Коефіцієнти'!G9</f>
        <v>1.3458950201884253E-3</v>
      </c>
      <c r="F70" s="166">
        <f>' V. Коефіцієнти'!F9</f>
        <v>0</v>
      </c>
      <c r="G70" s="108" t="s">
        <v>234</v>
      </c>
      <c r="H70" s="108" t="s">
        <v>234</v>
      </c>
      <c r="I70" s="108" t="s">
        <v>234</v>
      </c>
      <c r="J70" s="108" t="s">
        <v>234</v>
      </c>
    </row>
    <row r="71" spans="1:10" ht="37.5">
      <c r="A71" s="112" t="s">
        <v>177</v>
      </c>
      <c r="B71" s="104">
        <f>' V. Коефіцієнти'!B10</f>
        <v>5030</v>
      </c>
      <c r="C71" s="166">
        <f>' V. Коефіцієнти'!D10</f>
        <v>-1.9793581224374381E-2</v>
      </c>
      <c r="D71" s="166"/>
      <c r="E71" s="200">
        <f>' V. Коефіцієнти'!G10</f>
        <v>1.3458950201884253E-3</v>
      </c>
      <c r="F71" s="166">
        <f>' V. Коефіцієнти'!F10</f>
        <v>0</v>
      </c>
      <c r="G71" s="108" t="s">
        <v>234</v>
      </c>
      <c r="H71" s="108" t="s">
        <v>234</v>
      </c>
      <c r="I71" s="108" t="s">
        <v>234</v>
      </c>
      <c r="J71" s="108" t="s">
        <v>234</v>
      </c>
    </row>
    <row r="72" spans="1:10" ht="20.100000000000001" customHeight="1">
      <c r="A72" s="112" t="s">
        <v>241</v>
      </c>
      <c r="B72" s="104">
        <f>' V. Коефіцієнти'!B14</f>
        <v>5110</v>
      </c>
      <c r="C72" s="166">
        <f>' V. Коефіцієнти'!D14</f>
        <v>353.65</v>
      </c>
      <c r="D72" s="166"/>
      <c r="E72" s="200" t="str">
        <f>' V. Коефіцієнти'!G14</f>
        <v>Х</v>
      </c>
      <c r="F72" s="166" t="str">
        <f>' V. Коефіцієнти'!F14</f>
        <v>Х</v>
      </c>
      <c r="G72" s="108" t="s">
        <v>234</v>
      </c>
      <c r="H72" s="108" t="s">
        <v>234</v>
      </c>
      <c r="I72" s="108" t="s">
        <v>234</v>
      </c>
      <c r="J72" s="108" t="s">
        <v>234</v>
      </c>
    </row>
    <row r="73" spans="1:10" ht="24.95" customHeight="1">
      <c r="A73" s="292" t="s">
        <v>224</v>
      </c>
      <c r="B73" s="292"/>
      <c r="C73" s="292"/>
      <c r="D73" s="292"/>
      <c r="E73" s="292"/>
      <c r="F73" s="292"/>
      <c r="G73" s="292"/>
      <c r="H73" s="292"/>
      <c r="I73" s="292"/>
      <c r="J73" s="292"/>
    </row>
    <row r="74" spans="1:10" ht="20.100000000000001" customHeight="1">
      <c r="A74" s="112" t="s">
        <v>156</v>
      </c>
      <c r="B74" s="104">
        <v>6000</v>
      </c>
      <c r="C74" s="194">
        <v>703</v>
      </c>
      <c r="D74" s="194">
        <v>737</v>
      </c>
      <c r="E74" s="194">
        <v>707</v>
      </c>
      <c r="F74" s="194">
        <v>707</v>
      </c>
      <c r="G74" s="115" t="s">
        <v>234</v>
      </c>
      <c r="H74" s="115" t="s">
        <v>234</v>
      </c>
      <c r="I74" s="115" t="s">
        <v>234</v>
      </c>
      <c r="J74" s="115" t="s">
        <v>234</v>
      </c>
    </row>
    <row r="75" spans="1:10" ht="20.100000000000001" customHeight="1">
      <c r="A75" s="112" t="s">
        <v>157</v>
      </c>
      <c r="B75" s="104">
        <v>6010</v>
      </c>
      <c r="C75" s="194">
        <v>7</v>
      </c>
      <c r="D75" s="194">
        <v>21</v>
      </c>
      <c r="E75" s="194">
        <v>36</v>
      </c>
      <c r="F75" s="194">
        <v>25</v>
      </c>
      <c r="G75" s="115" t="s">
        <v>234</v>
      </c>
      <c r="H75" s="115" t="s">
        <v>234</v>
      </c>
      <c r="I75" s="115" t="s">
        <v>234</v>
      </c>
      <c r="J75" s="115" t="s">
        <v>234</v>
      </c>
    </row>
    <row r="76" spans="1:10" ht="37.5">
      <c r="A76" s="112" t="s">
        <v>271</v>
      </c>
      <c r="B76" s="104">
        <v>6020</v>
      </c>
      <c r="C76" s="194">
        <v>2</v>
      </c>
      <c r="D76" s="194">
        <f>'ІІІ. Рух грош. коштів'!D70</f>
        <v>14</v>
      </c>
      <c r="E76" s="194">
        <f>'ІІІ. Рух грош. коштів'!I70</f>
        <v>30</v>
      </c>
      <c r="F76" s="194">
        <f>'ІІІ. Рух грош. коштів'!E70</f>
        <v>11</v>
      </c>
      <c r="G76" s="115" t="s">
        <v>234</v>
      </c>
      <c r="H76" s="115" t="s">
        <v>234</v>
      </c>
      <c r="I76" s="115" t="s">
        <v>234</v>
      </c>
      <c r="J76" s="115" t="s">
        <v>234</v>
      </c>
    </row>
    <row r="77" spans="1:10" s="5" customFormat="1" ht="20.100000000000001" customHeight="1">
      <c r="A77" s="114" t="s">
        <v>275</v>
      </c>
      <c r="B77" s="104">
        <v>6030</v>
      </c>
      <c r="C77" s="194">
        <v>709</v>
      </c>
      <c r="D77" s="194">
        <f>D75+D74</f>
        <v>758</v>
      </c>
      <c r="E77" s="194">
        <f>E75+E74</f>
        <v>743</v>
      </c>
      <c r="F77" s="194">
        <f>F75+F74</f>
        <v>732</v>
      </c>
      <c r="G77" s="115" t="s">
        <v>234</v>
      </c>
      <c r="H77" s="115" t="s">
        <v>234</v>
      </c>
      <c r="I77" s="115" t="s">
        <v>234</v>
      </c>
      <c r="J77" s="115" t="s">
        <v>234</v>
      </c>
    </row>
    <row r="78" spans="1:10" ht="20.100000000000001" customHeight="1">
      <c r="A78" s="112" t="s">
        <v>179</v>
      </c>
      <c r="B78" s="104">
        <v>6040</v>
      </c>
      <c r="C78" s="194">
        <v>0</v>
      </c>
      <c r="D78" s="194">
        <v>0</v>
      </c>
      <c r="E78" s="194">
        <v>0</v>
      </c>
      <c r="F78" s="194">
        <v>0</v>
      </c>
      <c r="G78" s="115" t="s">
        <v>234</v>
      </c>
      <c r="H78" s="115" t="s">
        <v>234</v>
      </c>
      <c r="I78" s="115" t="s">
        <v>234</v>
      </c>
      <c r="J78" s="115" t="s">
        <v>234</v>
      </c>
    </row>
    <row r="79" spans="1:10" ht="20.100000000000001" customHeight="1">
      <c r="A79" s="112" t="s">
        <v>180</v>
      </c>
      <c r="B79" s="104">
        <v>6050</v>
      </c>
      <c r="C79" s="194">
        <v>2</v>
      </c>
      <c r="D79" s="194">
        <v>0</v>
      </c>
      <c r="E79" s="194">
        <v>0</v>
      </c>
      <c r="F79" s="194">
        <v>0</v>
      </c>
      <c r="G79" s="115" t="s">
        <v>234</v>
      </c>
      <c r="H79" s="115" t="s">
        <v>234</v>
      </c>
      <c r="I79" s="115" t="s">
        <v>234</v>
      </c>
      <c r="J79" s="115" t="s">
        <v>234</v>
      </c>
    </row>
    <row r="80" spans="1:10" s="5" customFormat="1" ht="20.100000000000001" customHeight="1">
      <c r="A80" s="114" t="s">
        <v>274</v>
      </c>
      <c r="B80" s="104">
        <v>6060</v>
      </c>
      <c r="C80" s="199">
        <f>C79</f>
        <v>2</v>
      </c>
      <c r="D80" s="199">
        <f>SUM(D78:D79)</f>
        <v>0</v>
      </c>
      <c r="E80" s="199">
        <f>SUM(E78:E79)</f>
        <v>0</v>
      </c>
      <c r="F80" s="199">
        <f>SUM(F78:F79)</f>
        <v>0</v>
      </c>
      <c r="G80" s="115" t="s">
        <v>234</v>
      </c>
      <c r="H80" s="115" t="s">
        <v>234</v>
      </c>
      <c r="I80" s="115" t="s">
        <v>234</v>
      </c>
      <c r="J80" s="115" t="s">
        <v>234</v>
      </c>
    </row>
    <row r="81" spans="1:10" ht="20.100000000000001" customHeight="1">
      <c r="A81" s="112" t="s">
        <v>272</v>
      </c>
      <c r="B81" s="104">
        <v>6070</v>
      </c>
      <c r="C81" s="194">
        <v>0</v>
      </c>
      <c r="D81" s="194">
        <v>0</v>
      </c>
      <c r="E81" s="194">
        <v>0</v>
      </c>
      <c r="F81" s="194">
        <v>0</v>
      </c>
      <c r="G81" s="115" t="s">
        <v>234</v>
      </c>
      <c r="H81" s="115" t="s">
        <v>234</v>
      </c>
      <c r="I81" s="115" t="s">
        <v>234</v>
      </c>
      <c r="J81" s="115" t="s">
        <v>234</v>
      </c>
    </row>
    <row r="82" spans="1:10" ht="20.100000000000001" customHeight="1">
      <c r="A82" s="112" t="s">
        <v>273</v>
      </c>
      <c r="B82" s="104">
        <v>6080</v>
      </c>
      <c r="C82" s="194">
        <v>0</v>
      </c>
      <c r="D82" s="194">
        <v>0</v>
      </c>
      <c r="E82" s="194">
        <v>0</v>
      </c>
      <c r="F82" s="194">
        <v>0</v>
      </c>
      <c r="G82" s="115" t="s">
        <v>234</v>
      </c>
      <c r="H82" s="115" t="s">
        <v>234</v>
      </c>
      <c r="I82" s="115" t="s">
        <v>234</v>
      </c>
      <c r="J82" s="115" t="s">
        <v>234</v>
      </c>
    </row>
    <row r="83" spans="1:10" s="5" customFormat="1" ht="20.100000000000001" customHeight="1">
      <c r="A83" s="114" t="s">
        <v>158</v>
      </c>
      <c r="B83" s="104">
        <v>6090</v>
      </c>
      <c r="C83" s="194">
        <v>707.3</v>
      </c>
      <c r="D83" s="194">
        <v>758</v>
      </c>
      <c r="E83" s="194">
        <f>E77</f>
        <v>743</v>
      </c>
      <c r="F83" s="194">
        <v>732</v>
      </c>
      <c r="G83" s="115" t="s">
        <v>234</v>
      </c>
      <c r="H83" s="115" t="s">
        <v>234</v>
      </c>
      <c r="I83" s="115" t="s">
        <v>234</v>
      </c>
      <c r="J83" s="115" t="s">
        <v>234</v>
      </c>
    </row>
    <row r="84" spans="1:10" s="5" customFormat="1" ht="24.95" customHeight="1">
      <c r="A84" s="67"/>
      <c r="B84" s="119"/>
      <c r="C84" s="129"/>
      <c r="D84" s="205"/>
      <c r="F84" s="129"/>
      <c r="G84" s="122"/>
      <c r="H84" s="122"/>
      <c r="I84" s="122"/>
      <c r="J84" s="122"/>
    </row>
    <row r="85" spans="1:10" ht="24.95" customHeight="1">
      <c r="A85" s="120"/>
      <c r="B85" s="119"/>
      <c r="C85" s="122"/>
      <c r="D85" s="123"/>
      <c r="E85" s="123"/>
      <c r="F85" s="123"/>
      <c r="G85" s="123"/>
      <c r="H85" s="123"/>
      <c r="I85" s="123"/>
      <c r="J85" s="123"/>
    </row>
    <row r="86" spans="1:10">
      <c r="A86" s="124" t="s">
        <v>408</v>
      </c>
      <c r="B86" s="125"/>
      <c r="C86" s="293" t="s">
        <v>112</v>
      </c>
      <c r="D86" s="294"/>
      <c r="E86" s="294"/>
      <c r="F86" s="294"/>
      <c r="G86" s="126"/>
      <c r="H86" s="297" t="s">
        <v>460</v>
      </c>
      <c r="I86" s="297"/>
      <c r="J86" s="297"/>
    </row>
    <row r="87" spans="1:10" s="1" customFormat="1" ht="21" customHeight="1">
      <c r="A87" s="119" t="s">
        <v>76</v>
      </c>
      <c r="B87" s="118"/>
      <c r="C87" s="281" t="s">
        <v>77</v>
      </c>
      <c r="D87" s="281"/>
      <c r="E87" s="281"/>
      <c r="F87" s="281"/>
      <c r="G87" s="127"/>
      <c r="H87" s="282" t="s">
        <v>108</v>
      </c>
      <c r="I87" s="282"/>
      <c r="J87" s="282"/>
    </row>
    <row r="89" spans="1:10">
      <c r="A89" s="51"/>
    </row>
    <row r="90" spans="1:10">
      <c r="A90" s="51"/>
    </row>
    <row r="91" spans="1:10">
      <c r="A91" s="51"/>
    </row>
    <row r="92" spans="1:10" s="25" customFormat="1">
      <c r="A92" s="51"/>
      <c r="G92" s="2"/>
      <c r="H92" s="2"/>
      <c r="I92" s="2"/>
      <c r="J92" s="2"/>
    </row>
    <row r="93" spans="1:10" s="25" customFormat="1">
      <c r="A93" s="51"/>
      <c r="G93" s="2"/>
      <c r="H93" s="2"/>
      <c r="I93" s="2"/>
      <c r="J93" s="2"/>
    </row>
    <row r="94" spans="1:10" s="25" customFormat="1">
      <c r="A94" s="51"/>
      <c r="G94" s="2"/>
      <c r="H94" s="2"/>
      <c r="I94" s="2"/>
      <c r="J94" s="2"/>
    </row>
    <row r="95" spans="1:10" s="25" customFormat="1">
      <c r="A95" s="51"/>
      <c r="G95" s="2"/>
      <c r="H95" s="2"/>
      <c r="I95" s="2"/>
      <c r="J95" s="2"/>
    </row>
    <row r="96" spans="1:10" s="25" customFormat="1">
      <c r="A96" s="51"/>
      <c r="G96" s="2"/>
      <c r="H96" s="2"/>
      <c r="I96" s="2"/>
      <c r="J96" s="2"/>
    </row>
    <row r="97" spans="1:10" s="25" customFormat="1">
      <c r="A97" s="51"/>
      <c r="G97" s="2"/>
      <c r="H97" s="2"/>
      <c r="I97" s="2"/>
      <c r="J97" s="2"/>
    </row>
    <row r="98" spans="1:10" s="25" customFormat="1">
      <c r="A98" s="51"/>
      <c r="G98" s="2"/>
      <c r="H98" s="2"/>
      <c r="I98" s="2"/>
      <c r="J98" s="2"/>
    </row>
    <row r="99" spans="1:10" s="25" customFormat="1">
      <c r="A99" s="51"/>
      <c r="G99" s="2"/>
      <c r="H99" s="2"/>
      <c r="I99" s="2"/>
      <c r="J99" s="2"/>
    </row>
    <row r="100" spans="1:10" s="25" customFormat="1">
      <c r="A100" s="51"/>
      <c r="G100" s="2"/>
      <c r="H100" s="2"/>
      <c r="I100" s="2"/>
      <c r="J100" s="2"/>
    </row>
    <row r="101" spans="1:10" s="25" customFormat="1">
      <c r="A101" s="51"/>
      <c r="G101" s="2"/>
      <c r="H101" s="2"/>
      <c r="I101" s="2"/>
      <c r="J101" s="2"/>
    </row>
    <row r="102" spans="1:10" s="25" customFormat="1">
      <c r="A102" s="51"/>
      <c r="G102" s="2"/>
      <c r="H102" s="2"/>
      <c r="I102" s="2"/>
      <c r="J102" s="2"/>
    </row>
    <row r="103" spans="1:10" s="25" customFormat="1">
      <c r="A103" s="51"/>
      <c r="G103" s="2"/>
      <c r="H103" s="2"/>
      <c r="I103" s="2"/>
      <c r="J103" s="2"/>
    </row>
    <row r="104" spans="1:10" s="25" customFormat="1">
      <c r="A104" s="51"/>
      <c r="G104" s="2"/>
      <c r="H104" s="2"/>
      <c r="I104" s="2"/>
      <c r="J104" s="2"/>
    </row>
    <row r="105" spans="1:10" s="25" customFormat="1">
      <c r="A105" s="51"/>
      <c r="G105" s="2"/>
      <c r="H105" s="2"/>
      <c r="I105" s="2"/>
      <c r="J105" s="2"/>
    </row>
    <row r="106" spans="1:10" s="25" customFormat="1">
      <c r="A106" s="51"/>
      <c r="G106" s="2"/>
      <c r="H106" s="2"/>
      <c r="I106" s="2"/>
      <c r="J106" s="2"/>
    </row>
    <row r="107" spans="1:10" s="25" customFormat="1">
      <c r="A107" s="51"/>
      <c r="G107" s="2"/>
      <c r="H107" s="2"/>
      <c r="I107" s="2"/>
      <c r="J107" s="2"/>
    </row>
    <row r="108" spans="1:10" s="25" customFormat="1">
      <c r="A108" s="51"/>
      <c r="G108" s="2"/>
      <c r="H108" s="2"/>
      <c r="I108" s="2"/>
      <c r="J108" s="2"/>
    </row>
    <row r="109" spans="1:10" s="25" customFormat="1">
      <c r="A109" s="51"/>
      <c r="G109" s="2"/>
      <c r="H109" s="2"/>
      <c r="I109" s="2"/>
      <c r="J109" s="2"/>
    </row>
    <row r="110" spans="1:10" s="25" customFormat="1">
      <c r="A110" s="51"/>
      <c r="G110" s="2"/>
      <c r="H110" s="2"/>
      <c r="I110" s="2"/>
      <c r="J110" s="2"/>
    </row>
    <row r="111" spans="1:10" s="25" customFormat="1">
      <c r="A111" s="51"/>
      <c r="G111" s="2"/>
      <c r="H111" s="2"/>
      <c r="I111" s="2"/>
      <c r="J111" s="2"/>
    </row>
    <row r="112" spans="1:10" s="25" customFormat="1">
      <c r="A112" s="51"/>
      <c r="G112" s="2"/>
      <c r="H112" s="2"/>
      <c r="I112" s="2"/>
      <c r="J112" s="2"/>
    </row>
    <row r="113" spans="1:10" s="25" customFormat="1">
      <c r="A113" s="51"/>
      <c r="G113" s="2"/>
      <c r="H113" s="2"/>
      <c r="I113" s="2"/>
      <c r="J113" s="2"/>
    </row>
    <row r="114" spans="1:10" s="25" customFormat="1">
      <c r="A114" s="51"/>
      <c r="G114" s="2"/>
      <c r="H114" s="2"/>
      <c r="I114" s="2"/>
      <c r="J114" s="2"/>
    </row>
    <row r="115" spans="1:10" s="25" customFormat="1">
      <c r="A115" s="51"/>
      <c r="G115" s="2"/>
      <c r="H115" s="2"/>
      <c r="I115" s="2"/>
      <c r="J115" s="2"/>
    </row>
    <row r="116" spans="1:10" s="25" customFormat="1">
      <c r="A116" s="51"/>
      <c r="G116" s="2"/>
      <c r="H116" s="2"/>
      <c r="I116" s="2"/>
      <c r="J116" s="2"/>
    </row>
    <row r="117" spans="1:10" s="25" customFormat="1">
      <c r="A117" s="51"/>
      <c r="G117" s="2"/>
      <c r="H117" s="2"/>
      <c r="I117" s="2"/>
      <c r="J117" s="2"/>
    </row>
    <row r="118" spans="1:10" s="25" customFormat="1">
      <c r="A118" s="51"/>
      <c r="G118" s="2"/>
      <c r="H118" s="2"/>
      <c r="I118" s="2"/>
      <c r="J118" s="2"/>
    </row>
    <row r="119" spans="1:10" s="25" customFormat="1">
      <c r="A119" s="51"/>
      <c r="G119" s="2"/>
      <c r="H119" s="2"/>
      <c r="I119" s="2"/>
      <c r="J119" s="2"/>
    </row>
    <row r="120" spans="1:10" s="25" customFormat="1">
      <c r="A120" s="51"/>
      <c r="G120" s="2"/>
      <c r="H120" s="2"/>
      <c r="I120" s="2"/>
      <c r="J120" s="2"/>
    </row>
    <row r="121" spans="1:10" s="25" customFormat="1">
      <c r="A121" s="51"/>
      <c r="G121" s="2"/>
      <c r="H121" s="2"/>
      <c r="I121" s="2"/>
      <c r="J121" s="2"/>
    </row>
    <row r="122" spans="1:10" s="25" customFormat="1">
      <c r="A122" s="51"/>
      <c r="G122" s="2"/>
      <c r="H122" s="2"/>
      <c r="I122" s="2"/>
      <c r="J122" s="2"/>
    </row>
    <row r="123" spans="1:10" s="25" customFormat="1">
      <c r="A123" s="51"/>
      <c r="G123" s="2"/>
      <c r="H123" s="2"/>
      <c r="I123" s="2"/>
      <c r="J123" s="2"/>
    </row>
    <row r="124" spans="1:10" s="25" customFormat="1">
      <c r="A124" s="51"/>
      <c r="G124" s="2"/>
      <c r="H124" s="2"/>
      <c r="I124" s="2"/>
      <c r="J124" s="2"/>
    </row>
    <row r="125" spans="1:10" s="25" customFormat="1">
      <c r="A125" s="51"/>
      <c r="G125" s="2"/>
      <c r="H125" s="2"/>
      <c r="I125" s="2"/>
      <c r="J125" s="2"/>
    </row>
    <row r="126" spans="1:10" s="25" customFormat="1">
      <c r="A126" s="51"/>
      <c r="G126" s="2"/>
      <c r="H126" s="2"/>
      <c r="I126" s="2"/>
      <c r="J126" s="2"/>
    </row>
    <row r="127" spans="1:10" s="25" customFormat="1">
      <c r="A127" s="51"/>
      <c r="G127" s="2"/>
      <c r="H127" s="2"/>
      <c r="I127" s="2"/>
      <c r="J127" s="2"/>
    </row>
    <row r="128" spans="1:10" s="25" customFormat="1">
      <c r="A128" s="51"/>
      <c r="G128" s="2"/>
      <c r="H128" s="2"/>
      <c r="I128" s="2"/>
      <c r="J128" s="2"/>
    </row>
    <row r="129" spans="1:10" s="25" customFormat="1">
      <c r="A129" s="51"/>
      <c r="G129" s="2"/>
      <c r="H129" s="2"/>
      <c r="I129" s="2"/>
      <c r="J129" s="2"/>
    </row>
    <row r="130" spans="1:10" s="25" customFormat="1">
      <c r="A130" s="51"/>
      <c r="G130" s="2"/>
      <c r="H130" s="2"/>
      <c r="I130" s="2"/>
      <c r="J130" s="2"/>
    </row>
    <row r="131" spans="1:10" s="25" customFormat="1">
      <c r="A131" s="51"/>
      <c r="G131" s="2"/>
      <c r="H131" s="2"/>
      <c r="I131" s="2"/>
      <c r="J131" s="2"/>
    </row>
    <row r="132" spans="1:10" s="25" customFormat="1">
      <c r="A132" s="51"/>
      <c r="G132" s="2"/>
      <c r="H132" s="2"/>
      <c r="I132" s="2"/>
      <c r="J132" s="2"/>
    </row>
    <row r="133" spans="1:10" s="25" customFormat="1">
      <c r="A133" s="51"/>
      <c r="G133" s="2"/>
      <c r="H133" s="2"/>
      <c r="I133" s="2"/>
      <c r="J133" s="2"/>
    </row>
    <row r="134" spans="1:10" s="25" customFormat="1">
      <c r="A134" s="51"/>
      <c r="G134" s="2"/>
      <c r="H134" s="2"/>
      <c r="I134" s="2"/>
      <c r="J134" s="2"/>
    </row>
    <row r="135" spans="1:10" s="25" customFormat="1">
      <c r="A135" s="51"/>
      <c r="G135" s="2"/>
      <c r="H135" s="2"/>
      <c r="I135" s="2"/>
      <c r="J135" s="2"/>
    </row>
    <row r="136" spans="1:10" s="25" customFormat="1">
      <c r="A136" s="51"/>
      <c r="G136" s="2"/>
      <c r="H136" s="2"/>
      <c r="I136" s="2"/>
      <c r="J136" s="2"/>
    </row>
    <row r="137" spans="1:10" s="25" customFormat="1">
      <c r="A137" s="51"/>
      <c r="G137" s="2"/>
      <c r="H137" s="2"/>
      <c r="I137" s="2"/>
      <c r="J137" s="2"/>
    </row>
    <row r="138" spans="1:10" s="25" customFormat="1">
      <c r="A138" s="51"/>
      <c r="G138" s="2"/>
      <c r="H138" s="2"/>
      <c r="I138" s="2"/>
      <c r="J138" s="2"/>
    </row>
    <row r="139" spans="1:10" s="25" customFormat="1">
      <c r="A139" s="51"/>
      <c r="G139" s="2"/>
      <c r="H139" s="2"/>
      <c r="I139" s="2"/>
      <c r="J139" s="2"/>
    </row>
    <row r="140" spans="1:10" s="25" customFormat="1">
      <c r="A140" s="51"/>
      <c r="G140" s="2"/>
      <c r="H140" s="2"/>
      <c r="I140" s="2"/>
      <c r="J140" s="2"/>
    </row>
    <row r="141" spans="1:10" s="25" customFormat="1">
      <c r="A141" s="51"/>
      <c r="G141" s="2"/>
      <c r="H141" s="2"/>
      <c r="I141" s="2"/>
      <c r="J141" s="2"/>
    </row>
    <row r="142" spans="1:10" s="25" customFormat="1">
      <c r="A142" s="51"/>
      <c r="G142" s="2"/>
      <c r="H142" s="2"/>
      <c r="I142" s="2"/>
      <c r="J142" s="2"/>
    </row>
    <row r="143" spans="1:10" s="25" customFormat="1">
      <c r="A143" s="51"/>
      <c r="G143" s="2"/>
      <c r="H143" s="2"/>
      <c r="I143" s="2"/>
      <c r="J143" s="2"/>
    </row>
    <row r="144" spans="1:10" s="25" customFormat="1">
      <c r="A144" s="51"/>
      <c r="G144" s="2"/>
      <c r="H144" s="2"/>
      <c r="I144" s="2"/>
      <c r="J144" s="2"/>
    </row>
    <row r="145" spans="1:10" s="25" customFormat="1">
      <c r="A145" s="51"/>
      <c r="G145" s="2"/>
      <c r="H145" s="2"/>
      <c r="I145" s="2"/>
      <c r="J145" s="2"/>
    </row>
    <row r="146" spans="1:10" s="25" customFormat="1">
      <c r="A146" s="51"/>
      <c r="G146" s="2"/>
      <c r="H146" s="2"/>
      <c r="I146" s="2"/>
      <c r="J146" s="2"/>
    </row>
    <row r="147" spans="1:10" s="25" customFormat="1">
      <c r="A147" s="51"/>
      <c r="G147" s="2"/>
      <c r="H147" s="2"/>
      <c r="I147" s="2"/>
      <c r="J147" s="2"/>
    </row>
    <row r="148" spans="1:10" s="25" customFormat="1">
      <c r="A148" s="51"/>
      <c r="G148" s="2"/>
      <c r="H148" s="2"/>
      <c r="I148" s="2"/>
      <c r="J148" s="2"/>
    </row>
    <row r="149" spans="1:10" s="25" customFormat="1">
      <c r="A149" s="51"/>
      <c r="G149" s="2"/>
      <c r="H149" s="2"/>
      <c r="I149" s="2"/>
      <c r="J149" s="2"/>
    </row>
    <row r="150" spans="1:10" s="25" customFormat="1">
      <c r="A150" s="51"/>
      <c r="G150" s="2"/>
      <c r="H150" s="2"/>
      <c r="I150" s="2"/>
      <c r="J150" s="2"/>
    </row>
    <row r="151" spans="1:10" s="25" customFormat="1">
      <c r="A151" s="51"/>
      <c r="G151" s="2"/>
      <c r="H151" s="2"/>
      <c r="I151" s="2"/>
      <c r="J151" s="2"/>
    </row>
    <row r="152" spans="1:10" s="25" customFormat="1">
      <c r="A152" s="51"/>
      <c r="G152" s="2"/>
      <c r="H152" s="2"/>
      <c r="I152" s="2"/>
      <c r="J152" s="2"/>
    </row>
    <row r="153" spans="1:10" s="25" customFormat="1">
      <c r="A153" s="51"/>
      <c r="G153" s="2"/>
      <c r="H153" s="2"/>
      <c r="I153" s="2"/>
      <c r="J153" s="2"/>
    </row>
    <row r="154" spans="1:10" s="25" customFormat="1">
      <c r="A154" s="51"/>
      <c r="G154" s="2"/>
      <c r="H154" s="2"/>
      <c r="I154" s="2"/>
      <c r="J154" s="2"/>
    </row>
    <row r="155" spans="1:10" s="25" customFormat="1">
      <c r="A155" s="51"/>
      <c r="G155" s="2"/>
      <c r="H155" s="2"/>
      <c r="I155" s="2"/>
      <c r="J155" s="2"/>
    </row>
    <row r="156" spans="1:10" s="25" customFormat="1">
      <c r="A156" s="51"/>
      <c r="G156" s="2"/>
      <c r="H156" s="2"/>
      <c r="I156" s="2"/>
      <c r="J156" s="2"/>
    </row>
    <row r="157" spans="1:10" s="25" customFormat="1">
      <c r="A157" s="51"/>
      <c r="G157" s="2"/>
      <c r="H157" s="2"/>
      <c r="I157" s="2"/>
      <c r="J157" s="2"/>
    </row>
    <row r="158" spans="1:10" s="25" customFormat="1">
      <c r="A158" s="51"/>
      <c r="G158" s="2"/>
      <c r="H158" s="2"/>
      <c r="I158" s="2"/>
      <c r="J158" s="2"/>
    </row>
    <row r="159" spans="1:10" s="25" customFormat="1">
      <c r="A159" s="51"/>
      <c r="G159" s="2"/>
      <c r="H159" s="2"/>
      <c r="I159" s="2"/>
      <c r="J159" s="2"/>
    </row>
    <row r="160" spans="1:10" s="25" customFormat="1">
      <c r="A160" s="51"/>
      <c r="G160" s="2"/>
      <c r="H160" s="2"/>
      <c r="I160" s="2"/>
      <c r="J160" s="2"/>
    </row>
    <row r="161" spans="1:10" s="25" customFormat="1">
      <c r="A161" s="51"/>
      <c r="G161" s="2"/>
      <c r="H161" s="2"/>
      <c r="I161" s="2"/>
      <c r="J161" s="2"/>
    </row>
    <row r="162" spans="1:10" s="25" customFormat="1">
      <c r="A162" s="51"/>
      <c r="G162" s="2"/>
      <c r="H162" s="2"/>
      <c r="I162" s="2"/>
      <c r="J162" s="2"/>
    </row>
    <row r="163" spans="1:10" s="25" customFormat="1">
      <c r="A163" s="51"/>
      <c r="G163" s="2"/>
      <c r="H163" s="2"/>
      <c r="I163" s="2"/>
      <c r="J163" s="2"/>
    </row>
    <row r="164" spans="1:10" s="25" customFormat="1">
      <c r="A164" s="51"/>
      <c r="G164" s="2"/>
      <c r="H164" s="2"/>
      <c r="I164" s="2"/>
      <c r="J164" s="2"/>
    </row>
    <row r="165" spans="1:10" s="25" customFormat="1">
      <c r="A165" s="51"/>
      <c r="G165" s="2"/>
      <c r="H165" s="2"/>
      <c r="I165" s="2"/>
      <c r="J165" s="2"/>
    </row>
    <row r="166" spans="1:10" s="25" customFormat="1">
      <c r="A166" s="51"/>
      <c r="G166" s="2"/>
      <c r="H166" s="2"/>
      <c r="I166" s="2"/>
      <c r="J166" s="2"/>
    </row>
    <row r="167" spans="1:10" s="25" customFormat="1">
      <c r="A167" s="51"/>
      <c r="G167" s="2"/>
      <c r="H167" s="2"/>
      <c r="I167" s="2"/>
      <c r="J167" s="2"/>
    </row>
    <row r="168" spans="1:10" s="25" customFormat="1">
      <c r="A168" s="51"/>
      <c r="G168" s="2"/>
      <c r="H168" s="2"/>
      <c r="I168" s="2"/>
      <c r="J168" s="2"/>
    </row>
    <row r="169" spans="1:10" s="25" customFormat="1">
      <c r="A169" s="51"/>
      <c r="G169" s="2"/>
      <c r="H169" s="2"/>
      <c r="I169" s="2"/>
      <c r="J169" s="2"/>
    </row>
    <row r="170" spans="1:10" s="25" customFormat="1">
      <c r="A170" s="51"/>
      <c r="G170" s="2"/>
      <c r="H170" s="2"/>
      <c r="I170" s="2"/>
      <c r="J170" s="2"/>
    </row>
    <row r="171" spans="1:10" s="25" customFormat="1">
      <c r="A171" s="51"/>
      <c r="G171" s="2"/>
      <c r="H171" s="2"/>
      <c r="I171" s="2"/>
      <c r="J171" s="2"/>
    </row>
    <row r="172" spans="1:10" s="25" customFormat="1">
      <c r="A172" s="51"/>
      <c r="G172" s="2"/>
      <c r="H172" s="2"/>
      <c r="I172" s="2"/>
      <c r="J172" s="2"/>
    </row>
    <row r="173" spans="1:10" s="25" customFormat="1">
      <c r="A173" s="51"/>
      <c r="G173" s="2"/>
      <c r="H173" s="2"/>
      <c r="I173" s="2"/>
      <c r="J173" s="2"/>
    </row>
    <row r="174" spans="1:10" s="25" customFormat="1">
      <c r="A174" s="51"/>
      <c r="G174" s="2"/>
      <c r="H174" s="2"/>
      <c r="I174" s="2"/>
      <c r="J174" s="2"/>
    </row>
    <row r="175" spans="1:10" s="25" customFormat="1">
      <c r="A175" s="51"/>
      <c r="G175" s="2"/>
      <c r="H175" s="2"/>
      <c r="I175" s="2"/>
      <c r="J175" s="2"/>
    </row>
    <row r="176" spans="1:10" s="25" customFormat="1">
      <c r="A176" s="51"/>
      <c r="G176" s="2"/>
      <c r="H176" s="2"/>
      <c r="I176" s="2"/>
      <c r="J176" s="2"/>
    </row>
    <row r="177" spans="1:10" s="25" customFormat="1">
      <c r="A177" s="51"/>
      <c r="G177" s="2"/>
      <c r="H177" s="2"/>
      <c r="I177" s="2"/>
      <c r="J177" s="2"/>
    </row>
    <row r="178" spans="1:10" s="25" customFormat="1">
      <c r="A178" s="51"/>
      <c r="G178" s="2"/>
      <c r="H178" s="2"/>
      <c r="I178" s="2"/>
      <c r="J178" s="2"/>
    </row>
    <row r="179" spans="1:10" s="25" customFormat="1">
      <c r="A179" s="51"/>
      <c r="G179" s="2"/>
      <c r="H179" s="2"/>
      <c r="I179" s="2"/>
      <c r="J179" s="2"/>
    </row>
    <row r="180" spans="1:10" s="25" customFormat="1">
      <c r="A180" s="51"/>
      <c r="G180" s="2"/>
      <c r="H180" s="2"/>
      <c r="I180" s="2"/>
      <c r="J180" s="2"/>
    </row>
    <row r="181" spans="1:10" s="25" customFormat="1">
      <c r="A181" s="51"/>
      <c r="G181" s="2"/>
      <c r="H181" s="2"/>
      <c r="I181" s="2"/>
      <c r="J181" s="2"/>
    </row>
    <row r="182" spans="1:10" s="25" customFormat="1">
      <c r="A182" s="51"/>
      <c r="G182" s="2"/>
      <c r="H182" s="2"/>
      <c r="I182" s="2"/>
      <c r="J182" s="2"/>
    </row>
    <row r="183" spans="1:10" s="25" customFormat="1">
      <c r="A183" s="51"/>
      <c r="G183" s="2"/>
      <c r="H183" s="2"/>
      <c r="I183" s="2"/>
      <c r="J183" s="2"/>
    </row>
    <row r="184" spans="1:10" s="25" customFormat="1">
      <c r="A184" s="51"/>
      <c r="G184" s="2"/>
      <c r="H184" s="2"/>
      <c r="I184" s="2"/>
      <c r="J184" s="2"/>
    </row>
    <row r="185" spans="1:10" s="25" customFormat="1">
      <c r="A185" s="51"/>
      <c r="G185" s="2"/>
      <c r="H185" s="2"/>
      <c r="I185" s="2"/>
      <c r="J185" s="2"/>
    </row>
    <row r="186" spans="1:10" s="25" customFormat="1">
      <c r="A186" s="51"/>
      <c r="G186" s="2"/>
      <c r="H186" s="2"/>
      <c r="I186" s="2"/>
      <c r="J186" s="2"/>
    </row>
    <row r="187" spans="1:10" s="25" customFormat="1">
      <c r="A187" s="51"/>
      <c r="G187" s="2"/>
      <c r="H187" s="2"/>
      <c r="I187" s="2"/>
      <c r="J187" s="2"/>
    </row>
    <row r="188" spans="1:10" s="25" customFormat="1">
      <c r="A188" s="51"/>
      <c r="G188" s="2"/>
      <c r="H188" s="2"/>
      <c r="I188" s="2"/>
      <c r="J188" s="2"/>
    </row>
    <row r="189" spans="1:10" s="25" customFormat="1">
      <c r="A189" s="51"/>
      <c r="G189" s="2"/>
      <c r="H189" s="2"/>
      <c r="I189" s="2"/>
      <c r="J189" s="2"/>
    </row>
    <row r="190" spans="1:10" s="25" customFormat="1">
      <c r="A190" s="51"/>
      <c r="G190" s="2"/>
      <c r="H190" s="2"/>
      <c r="I190" s="2"/>
      <c r="J190" s="2"/>
    </row>
    <row r="191" spans="1:10" s="25" customFormat="1">
      <c r="A191" s="51"/>
      <c r="G191" s="2"/>
      <c r="H191" s="2"/>
      <c r="I191" s="2"/>
      <c r="J191" s="2"/>
    </row>
    <row r="192" spans="1:10" s="25" customFormat="1">
      <c r="A192" s="51"/>
      <c r="G192" s="2"/>
      <c r="H192" s="2"/>
      <c r="I192" s="2"/>
      <c r="J192" s="2"/>
    </row>
    <row r="193" spans="1:10" s="25" customFormat="1">
      <c r="A193" s="51"/>
      <c r="G193" s="2"/>
      <c r="H193" s="2"/>
      <c r="I193" s="2"/>
      <c r="J193" s="2"/>
    </row>
    <row r="194" spans="1:10" s="25" customFormat="1">
      <c r="A194" s="51"/>
      <c r="G194" s="2"/>
      <c r="H194" s="2"/>
      <c r="I194" s="2"/>
      <c r="J194" s="2"/>
    </row>
    <row r="195" spans="1:10" s="25" customFormat="1">
      <c r="A195" s="51"/>
      <c r="G195" s="2"/>
      <c r="H195" s="2"/>
      <c r="I195" s="2"/>
      <c r="J195" s="2"/>
    </row>
    <row r="196" spans="1:10" s="25" customFormat="1">
      <c r="A196" s="51"/>
      <c r="G196" s="2"/>
      <c r="H196" s="2"/>
      <c r="I196" s="2"/>
      <c r="J196" s="2"/>
    </row>
    <row r="197" spans="1:10" s="25" customFormat="1">
      <c r="A197" s="51"/>
      <c r="G197" s="2"/>
      <c r="H197" s="2"/>
      <c r="I197" s="2"/>
      <c r="J197" s="2"/>
    </row>
    <row r="198" spans="1:10" s="25" customFormat="1">
      <c r="A198" s="51"/>
      <c r="G198" s="2"/>
      <c r="H198" s="2"/>
      <c r="I198" s="2"/>
      <c r="J198" s="2"/>
    </row>
    <row r="199" spans="1:10" s="25" customFormat="1">
      <c r="A199" s="51"/>
      <c r="G199" s="2"/>
      <c r="H199" s="2"/>
      <c r="I199" s="2"/>
      <c r="J199" s="2"/>
    </row>
    <row r="200" spans="1:10" s="25" customFormat="1">
      <c r="A200" s="51"/>
      <c r="G200" s="2"/>
      <c r="H200" s="2"/>
      <c r="I200" s="2"/>
      <c r="J200" s="2"/>
    </row>
    <row r="201" spans="1:10" s="25" customFormat="1">
      <c r="A201" s="51"/>
      <c r="G201" s="2"/>
      <c r="H201" s="2"/>
      <c r="I201" s="2"/>
      <c r="J201" s="2"/>
    </row>
    <row r="202" spans="1:10" s="25" customFormat="1">
      <c r="A202" s="51"/>
      <c r="G202" s="2"/>
      <c r="H202" s="2"/>
      <c r="I202" s="2"/>
      <c r="J202" s="2"/>
    </row>
    <row r="203" spans="1:10" s="25" customFormat="1">
      <c r="A203" s="51"/>
      <c r="G203" s="2"/>
      <c r="H203" s="2"/>
      <c r="I203" s="2"/>
      <c r="J203" s="2"/>
    </row>
    <row r="204" spans="1:10" s="25" customFormat="1">
      <c r="A204" s="51"/>
      <c r="G204" s="2"/>
      <c r="H204" s="2"/>
      <c r="I204" s="2"/>
      <c r="J204" s="2"/>
    </row>
    <row r="205" spans="1:10" s="25" customFormat="1">
      <c r="A205" s="51"/>
      <c r="G205" s="2"/>
      <c r="H205" s="2"/>
      <c r="I205" s="2"/>
      <c r="J205" s="2"/>
    </row>
    <row r="206" spans="1:10" s="25" customFormat="1">
      <c r="A206" s="51"/>
      <c r="G206" s="2"/>
      <c r="H206" s="2"/>
      <c r="I206" s="2"/>
      <c r="J206" s="2"/>
    </row>
    <row r="207" spans="1:10" s="25" customFormat="1">
      <c r="A207" s="51"/>
      <c r="G207" s="2"/>
      <c r="H207" s="2"/>
      <c r="I207" s="2"/>
      <c r="J207" s="2"/>
    </row>
    <row r="208" spans="1:10" s="25" customFormat="1">
      <c r="A208" s="51"/>
      <c r="G208" s="2"/>
      <c r="H208" s="2"/>
      <c r="I208" s="2"/>
      <c r="J208" s="2"/>
    </row>
    <row r="209" spans="1:10" s="25" customFormat="1">
      <c r="A209" s="51"/>
      <c r="G209" s="2"/>
      <c r="H209" s="2"/>
      <c r="I209" s="2"/>
      <c r="J209" s="2"/>
    </row>
    <row r="210" spans="1:10" s="25" customFormat="1">
      <c r="A210" s="51"/>
      <c r="G210" s="2"/>
      <c r="H210" s="2"/>
      <c r="I210" s="2"/>
      <c r="J210" s="2"/>
    </row>
    <row r="211" spans="1:10" s="25" customFormat="1">
      <c r="A211" s="51"/>
      <c r="G211" s="2"/>
      <c r="H211" s="2"/>
      <c r="I211" s="2"/>
      <c r="J211" s="2"/>
    </row>
    <row r="212" spans="1:10" s="25" customFormat="1">
      <c r="A212" s="51"/>
      <c r="G212" s="2"/>
      <c r="H212" s="2"/>
      <c r="I212" s="2"/>
      <c r="J212" s="2"/>
    </row>
    <row r="213" spans="1:10" s="25" customFormat="1">
      <c r="A213" s="51"/>
      <c r="G213" s="2"/>
      <c r="H213" s="2"/>
      <c r="I213" s="2"/>
      <c r="J213" s="2"/>
    </row>
    <row r="214" spans="1:10" s="25" customFormat="1">
      <c r="A214" s="51"/>
      <c r="G214" s="2"/>
      <c r="H214" s="2"/>
      <c r="I214" s="2"/>
      <c r="J214" s="2"/>
    </row>
    <row r="215" spans="1:10" s="25" customFormat="1">
      <c r="A215" s="51"/>
      <c r="G215" s="2"/>
      <c r="H215" s="2"/>
      <c r="I215" s="2"/>
      <c r="J215" s="2"/>
    </row>
    <row r="216" spans="1:10" s="25" customFormat="1">
      <c r="A216" s="51"/>
      <c r="G216" s="2"/>
      <c r="H216" s="2"/>
      <c r="I216" s="2"/>
      <c r="J216" s="2"/>
    </row>
    <row r="217" spans="1:10" s="25" customFormat="1">
      <c r="A217" s="51"/>
      <c r="G217" s="2"/>
      <c r="H217" s="2"/>
      <c r="I217" s="2"/>
      <c r="J217" s="2"/>
    </row>
    <row r="218" spans="1:10" s="25" customFormat="1">
      <c r="A218" s="51"/>
      <c r="G218" s="2"/>
      <c r="H218" s="2"/>
      <c r="I218" s="2"/>
      <c r="J218" s="2"/>
    </row>
    <row r="219" spans="1:10" s="25" customFormat="1">
      <c r="A219" s="51"/>
      <c r="G219" s="2"/>
      <c r="H219" s="2"/>
      <c r="I219" s="2"/>
      <c r="J219" s="2"/>
    </row>
    <row r="220" spans="1:10" s="25" customFormat="1">
      <c r="A220" s="51"/>
      <c r="G220" s="2"/>
      <c r="H220" s="2"/>
      <c r="I220" s="2"/>
      <c r="J220" s="2"/>
    </row>
    <row r="221" spans="1:10" s="25" customFormat="1">
      <c r="A221" s="51"/>
      <c r="G221" s="2"/>
      <c r="H221" s="2"/>
      <c r="I221" s="2"/>
      <c r="J221" s="2"/>
    </row>
    <row r="222" spans="1:10" s="25" customFormat="1">
      <c r="A222" s="51"/>
      <c r="G222" s="2"/>
      <c r="H222" s="2"/>
      <c r="I222" s="2"/>
      <c r="J222" s="2"/>
    </row>
    <row r="223" spans="1:10" s="25" customFormat="1">
      <c r="A223" s="51"/>
      <c r="G223" s="2"/>
      <c r="H223" s="2"/>
      <c r="I223" s="2"/>
      <c r="J223" s="2"/>
    </row>
    <row r="224" spans="1:10" s="25" customFormat="1">
      <c r="A224" s="51"/>
      <c r="G224" s="2"/>
      <c r="H224" s="2"/>
      <c r="I224" s="2"/>
      <c r="J224" s="2"/>
    </row>
    <row r="225" spans="1:10" s="25" customFormat="1">
      <c r="A225" s="51"/>
      <c r="G225" s="2"/>
      <c r="H225" s="2"/>
      <c r="I225" s="2"/>
      <c r="J225" s="2"/>
    </row>
    <row r="226" spans="1:10" s="25" customFormat="1">
      <c r="A226" s="51"/>
      <c r="G226" s="2"/>
      <c r="H226" s="2"/>
      <c r="I226" s="2"/>
      <c r="J226" s="2"/>
    </row>
    <row r="227" spans="1:10" s="25" customFormat="1">
      <c r="A227" s="51"/>
      <c r="G227" s="2"/>
      <c r="H227" s="2"/>
      <c r="I227" s="2"/>
      <c r="J227" s="2"/>
    </row>
    <row r="228" spans="1:10" s="25" customFormat="1">
      <c r="A228" s="51"/>
      <c r="G228" s="2"/>
      <c r="H228" s="2"/>
      <c r="I228" s="2"/>
      <c r="J228" s="2"/>
    </row>
    <row r="229" spans="1:10" s="25" customFormat="1">
      <c r="A229" s="51"/>
      <c r="G229" s="2"/>
      <c r="H229" s="2"/>
      <c r="I229" s="2"/>
      <c r="J229" s="2"/>
    </row>
    <row r="230" spans="1:10" s="25" customFormat="1">
      <c r="A230" s="51"/>
      <c r="G230" s="2"/>
      <c r="H230" s="2"/>
      <c r="I230" s="2"/>
      <c r="J230" s="2"/>
    </row>
    <row r="231" spans="1:10" s="25" customFormat="1">
      <c r="A231" s="51"/>
      <c r="G231" s="2"/>
      <c r="H231" s="2"/>
      <c r="I231" s="2"/>
      <c r="J231" s="2"/>
    </row>
    <row r="232" spans="1:10" s="25" customFormat="1">
      <c r="A232" s="51"/>
      <c r="G232" s="2"/>
      <c r="H232" s="2"/>
      <c r="I232" s="2"/>
      <c r="J232" s="2"/>
    </row>
    <row r="233" spans="1:10" s="25" customFormat="1">
      <c r="A233" s="51"/>
      <c r="G233" s="2"/>
      <c r="H233" s="2"/>
      <c r="I233" s="2"/>
      <c r="J233" s="2"/>
    </row>
    <row r="234" spans="1:10" s="25" customFormat="1">
      <c r="A234" s="51"/>
      <c r="G234" s="2"/>
      <c r="H234" s="2"/>
      <c r="I234" s="2"/>
      <c r="J234" s="2"/>
    </row>
    <row r="235" spans="1:10" s="25" customFormat="1">
      <c r="A235" s="51"/>
      <c r="G235" s="2"/>
      <c r="H235" s="2"/>
      <c r="I235" s="2"/>
      <c r="J235" s="2"/>
    </row>
    <row r="236" spans="1:10" s="25" customFormat="1">
      <c r="A236" s="51"/>
      <c r="G236" s="2"/>
      <c r="H236" s="2"/>
      <c r="I236" s="2"/>
      <c r="J236" s="2"/>
    </row>
    <row r="237" spans="1:10" s="25" customFormat="1">
      <c r="A237" s="51"/>
      <c r="G237" s="2"/>
      <c r="H237" s="2"/>
      <c r="I237" s="2"/>
      <c r="J237" s="2"/>
    </row>
    <row r="238" spans="1:10" s="25" customFormat="1">
      <c r="A238" s="51"/>
      <c r="G238" s="2"/>
      <c r="H238" s="2"/>
      <c r="I238" s="2"/>
      <c r="J238" s="2"/>
    </row>
    <row r="239" spans="1:10" s="25" customFormat="1">
      <c r="A239" s="51"/>
      <c r="G239" s="2"/>
      <c r="H239" s="2"/>
      <c r="I239" s="2"/>
      <c r="J239" s="2"/>
    </row>
    <row r="240" spans="1:10" s="25" customFormat="1">
      <c r="A240" s="51"/>
      <c r="G240" s="2"/>
      <c r="H240" s="2"/>
      <c r="I240" s="2"/>
      <c r="J240" s="2"/>
    </row>
    <row r="241" spans="1:10" s="25" customFormat="1">
      <c r="A241" s="51"/>
      <c r="G241" s="2"/>
      <c r="H241" s="2"/>
      <c r="I241" s="2"/>
      <c r="J241" s="2"/>
    </row>
    <row r="242" spans="1:10" s="25" customFormat="1">
      <c r="A242" s="51"/>
      <c r="G242" s="2"/>
      <c r="H242" s="2"/>
      <c r="I242" s="2"/>
      <c r="J242" s="2"/>
    </row>
    <row r="243" spans="1:10" s="25" customFormat="1">
      <c r="A243" s="51"/>
      <c r="G243" s="2"/>
      <c r="H243" s="2"/>
      <c r="I243" s="2"/>
      <c r="J243" s="2"/>
    </row>
    <row r="244" spans="1:10" s="25" customFormat="1">
      <c r="A244" s="51"/>
      <c r="G244" s="2"/>
      <c r="H244" s="2"/>
      <c r="I244" s="2"/>
      <c r="J244" s="2"/>
    </row>
    <row r="245" spans="1:10" s="25" customFormat="1">
      <c r="A245" s="51"/>
      <c r="G245" s="2"/>
      <c r="H245" s="2"/>
      <c r="I245" s="2"/>
      <c r="J245" s="2"/>
    </row>
    <row r="246" spans="1:10" s="25" customFormat="1">
      <c r="A246" s="51"/>
      <c r="G246" s="2"/>
      <c r="H246" s="2"/>
      <c r="I246" s="2"/>
      <c r="J246" s="2"/>
    </row>
    <row r="247" spans="1:10" s="25" customFormat="1">
      <c r="A247" s="51"/>
      <c r="G247" s="2"/>
      <c r="H247" s="2"/>
      <c r="I247" s="2"/>
      <c r="J247" s="2"/>
    </row>
    <row r="248" spans="1:10" s="25" customFormat="1">
      <c r="A248" s="51"/>
      <c r="G248" s="2"/>
      <c r="H248" s="2"/>
      <c r="I248" s="2"/>
      <c r="J248" s="2"/>
    </row>
    <row r="249" spans="1:10" s="25" customFormat="1">
      <c r="A249" s="51"/>
      <c r="G249" s="2"/>
      <c r="H249" s="2"/>
      <c r="I249" s="2"/>
      <c r="J249" s="2"/>
    </row>
    <row r="250" spans="1:10" s="25" customFormat="1">
      <c r="A250" s="51"/>
      <c r="G250" s="2"/>
      <c r="H250" s="2"/>
      <c r="I250" s="2"/>
      <c r="J250" s="2"/>
    </row>
    <row r="251" spans="1:10" s="25" customFormat="1">
      <c r="A251" s="51"/>
      <c r="G251" s="2"/>
      <c r="H251" s="2"/>
      <c r="I251" s="2"/>
      <c r="J251" s="2"/>
    </row>
    <row r="252" spans="1:10" s="25" customFormat="1">
      <c r="A252" s="51"/>
      <c r="G252" s="2"/>
      <c r="H252" s="2"/>
      <c r="I252" s="2"/>
      <c r="J252" s="2"/>
    </row>
    <row r="253" spans="1:10" s="25" customFormat="1">
      <c r="A253" s="51"/>
      <c r="G253" s="2"/>
      <c r="H253" s="2"/>
      <c r="I253" s="2"/>
      <c r="J253" s="2"/>
    </row>
    <row r="254" spans="1:10" s="25" customFormat="1">
      <c r="A254" s="51"/>
      <c r="G254" s="2"/>
      <c r="H254" s="2"/>
      <c r="I254" s="2"/>
      <c r="J254" s="2"/>
    </row>
    <row r="255" spans="1:10" s="25" customFormat="1">
      <c r="A255" s="51"/>
      <c r="G255" s="2"/>
      <c r="H255" s="2"/>
      <c r="I255" s="2"/>
      <c r="J255" s="2"/>
    </row>
    <row r="256" spans="1:10" s="25" customFormat="1">
      <c r="A256" s="51"/>
      <c r="G256" s="2"/>
      <c r="H256" s="2"/>
      <c r="I256" s="2"/>
      <c r="J256" s="2"/>
    </row>
  </sheetData>
  <sheetProtection formatCells="0" formatColumns="0" formatRows="0"/>
  <mergeCells count="47">
    <mergeCell ref="A21:F21"/>
    <mergeCell ref="A25:F25"/>
    <mergeCell ref="F1:J1"/>
    <mergeCell ref="A17:F17"/>
    <mergeCell ref="A18:F18"/>
    <mergeCell ref="B23:F23"/>
    <mergeCell ref="G23:I23"/>
    <mergeCell ref="A22:F22"/>
    <mergeCell ref="A19:F19"/>
    <mergeCell ref="F8:J8"/>
    <mergeCell ref="F9:J9"/>
    <mergeCell ref="F11:J11"/>
    <mergeCell ref="B15:F15"/>
    <mergeCell ref="A20:F20"/>
    <mergeCell ref="A2:B2"/>
    <mergeCell ref="A16:H16"/>
    <mergeCell ref="A30:J30"/>
    <mergeCell ref="A4:B4"/>
    <mergeCell ref="A73:J73"/>
    <mergeCell ref="A53:J53"/>
    <mergeCell ref="A24:F24"/>
    <mergeCell ref="B26:F26"/>
    <mergeCell ref="B27:F27"/>
    <mergeCell ref="A6:B7"/>
    <mergeCell ref="F7:J7"/>
    <mergeCell ref="G22:I22"/>
    <mergeCell ref="A32:J32"/>
    <mergeCell ref="F2:J4"/>
    <mergeCell ref="A3:B3"/>
    <mergeCell ref="A5:B5"/>
    <mergeCell ref="G5:H5"/>
    <mergeCell ref="F6:J6"/>
    <mergeCell ref="C87:F87"/>
    <mergeCell ref="H87:J87"/>
    <mergeCell ref="A34:A35"/>
    <mergeCell ref="B34:B35"/>
    <mergeCell ref="G34:J34"/>
    <mergeCell ref="A37:J37"/>
    <mergeCell ref="A69:J69"/>
    <mergeCell ref="C34:C35"/>
    <mergeCell ref="A60:J60"/>
    <mergeCell ref="C86:F86"/>
    <mergeCell ref="F34:F35"/>
    <mergeCell ref="H86:J86"/>
    <mergeCell ref="D34:D35"/>
    <mergeCell ref="A67:J67"/>
    <mergeCell ref="E34:E35"/>
  </mergeCells>
  <phoneticPr fontId="3" type="noConversion"/>
  <pageMargins left="0.78740157480314965" right="0.39370078740157483" top="0.59055118110236227" bottom="0.59055118110236227" header="0.39370078740157483" footer="0.19685039370078741"/>
  <pageSetup paperSize="9" scale="49" orientation="portrait" r:id="rId1"/>
  <headerFooter alignWithMargins="0">
    <oddHeader xml:space="preserve">&amp;C&amp;"Times New Roman,обычный"&amp;14
&amp;R&amp;"Times New Roman,обычный"&amp;14 
</oddHeader>
  </headerFooter>
  <rowBreaks count="1" manualBreakCount="1">
    <brk id="5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331"/>
  <sheetViews>
    <sheetView tabSelected="1" view="pageBreakPreview" zoomScale="83" zoomScaleNormal="65" zoomScaleSheetLayoutView="83" workbookViewId="0">
      <selection activeCell="H70" sqref="H70"/>
    </sheetView>
  </sheetViews>
  <sheetFormatPr defaultRowHeight="18.75"/>
  <cols>
    <col min="1" max="1" width="48.42578125" style="2" customWidth="1"/>
    <col min="2" max="2" width="14.85546875" style="25" customWidth="1"/>
    <col min="3" max="3" width="13.42578125" style="278" customWidth="1"/>
    <col min="4" max="4" width="13.7109375" style="278" customWidth="1"/>
    <col min="5" max="5" width="13.42578125" style="245" customWidth="1"/>
    <col min="6" max="6" width="13" style="2" customWidth="1"/>
    <col min="7" max="7" width="13.85546875" style="2" customWidth="1"/>
    <col min="8" max="9" width="13.140625" style="2" customWidth="1"/>
    <col min="10" max="10" width="21" style="2" customWidth="1"/>
    <col min="11" max="11" width="16.28515625" style="2" bestFit="1" customWidth="1"/>
    <col min="12" max="14" width="12.5703125" style="2" bestFit="1" customWidth="1"/>
    <col min="15" max="15" width="9.28515625" style="2" bestFit="1" customWidth="1"/>
    <col min="16" max="16384" width="9.140625" style="2"/>
  </cols>
  <sheetData>
    <row r="1" spans="1:10">
      <c r="A1" s="317" t="s">
        <v>369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>
      <c r="A2" s="43"/>
      <c r="B2" s="54"/>
      <c r="C2" s="270">
        <v>2018</v>
      </c>
      <c r="D2" s="270">
        <v>2019</v>
      </c>
      <c r="E2" s="240"/>
      <c r="F2" s="43">
        <v>2020</v>
      </c>
      <c r="G2" s="43"/>
      <c r="H2" s="43"/>
      <c r="I2" s="43"/>
    </row>
    <row r="3" spans="1:10" ht="36" customHeight="1">
      <c r="A3" s="323" t="s">
        <v>269</v>
      </c>
      <c r="B3" s="319" t="s">
        <v>12</v>
      </c>
      <c r="C3" s="324" t="s">
        <v>24</v>
      </c>
      <c r="D3" s="327" t="s">
        <v>32</v>
      </c>
      <c r="E3" s="326" t="s">
        <v>175</v>
      </c>
      <c r="F3" s="319" t="s">
        <v>364</v>
      </c>
      <c r="G3" s="319"/>
      <c r="H3" s="319"/>
      <c r="I3" s="319"/>
      <c r="J3" s="319" t="s">
        <v>244</v>
      </c>
    </row>
    <row r="4" spans="1:10" ht="43.5" customHeight="1">
      <c r="A4" s="323"/>
      <c r="B4" s="319"/>
      <c r="C4" s="324"/>
      <c r="D4" s="327"/>
      <c r="E4" s="326"/>
      <c r="F4" s="13" t="s">
        <v>365</v>
      </c>
      <c r="G4" s="13" t="s">
        <v>366</v>
      </c>
      <c r="H4" s="13" t="s">
        <v>367</v>
      </c>
      <c r="I4" s="13" t="s">
        <v>79</v>
      </c>
      <c r="J4" s="319"/>
    </row>
    <row r="5" spans="1:10" ht="18" customHeight="1">
      <c r="A5" s="6">
        <v>1</v>
      </c>
      <c r="B5" s="7">
        <v>2</v>
      </c>
      <c r="C5" s="271">
        <v>3</v>
      </c>
      <c r="D5" s="271">
        <v>4</v>
      </c>
      <c r="E5" s="241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</row>
    <row r="6" spans="1:10" s="5" customFormat="1" ht="20.100000000000001" customHeight="1">
      <c r="A6" s="320" t="s">
        <v>276</v>
      </c>
      <c r="B6" s="321"/>
      <c r="C6" s="321"/>
      <c r="D6" s="321"/>
      <c r="E6" s="321"/>
      <c r="F6" s="321"/>
      <c r="G6" s="321"/>
      <c r="H6" s="321"/>
      <c r="I6" s="321"/>
      <c r="J6" s="322"/>
    </row>
    <row r="7" spans="1:10" s="5" customFormat="1" ht="42" customHeight="1">
      <c r="A7" s="77" t="s">
        <v>114</v>
      </c>
      <c r="B7" s="9">
        <v>1000</v>
      </c>
      <c r="C7" s="256">
        <f>C8</f>
        <v>13</v>
      </c>
      <c r="D7" s="256">
        <f t="shared" ref="D7:I7" si="0">D8</f>
        <v>23</v>
      </c>
      <c r="E7" s="194">
        <f t="shared" si="0"/>
        <v>23</v>
      </c>
      <c r="F7" s="194">
        <f t="shared" si="0"/>
        <v>4</v>
      </c>
      <c r="G7" s="194">
        <f t="shared" si="0"/>
        <v>6</v>
      </c>
      <c r="H7" s="194">
        <f t="shared" si="0"/>
        <v>16</v>
      </c>
      <c r="I7" s="194">
        <f t="shared" si="0"/>
        <v>23</v>
      </c>
      <c r="J7" s="133"/>
    </row>
    <row r="8" spans="1:10" s="5" customFormat="1" ht="24.75" customHeight="1">
      <c r="A8" s="77" t="s">
        <v>395</v>
      </c>
      <c r="B8" s="6" t="s">
        <v>386</v>
      </c>
      <c r="C8" s="256">
        <v>13</v>
      </c>
      <c r="D8" s="256">
        <v>23</v>
      </c>
      <c r="E8" s="194">
        <f>I8</f>
        <v>23</v>
      </c>
      <c r="F8" s="194">
        <v>4</v>
      </c>
      <c r="G8" s="194">
        <v>6</v>
      </c>
      <c r="H8" s="194">
        <v>16</v>
      </c>
      <c r="I8" s="194">
        <v>23</v>
      </c>
      <c r="J8" s="133"/>
    </row>
    <row r="9" spans="1:10" ht="38.25" customHeight="1">
      <c r="A9" s="77" t="s">
        <v>133</v>
      </c>
      <c r="B9" s="9">
        <v>1010</v>
      </c>
      <c r="C9" s="263">
        <f t="shared" ref="C9:I9" si="1">SUM(C10:C17)</f>
        <v>0</v>
      </c>
      <c r="D9" s="263">
        <f t="shared" si="1"/>
        <v>0</v>
      </c>
      <c r="E9" s="206">
        <f t="shared" si="1"/>
        <v>0</v>
      </c>
      <c r="F9" s="206">
        <f t="shared" si="1"/>
        <v>0</v>
      </c>
      <c r="G9" s="206">
        <f t="shared" si="1"/>
        <v>0</v>
      </c>
      <c r="H9" s="206">
        <f>SUM(H10:H17)</f>
        <v>0</v>
      </c>
      <c r="I9" s="206">
        <f t="shared" si="1"/>
        <v>0</v>
      </c>
      <c r="J9" s="132"/>
    </row>
    <row r="10" spans="1:10" s="1" customFormat="1" ht="20.100000000000001" customHeight="1">
      <c r="A10" s="77" t="s">
        <v>304</v>
      </c>
      <c r="B10" s="7">
        <v>1011</v>
      </c>
      <c r="C10" s="256"/>
      <c r="D10" s="256"/>
      <c r="E10" s="194"/>
      <c r="F10" s="158"/>
      <c r="G10" s="158"/>
      <c r="H10" s="158"/>
      <c r="I10" s="158"/>
      <c r="J10" s="132"/>
    </row>
    <row r="11" spans="1:10" s="1" customFormat="1" ht="20.100000000000001" customHeight="1">
      <c r="A11" s="77" t="s">
        <v>61</v>
      </c>
      <c r="B11" s="7">
        <v>1012</v>
      </c>
      <c r="C11" s="256"/>
      <c r="D11" s="256"/>
      <c r="E11" s="194"/>
      <c r="F11" s="158"/>
      <c r="G11" s="158"/>
      <c r="H11" s="158"/>
      <c r="I11" s="158"/>
      <c r="J11" s="132"/>
    </row>
    <row r="12" spans="1:10" s="1" customFormat="1" ht="20.100000000000001" customHeight="1">
      <c r="A12" s="77" t="s">
        <v>60</v>
      </c>
      <c r="B12" s="7">
        <v>1013</v>
      </c>
      <c r="C12" s="256"/>
      <c r="D12" s="256"/>
      <c r="E12" s="194"/>
      <c r="F12" s="158"/>
      <c r="G12" s="158"/>
      <c r="H12" s="158"/>
      <c r="I12" s="158"/>
      <c r="J12" s="132"/>
    </row>
    <row r="13" spans="1:10" s="1" customFormat="1" ht="20.100000000000001" customHeight="1">
      <c r="A13" s="77" t="s">
        <v>35</v>
      </c>
      <c r="B13" s="7">
        <v>1014</v>
      </c>
      <c r="C13" s="256"/>
      <c r="D13" s="256"/>
      <c r="E13" s="194"/>
      <c r="F13" s="158"/>
      <c r="G13" s="158"/>
      <c r="H13" s="158"/>
      <c r="I13" s="158"/>
      <c r="J13" s="132"/>
    </row>
    <row r="14" spans="1:10" s="1" customFormat="1" ht="20.100000000000001" customHeight="1">
      <c r="A14" s="77" t="s">
        <v>36</v>
      </c>
      <c r="B14" s="7">
        <v>1015</v>
      </c>
      <c r="C14" s="256"/>
      <c r="D14" s="256"/>
      <c r="E14" s="194"/>
      <c r="F14" s="158"/>
      <c r="G14" s="158"/>
      <c r="H14" s="158"/>
      <c r="I14" s="158"/>
      <c r="J14" s="132"/>
    </row>
    <row r="15" spans="1:10" s="1" customFormat="1" ht="75">
      <c r="A15" s="77" t="s">
        <v>258</v>
      </c>
      <c r="B15" s="7">
        <v>1016</v>
      </c>
      <c r="C15" s="256"/>
      <c r="D15" s="256"/>
      <c r="E15" s="194"/>
      <c r="F15" s="158"/>
      <c r="G15" s="158"/>
      <c r="H15" s="158"/>
      <c r="I15" s="158"/>
      <c r="J15" s="132"/>
    </row>
    <row r="16" spans="1:10" s="1" customFormat="1" ht="37.5">
      <c r="A16" s="77" t="s">
        <v>59</v>
      </c>
      <c r="B16" s="7">
        <v>1017</v>
      </c>
      <c r="C16" s="256"/>
      <c r="D16" s="256"/>
      <c r="E16" s="194"/>
      <c r="F16" s="158"/>
      <c r="G16" s="158"/>
      <c r="H16" s="158"/>
      <c r="I16" s="158"/>
      <c r="J16" s="132"/>
    </row>
    <row r="17" spans="1:15" s="1" customFormat="1" ht="20.100000000000001" customHeight="1">
      <c r="A17" s="77" t="s">
        <v>131</v>
      </c>
      <c r="B17" s="7">
        <v>1018</v>
      </c>
      <c r="C17" s="256"/>
      <c r="D17" s="256"/>
      <c r="E17" s="194"/>
      <c r="F17" s="158"/>
      <c r="G17" s="158"/>
      <c r="H17" s="158"/>
      <c r="I17" s="158"/>
      <c r="J17" s="132"/>
    </row>
    <row r="18" spans="1:15" s="1" customFormat="1" ht="20.100000000000001" customHeight="1">
      <c r="A18" s="77" t="s">
        <v>390</v>
      </c>
      <c r="B18" s="7" t="s">
        <v>391</v>
      </c>
      <c r="C18" s="256"/>
      <c r="D18" s="256"/>
      <c r="E18" s="194"/>
      <c r="F18" s="158"/>
      <c r="G18" s="158"/>
      <c r="H18" s="158"/>
      <c r="I18" s="158"/>
      <c r="J18" s="132"/>
    </row>
    <row r="19" spans="1:15" s="1" customFormat="1" ht="20.100000000000001" customHeight="1">
      <c r="A19" s="77" t="s">
        <v>393</v>
      </c>
      <c r="B19" s="7" t="s">
        <v>392</v>
      </c>
      <c r="C19" s="256"/>
      <c r="D19" s="256"/>
      <c r="E19" s="194"/>
      <c r="F19" s="158"/>
      <c r="G19" s="158"/>
      <c r="H19" s="158"/>
      <c r="I19" s="158"/>
      <c r="J19" s="132"/>
    </row>
    <row r="20" spans="1:15" s="5" customFormat="1" ht="20.100000000000001" customHeight="1">
      <c r="A20" s="150" t="s">
        <v>16</v>
      </c>
      <c r="B20" s="11">
        <v>1020</v>
      </c>
      <c r="C20" s="229">
        <f t="shared" ref="C20:I20" si="2">C7-C9</f>
        <v>13</v>
      </c>
      <c r="D20" s="229">
        <f t="shared" si="2"/>
        <v>23</v>
      </c>
      <c r="E20" s="207">
        <f t="shared" si="2"/>
        <v>23</v>
      </c>
      <c r="F20" s="207">
        <f t="shared" si="2"/>
        <v>4</v>
      </c>
      <c r="G20" s="207">
        <f t="shared" si="2"/>
        <v>6</v>
      </c>
      <c r="H20" s="207">
        <f t="shared" si="2"/>
        <v>16</v>
      </c>
      <c r="I20" s="207">
        <f t="shared" si="2"/>
        <v>23</v>
      </c>
      <c r="J20" s="133"/>
    </row>
    <row r="21" spans="1:15" ht="37.5">
      <c r="A21" s="77" t="s">
        <v>227</v>
      </c>
      <c r="B21" s="9">
        <v>1030</v>
      </c>
      <c r="C21" s="256">
        <f>C22</f>
        <v>0</v>
      </c>
      <c r="D21" s="256">
        <f t="shared" ref="D21:I21" si="3">D22</f>
        <v>0</v>
      </c>
      <c r="E21" s="194">
        <f t="shared" si="3"/>
        <v>0</v>
      </c>
      <c r="F21" s="194">
        <f t="shared" si="3"/>
        <v>0</v>
      </c>
      <c r="G21" s="194">
        <f t="shared" si="3"/>
        <v>0</v>
      </c>
      <c r="H21" s="194">
        <f t="shared" si="3"/>
        <v>0</v>
      </c>
      <c r="I21" s="194">
        <f t="shared" si="3"/>
        <v>0</v>
      </c>
      <c r="J21" s="132"/>
    </row>
    <row r="22" spans="1:15">
      <c r="A22" s="254" t="s">
        <v>398</v>
      </c>
      <c r="B22" s="230" t="s">
        <v>396</v>
      </c>
      <c r="C22" s="256"/>
      <c r="D22" s="256"/>
      <c r="E22" s="194"/>
      <c r="F22" s="158"/>
      <c r="G22" s="158"/>
      <c r="H22" s="158"/>
      <c r="I22" s="158"/>
      <c r="J22" s="132"/>
    </row>
    <row r="23" spans="1:15" ht="20.100000000000001" customHeight="1">
      <c r="A23" s="77" t="s">
        <v>228</v>
      </c>
      <c r="B23" s="9">
        <v>1031</v>
      </c>
      <c r="C23" s="256"/>
      <c r="D23" s="256"/>
      <c r="E23" s="194"/>
      <c r="F23" s="194"/>
      <c r="G23" s="194"/>
      <c r="H23" s="194"/>
      <c r="I23" s="194"/>
      <c r="J23" s="132"/>
    </row>
    <row r="24" spans="1:15" ht="20.100000000000001" customHeight="1">
      <c r="A24" s="77" t="s">
        <v>235</v>
      </c>
      <c r="B24" s="9">
        <v>1040</v>
      </c>
      <c r="C24" s="263">
        <f>SUM(C25:C46)</f>
        <v>537</v>
      </c>
      <c r="D24" s="263">
        <f>SUM(D25:D46)</f>
        <v>549</v>
      </c>
      <c r="E24" s="206">
        <f>I24</f>
        <v>760</v>
      </c>
      <c r="F24" s="206">
        <f t="shared" ref="F24:I24" si="4">SUM(F25:F46)</f>
        <v>226</v>
      </c>
      <c r="G24" s="206">
        <f t="shared" si="4"/>
        <v>380</v>
      </c>
      <c r="H24" s="206">
        <f t="shared" si="4"/>
        <v>561</v>
      </c>
      <c r="I24" s="206">
        <f t="shared" si="4"/>
        <v>760</v>
      </c>
      <c r="J24" s="228"/>
    </row>
    <row r="25" spans="1:15" ht="37.5">
      <c r="A25" s="77" t="s">
        <v>113</v>
      </c>
      <c r="B25" s="9">
        <v>1041</v>
      </c>
      <c r="C25" s="256"/>
      <c r="D25" s="256"/>
      <c r="E25" s="194"/>
      <c r="F25" s="158"/>
      <c r="G25" s="158"/>
      <c r="H25" s="158"/>
      <c r="I25" s="158"/>
      <c r="J25" s="228"/>
    </row>
    <row r="26" spans="1:15" ht="20.100000000000001" customHeight="1">
      <c r="A26" s="77" t="s">
        <v>217</v>
      </c>
      <c r="B26" s="9">
        <v>1042</v>
      </c>
      <c r="C26" s="256"/>
      <c r="D26" s="256"/>
      <c r="E26" s="194"/>
      <c r="F26" s="158"/>
      <c r="G26" s="158"/>
      <c r="H26" s="158"/>
      <c r="I26" s="158"/>
      <c r="J26" s="132"/>
    </row>
    <row r="27" spans="1:15" ht="20.100000000000001" customHeight="1">
      <c r="A27" s="77" t="s">
        <v>58</v>
      </c>
      <c r="B27" s="9">
        <v>1043</v>
      </c>
      <c r="C27" s="256"/>
      <c r="D27" s="256"/>
      <c r="E27" s="194"/>
      <c r="F27" s="158"/>
      <c r="G27" s="158"/>
      <c r="H27" s="158"/>
      <c r="I27" s="158"/>
      <c r="J27" s="132"/>
    </row>
    <row r="28" spans="1:15" ht="20.100000000000001" customHeight="1">
      <c r="A28" s="77" t="s">
        <v>14</v>
      </c>
      <c r="B28" s="9">
        <v>1044</v>
      </c>
      <c r="C28" s="256"/>
      <c r="D28" s="256"/>
      <c r="E28" s="194"/>
      <c r="F28" s="158"/>
      <c r="G28" s="158"/>
      <c r="H28" s="158"/>
      <c r="I28" s="158"/>
      <c r="J28" s="132"/>
    </row>
    <row r="29" spans="1:15" ht="20.100000000000001" customHeight="1">
      <c r="A29" s="77" t="s">
        <v>15</v>
      </c>
      <c r="B29" s="9">
        <v>1045</v>
      </c>
      <c r="C29" s="256"/>
      <c r="D29" s="256"/>
      <c r="E29" s="194"/>
      <c r="F29" s="158"/>
      <c r="G29" s="158"/>
      <c r="H29" s="158"/>
      <c r="I29" s="158"/>
      <c r="J29" s="132"/>
    </row>
    <row r="30" spans="1:15" s="1" customFormat="1" ht="20.100000000000001" customHeight="1">
      <c r="A30" s="77" t="s">
        <v>33</v>
      </c>
      <c r="B30" s="9">
        <v>1046</v>
      </c>
      <c r="C30" s="256"/>
      <c r="D30" s="256"/>
      <c r="E30" s="194"/>
      <c r="F30" s="158"/>
      <c r="G30" s="158"/>
      <c r="H30" s="158"/>
      <c r="I30" s="158"/>
      <c r="J30" s="132"/>
    </row>
    <row r="31" spans="1:15" s="1" customFormat="1" ht="20.100000000000001" customHeight="1">
      <c r="A31" s="77" t="s">
        <v>34</v>
      </c>
      <c r="B31" s="9">
        <v>1047</v>
      </c>
      <c r="C31" s="256"/>
      <c r="D31" s="256"/>
      <c r="E31" s="194"/>
      <c r="F31" s="194"/>
      <c r="G31" s="194"/>
      <c r="H31" s="194"/>
      <c r="I31" s="194"/>
      <c r="J31" s="132"/>
    </row>
    <row r="32" spans="1:15" s="1" customFormat="1" ht="20.100000000000001" customHeight="1">
      <c r="A32" s="77" t="s">
        <v>35</v>
      </c>
      <c r="B32" s="9">
        <v>1048</v>
      </c>
      <c r="C32" s="256">
        <v>344</v>
      </c>
      <c r="D32" s="256">
        <v>358</v>
      </c>
      <c r="E32" s="194">
        <f>I32</f>
        <v>512</v>
      </c>
      <c r="F32" s="194">
        <f>ROUND(K32,0)</f>
        <v>136</v>
      </c>
      <c r="G32" s="194">
        <f t="shared" ref="G32:I32" si="5">ROUND(L32,0)</f>
        <v>246</v>
      </c>
      <c r="H32" s="194">
        <f t="shared" si="5"/>
        <v>379</v>
      </c>
      <c r="I32" s="194">
        <f t="shared" si="5"/>
        <v>512</v>
      </c>
      <c r="J32" s="132"/>
      <c r="K32" s="225">
        <f>штатка!N17/1000</f>
        <v>136.28800000000004</v>
      </c>
      <c r="L32" s="225">
        <f>штатка!O17/1000</f>
        <v>246.39007000000004</v>
      </c>
      <c r="M32" s="225">
        <f>штатка!P17/1000</f>
        <v>379.05151000000001</v>
      </c>
      <c r="N32" s="225">
        <f>штатка!Q17/1000</f>
        <v>511.71295000000009</v>
      </c>
      <c r="O32" s="224"/>
    </row>
    <row r="33" spans="1:15" s="1" customFormat="1" ht="20.100000000000001" customHeight="1">
      <c r="A33" s="77" t="s">
        <v>36</v>
      </c>
      <c r="B33" s="9">
        <v>1049</v>
      </c>
      <c r="C33" s="256">
        <v>83</v>
      </c>
      <c r="D33" s="256">
        <v>79</v>
      </c>
      <c r="E33" s="194">
        <f>I33</f>
        <v>113</v>
      </c>
      <c r="F33" s="194">
        <f>ROUND(K33,0)</f>
        <v>30</v>
      </c>
      <c r="G33" s="194">
        <f t="shared" ref="G33" si="6">ROUND(L33,0)</f>
        <v>54</v>
      </c>
      <c r="H33" s="194">
        <f t="shared" ref="H33" si="7">ROUND(M33,0)</f>
        <v>83</v>
      </c>
      <c r="I33" s="194">
        <f t="shared" ref="I33" si="8">ROUND(N33,0)</f>
        <v>113</v>
      </c>
      <c r="J33" s="132"/>
      <c r="K33" s="225">
        <f>штатка!N18/1000</f>
        <v>29.983360000000008</v>
      </c>
      <c r="L33" s="225">
        <f>штатка!O18/1000</f>
        <v>54.205815400000006</v>
      </c>
      <c r="M33" s="225">
        <f>штатка!P18/1000</f>
        <v>83.391332200000008</v>
      </c>
      <c r="N33" s="225">
        <f>штатка!Q18/1000</f>
        <v>112.57684900000001</v>
      </c>
      <c r="O33" s="224"/>
    </row>
    <row r="34" spans="1:15" s="279" customFormat="1" ht="56.25">
      <c r="A34" s="265" t="s">
        <v>37</v>
      </c>
      <c r="B34" s="266">
        <v>1050</v>
      </c>
      <c r="C34" s="256">
        <v>16</v>
      </c>
      <c r="D34" s="256">
        <v>10</v>
      </c>
      <c r="E34" s="256">
        <v>10</v>
      </c>
      <c r="F34" s="256">
        <v>5</v>
      </c>
      <c r="G34" s="256">
        <v>10</v>
      </c>
      <c r="H34" s="256">
        <v>14</v>
      </c>
      <c r="I34" s="256">
        <v>17</v>
      </c>
      <c r="J34" s="267"/>
    </row>
    <row r="35" spans="1:15" s="1" customFormat="1" ht="56.25">
      <c r="A35" s="77" t="s">
        <v>38</v>
      </c>
      <c r="B35" s="9">
        <v>1051</v>
      </c>
      <c r="C35" s="256"/>
      <c r="D35" s="256"/>
      <c r="E35" s="194"/>
      <c r="F35" s="158"/>
      <c r="G35" s="158"/>
      <c r="H35" s="158"/>
      <c r="I35" s="158"/>
      <c r="J35" s="132"/>
    </row>
    <row r="36" spans="1:15" s="1" customFormat="1" ht="37.5">
      <c r="A36" s="77" t="s">
        <v>39</v>
      </c>
      <c r="B36" s="9">
        <v>1052</v>
      </c>
      <c r="C36" s="256"/>
      <c r="D36" s="256"/>
      <c r="E36" s="194"/>
      <c r="F36" s="158"/>
      <c r="G36" s="158"/>
      <c r="H36" s="158"/>
      <c r="I36" s="158"/>
      <c r="J36" s="132"/>
    </row>
    <row r="37" spans="1:15" s="1" customFormat="1" ht="37.5">
      <c r="A37" s="77" t="s">
        <v>40</v>
      </c>
      <c r="B37" s="9">
        <v>1053</v>
      </c>
      <c r="C37" s="256"/>
      <c r="D37" s="256"/>
      <c r="E37" s="194"/>
      <c r="F37" s="158"/>
      <c r="G37" s="158"/>
      <c r="H37" s="158"/>
      <c r="I37" s="158"/>
      <c r="J37" s="132"/>
    </row>
    <row r="38" spans="1:15" s="1" customFormat="1" ht="20.100000000000001" customHeight="1">
      <c r="A38" s="77" t="s">
        <v>41</v>
      </c>
      <c r="B38" s="9">
        <v>1054</v>
      </c>
      <c r="C38" s="256"/>
      <c r="D38" s="256"/>
      <c r="E38" s="194"/>
      <c r="F38" s="158"/>
      <c r="G38" s="158"/>
      <c r="H38" s="158"/>
      <c r="I38" s="158"/>
      <c r="J38" s="132"/>
    </row>
    <row r="39" spans="1:15" s="1" customFormat="1" ht="20.100000000000001" customHeight="1">
      <c r="A39" s="77" t="s">
        <v>62</v>
      </c>
      <c r="B39" s="9">
        <v>1055</v>
      </c>
      <c r="C39" s="256"/>
      <c r="D39" s="256"/>
      <c r="E39" s="194"/>
      <c r="F39" s="158"/>
      <c r="G39" s="158"/>
      <c r="H39" s="158"/>
      <c r="I39" s="158"/>
      <c r="J39" s="132"/>
    </row>
    <row r="40" spans="1:15" s="1" customFormat="1" ht="20.100000000000001" customHeight="1">
      <c r="A40" s="77" t="s">
        <v>42</v>
      </c>
      <c r="B40" s="9">
        <v>1056</v>
      </c>
      <c r="C40" s="256"/>
      <c r="D40" s="256"/>
      <c r="E40" s="194"/>
      <c r="F40" s="158"/>
      <c r="G40" s="158"/>
      <c r="H40" s="158"/>
      <c r="I40" s="158"/>
      <c r="J40" s="132"/>
    </row>
    <row r="41" spans="1:15" s="1" customFormat="1" ht="20.100000000000001" customHeight="1">
      <c r="A41" s="77" t="s">
        <v>43</v>
      </c>
      <c r="B41" s="9">
        <v>1057</v>
      </c>
      <c r="C41" s="256"/>
      <c r="D41" s="256"/>
      <c r="E41" s="194"/>
      <c r="F41" s="158"/>
      <c r="G41" s="158"/>
      <c r="H41" s="158"/>
      <c r="I41" s="158"/>
      <c r="J41" s="132"/>
    </row>
    <row r="42" spans="1:15" s="1" customFormat="1" ht="37.5">
      <c r="A42" s="77" t="s">
        <v>44</v>
      </c>
      <c r="B42" s="9">
        <v>1058</v>
      </c>
      <c r="C42" s="256"/>
      <c r="D42" s="256"/>
      <c r="E42" s="194"/>
      <c r="F42" s="158"/>
      <c r="G42" s="158"/>
      <c r="H42" s="158"/>
      <c r="I42" s="158"/>
      <c r="J42" s="132"/>
    </row>
    <row r="43" spans="1:15" s="1" customFormat="1" ht="37.5">
      <c r="A43" s="77" t="s">
        <v>45</v>
      </c>
      <c r="B43" s="9">
        <v>1059</v>
      </c>
      <c r="C43" s="256"/>
      <c r="D43" s="256"/>
      <c r="E43" s="194"/>
      <c r="F43" s="158"/>
      <c r="G43" s="158"/>
      <c r="H43" s="158"/>
      <c r="I43" s="158"/>
      <c r="J43" s="132"/>
    </row>
    <row r="44" spans="1:15" s="1" customFormat="1" ht="75">
      <c r="A44" s="77" t="s">
        <v>75</v>
      </c>
      <c r="B44" s="9">
        <v>1060</v>
      </c>
      <c r="C44" s="256"/>
      <c r="D44" s="256"/>
      <c r="E44" s="194"/>
      <c r="F44" s="158"/>
      <c r="G44" s="158"/>
      <c r="H44" s="158"/>
      <c r="I44" s="158"/>
      <c r="J44" s="132"/>
    </row>
    <row r="45" spans="1:15" s="1" customFormat="1" ht="20.100000000000001" customHeight="1">
      <c r="A45" s="77" t="s">
        <v>46</v>
      </c>
      <c r="B45" s="9">
        <v>1061</v>
      </c>
      <c r="C45" s="256"/>
      <c r="D45" s="256"/>
      <c r="E45" s="194"/>
      <c r="F45" s="158"/>
      <c r="G45" s="158"/>
      <c r="H45" s="158"/>
      <c r="I45" s="158"/>
      <c r="J45" s="132"/>
    </row>
    <row r="46" spans="1:15" s="279" customFormat="1" ht="37.5">
      <c r="A46" s="265" t="s">
        <v>117</v>
      </c>
      <c r="B46" s="266">
        <v>1062</v>
      </c>
      <c r="C46" s="256">
        <f>C47+C48+C49</f>
        <v>94</v>
      </c>
      <c r="D46" s="256">
        <f t="shared" ref="D46:I46" si="9">D47+D48+D49</f>
        <v>102</v>
      </c>
      <c r="E46" s="256">
        <f t="shared" si="9"/>
        <v>118</v>
      </c>
      <c r="F46" s="256">
        <f t="shared" si="9"/>
        <v>55</v>
      </c>
      <c r="G46" s="256">
        <f t="shared" si="9"/>
        <v>70</v>
      </c>
      <c r="H46" s="256">
        <f t="shared" si="9"/>
        <v>85</v>
      </c>
      <c r="I46" s="256">
        <f t="shared" si="9"/>
        <v>118</v>
      </c>
      <c r="J46" s="267"/>
    </row>
    <row r="47" spans="1:15" s="279" customFormat="1">
      <c r="A47" s="265" t="s">
        <v>397</v>
      </c>
      <c r="B47" s="269" t="s">
        <v>387</v>
      </c>
      <c r="C47" s="256">
        <v>27</v>
      </c>
      <c r="D47" s="256">
        <v>35</v>
      </c>
      <c r="E47" s="256">
        <f>I47</f>
        <v>28</v>
      </c>
      <c r="F47" s="256">
        <v>8</v>
      </c>
      <c r="G47" s="256">
        <v>15</v>
      </c>
      <c r="H47" s="256">
        <v>23</v>
      </c>
      <c r="I47" s="256">
        <v>28</v>
      </c>
      <c r="J47" s="267"/>
    </row>
    <row r="48" spans="1:15" s="279" customFormat="1">
      <c r="A48" s="265" t="s">
        <v>389</v>
      </c>
      <c r="B48" s="269" t="s">
        <v>388</v>
      </c>
      <c r="C48" s="256">
        <v>58</v>
      </c>
      <c r="D48" s="256">
        <v>67</v>
      </c>
      <c r="E48" s="256">
        <f>I48</f>
        <v>86</v>
      </c>
      <c r="F48" s="256">
        <v>46</v>
      </c>
      <c r="G48" s="256">
        <f>F48+7</f>
        <v>53</v>
      </c>
      <c r="H48" s="256">
        <f>G48+7</f>
        <v>60</v>
      </c>
      <c r="I48" s="256">
        <f>H48+26</f>
        <v>86</v>
      </c>
      <c r="J48" s="267"/>
    </row>
    <row r="49" spans="1:10" s="279" customFormat="1">
      <c r="A49" s="265" t="s">
        <v>418</v>
      </c>
      <c r="B49" s="269" t="s">
        <v>419</v>
      </c>
      <c r="C49" s="256">
        <v>9</v>
      </c>
      <c r="D49" s="256"/>
      <c r="E49" s="256">
        <f>I49</f>
        <v>4</v>
      </c>
      <c r="F49" s="256">
        <v>1</v>
      </c>
      <c r="G49" s="256">
        <v>2</v>
      </c>
      <c r="H49" s="256">
        <v>2</v>
      </c>
      <c r="I49" s="256">
        <v>4</v>
      </c>
      <c r="J49" s="267"/>
    </row>
    <row r="50" spans="1:10" ht="20.100000000000001" customHeight="1">
      <c r="A50" s="77" t="s">
        <v>236</v>
      </c>
      <c r="B50" s="9">
        <v>1070</v>
      </c>
      <c r="C50" s="263">
        <f>SUM(C51:C56)</f>
        <v>0</v>
      </c>
      <c r="D50" s="263">
        <f t="shared" ref="D50:I50" si="10">SUM(D51:D56)</f>
        <v>0</v>
      </c>
      <c r="E50" s="206">
        <f t="shared" si="10"/>
        <v>0</v>
      </c>
      <c r="F50" s="206">
        <f t="shared" si="10"/>
        <v>0</v>
      </c>
      <c r="G50" s="206">
        <f t="shared" si="10"/>
        <v>0</v>
      </c>
      <c r="H50" s="206">
        <f t="shared" si="10"/>
        <v>0</v>
      </c>
      <c r="I50" s="206">
        <f t="shared" si="10"/>
        <v>0</v>
      </c>
      <c r="J50" s="132"/>
    </row>
    <row r="51" spans="1:10" s="1" customFormat="1" ht="20.100000000000001" customHeight="1">
      <c r="A51" s="77" t="s">
        <v>195</v>
      </c>
      <c r="B51" s="9">
        <v>1071</v>
      </c>
      <c r="C51" s="256"/>
      <c r="D51" s="256"/>
      <c r="E51" s="194"/>
      <c r="F51" s="158"/>
      <c r="G51" s="158"/>
      <c r="H51" s="158"/>
      <c r="I51" s="158"/>
      <c r="J51" s="132"/>
    </row>
    <row r="52" spans="1:10" s="1" customFormat="1" ht="20.100000000000001" customHeight="1">
      <c r="A52" s="77" t="s">
        <v>196</v>
      </c>
      <c r="B52" s="9">
        <v>1072</v>
      </c>
      <c r="C52" s="256"/>
      <c r="D52" s="256"/>
      <c r="E52" s="194"/>
      <c r="F52" s="158"/>
      <c r="G52" s="158"/>
      <c r="H52" s="158"/>
      <c r="I52" s="158"/>
      <c r="J52" s="132"/>
    </row>
    <row r="53" spans="1:10" s="1" customFormat="1" ht="20.100000000000001" customHeight="1">
      <c r="A53" s="77" t="s">
        <v>35</v>
      </c>
      <c r="B53" s="9">
        <v>1073</v>
      </c>
      <c r="C53" s="256"/>
      <c r="D53" s="256"/>
      <c r="E53" s="194"/>
      <c r="F53" s="158"/>
      <c r="G53" s="158"/>
      <c r="H53" s="158"/>
      <c r="I53" s="158"/>
      <c r="J53" s="132"/>
    </row>
    <row r="54" spans="1:10" s="1" customFormat="1" ht="37.5">
      <c r="A54" s="77" t="s">
        <v>59</v>
      </c>
      <c r="B54" s="9">
        <v>1074</v>
      </c>
      <c r="C54" s="256"/>
      <c r="D54" s="256"/>
      <c r="E54" s="194"/>
      <c r="F54" s="158"/>
      <c r="G54" s="158"/>
      <c r="H54" s="158"/>
      <c r="I54" s="158"/>
      <c r="J54" s="132"/>
    </row>
    <row r="55" spans="1:10" s="1" customFormat="1" ht="20.100000000000001" customHeight="1">
      <c r="A55" s="77" t="s">
        <v>78</v>
      </c>
      <c r="B55" s="9">
        <v>1075</v>
      </c>
      <c r="C55" s="256"/>
      <c r="D55" s="256"/>
      <c r="E55" s="194"/>
      <c r="F55" s="158"/>
      <c r="G55" s="158"/>
      <c r="H55" s="158"/>
      <c r="I55" s="158"/>
      <c r="J55" s="132"/>
    </row>
    <row r="56" spans="1:10" s="1" customFormat="1" ht="20.100000000000001" customHeight="1">
      <c r="A56" s="77" t="s">
        <v>132</v>
      </c>
      <c r="B56" s="9">
        <v>1076</v>
      </c>
      <c r="C56" s="256"/>
      <c r="D56" s="256"/>
      <c r="E56" s="194"/>
      <c r="F56" s="158"/>
      <c r="G56" s="158"/>
      <c r="H56" s="158"/>
      <c r="I56" s="158"/>
      <c r="J56" s="132"/>
    </row>
    <row r="57" spans="1:10" s="1" customFormat="1" ht="37.5">
      <c r="A57" s="151" t="s">
        <v>80</v>
      </c>
      <c r="B57" s="9">
        <v>1080</v>
      </c>
      <c r="C57" s="263">
        <f>SUM(C58:C62)</f>
        <v>0</v>
      </c>
      <c r="D57" s="263">
        <f t="shared" ref="D57:I57" si="11">SUM(D58:D62)</f>
        <v>0</v>
      </c>
      <c r="E57" s="206">
        <f t="shared" si="11"/>
        <v>0</v>
      </c>
      <c r="F57" s="206">
        <f t="shared" si="11"/>
        <v>0</v>
      </c>
      <c r="G57" s="206">
        <f t="shared" si="11"/>
        <v>0</v>
      </c>
      <c r="H57" s="206">
        <f t="shared" si="11"/>
        <v>0</v>
      </c>
      <c r="I57" s="206">
        <f t="shared" si="11"/>
        <v>0</v>
      </c>
      <c r="J57" s="132"/>
    </row>
    <row r="58" spans="1:10" s="1" customFormat="1" ht="20.100000000000001" customHeight="1">
      <c r="A58" s="77" t="s">
        <v>69</v>
      </c>
      <c r="B58" s="152">
        <v>1081</v>
      </c>
      <c r="C58" s="256"/>
      <c r="D58" s="256"/>
      <c r="E58" s="194"/>
      <c r="F58" s="158"/>
      <c r="G58" s="158"/>
      <c r="H58" s="158"/>
      <c r="I58" s="158"/>
      <c r="J58" s="132"/>
    </row>
    <row r="59" spans="1:10" s="1" customFormat="1" ht="37.5">
      <c r="A59" s="77" t="s">
        <v>47</v>
      </c>
      <c r="B59" s="152">
        <v>1082</v>
      </c>
      <c r="C59" s="256"/>
      <c r="D59" s="256"/>
      <c r="E59" s="194"/>
      <c r="F59" s="158"/>
      <c r="G59" s="158"/>
      <c r="H59" s="158"/>
      <c r="I59" s="158"/>
      <c r="J59" s="132"/>
    </row>
    <row r="60" spans="1:10" s="1" customFormat="1" ht="37.5">
      <c r="A60" s="77" t="s">
        <v>57</v>
      </c>
      <c r="B60" s="152">
        <v>1083</v>
      </c>
      <c r="C60" s="256"/>
      <c r="D60" s="256"/>
      <c r="E60" s="194"/>
      <c r="F60" s="158"/>
      <c r="G60" s="158"/>
      <c r="H60" s="158"/>
      <c r="I60" s="158"/>
      <c r="J60" s="132"/>
    </row>
    <row r="61" spans="1:10" s="1" customFormat="1" ht="20.100000000000001" customHeight="1">
      <c r="A61" s="77" t="s">
        <v>228</v>
      </c>
      <c r="B61" s="152">
        <v>1084</v>
      </c>
      <c r="C61" s="256"/>
      <c r="D61" s="256"/>
      <c r="E61" s="194"/>
      <c r="F61" s="158"/>
      <c r="G61" s="158"/>
      <c r="H61" s="158"/>
      <c r="I61" s="158"/>
      <c r="J61" s="132"/>
    </row>
    <row r="62" spans="1:10" s="1" customFormat="1" ht="20.100000000000001" customHeight="1">
      <c r="A62" s="77" t="s">
        <v>259</v>
      </c>
      <c r="B62" s="152">
        <v>1085</v>
      </c>
      <c r="C62" s="256"/>
      <c r="D62" s="256"/>
      <c r="E62" s="194"/>
      <c r="F62" s="158"/>
      <c r="G62" s="158"/>
      <c r="H62" s="158"/>
      <c r="I62" s="158"/>
      <c r="J62" s="132"/>
    </row>
    <row r="63" spans="1:10" s="5" customFormat="1" ht="37.5">
      <c r="A63" s="150" t="s">
        <v>4</v>
      </c>
      <c r="B63" s="11">
        <v>1100</v>
      </c>
      <c r="C63" s="263">
        <f t="shared" ref="C63:I63" si="12">C20+C21-C24-C50-C57</f>
        <v>-524</v>
      </c>
      <c r="D63" s="263">
        <f>D20+D21-D24-D50-D57</f>
        <v>-526</v>
      </c>
      <c r="E63" s="206">
        <f>E20+E21-E24-E50-E57</f>
        <v>-737</v>
      </c>
      <c r="F63" s="206">
        <f t="shared" si="12"/>
        <v>-222</v>
      </c>
      <c r="G63" s="206">
        <f t="shared" si="12"/>
        <v>-374</v>
      </c>
      <c r="H63" s="206">
        <f t="shared" si="12"/>
        <v>-545</v>
      </c>
      <c r="I63" s="206">
        <f t="shared" si="12"/>
        <v>-737</v>
      </c>
      <c r="J63" s="133"/>
    </row>
    <row r="64" spans="1:10" ht="37.5">
      <c r="A64" s="77" t="s">
        <v>115</v>
      </c>
      <c r="B64" s="9">
        <v>1110</v>
      </c>
      <c r="C64" s="256"/>
      <c r="D64" s="256"/>
      <c r="E64" s="194"/>
      <c r="F64" s="158"/>
      <c r="G64" s="158"/>
      <c r="H64" s="158"/>
      <c r="I64" s="158"/>
      <c r="J64" s="132"/>
    </row>
    <row r="65" spans="1:14" ht="20.100000000000001" customHeight="1">
      <c r="A65" s="77" t="s">
        <v>116</v>
      </c>
      <c r="B65" s="9">
        <v>1120</v>
      </c>
      <c r="C65" s="256"/>
      <c r="D65" s="256"/>
      <c r="E65" s="194"/>
      <c r="F65" s="158"/>
      <c r="G65" s="158"/>
      <c r="H65" s="158"/>
      <c r="I65" s="158"/>
      <c r="J65" s="132"/>
    </row>
    <row r="66" spans="1:14" ht="37.5">
      <c r="A66" s="77" t="s">
        <v>119</v>
      </c>
      <c r="B66" s="9">
        <v>1130</v>
      </c>
      <c r="C66" s="256"/>
      <c r="D66" s="256"/>
      <c r="E66" s="194"/>
      <c r="F66" s="158"/>
      <c r="G66" s="158"/>
      <c r="H66" s="158"/>
      <c r="I66" s="158"/>
      <c r="J66" s="132"/>
    </row>
    <row r="67" spans="1:14" ht="20.100000000000001" customHeight="1">
      <c r="A67" s="77" t="s">
        <v>118</v>
      </c>
      <c r="B67" s="9">
        <v>1140</v>
      </c>
      <c r="C67" s="256"/>
      <c r="D67" s="256"/>
      <c r="E67" s="194"/>
      <c r="F67" s="158"/>
      <c r="G67" s="158"/>
      <c r="H67" s="158"/>
      <c r="I67" s="158"/>
      <c r="J67" s="132"/>
    </row>
    <row r="68" spans="1:14" s="268" customFormat="1" ht="37.5">
      <c r="A68" s="265" t="s">
        <v>229</v>
      </c>
      <c r="B68" s="266">
        <v>1150</v>
      </c>
      <c r="C68" s="256">
        <f>C69</f>
        <v>510</v>
      </c>
      <c r="D68" s="256">
        <f t="shared" ref="D68:I68" si="13">D69</f>
        <v>530</v>
      </c>
      <c r="E68" s="256">
        <f t="shared" si="13"/>
        <v>738</v>
      </c>
      <c r="F68" s="256">
        <f t="shared" si="13"/>
        <v>221</v>
      </c>
      <c r="G68" s="256">
        <f t="shared" si="13"/>
        <v>375</v>
      </c>
      <c r="H68" s="256">
        <f t="shared" si="13"/>
        <v>544</v>
      </c>
      <c r="I68" s="256">
        <f t="shared" si="13"/>
        <v>738</v>
      </c>
      <c r="J68" s="267"/>
    </row>
    <row r="69" spans="1:14" s="268" customFormat="1">
      <c r="A69" s="265" t="s">
        <v>398</v>
      </c>
      <c r="B69" s="269" t="s">
        <v>396</v>
      </c>
      <c r="C69" s="256">
        <v>510</v>
      </c>
      <c r="D69" s="256">
        <v>530</v>
      </c>
      <c r="E69" s="256">
        <f>I69</f>
        <v>738</v>
      </c>
      <c r="F69" s="256">
        <v>221</v>
      </c>
      <c r="G69" s="256">
        <v>375</v>
      </c>
      <c r="H69" s="256">
        <v>544</v>
      </c>
      <c r="I69" s="256">
        <v>738</v>
      </c>
      <c r="J69" s="267"/>
      <c r="K69" s="268">
        <v>221</v>
      </c>
      <c r="L69" s="268">
        <v>402</v>
      </c>
      <c r="M69" s="268">
        <v>544</v>
      </c>
      <c r="N69" s="268">
        <v>738</v>
      </c>
    </row>
    <row r="70" spans="1:14" ht="20.100000000000001" customHeight="1">
      <c r="A70" s="254" t="s">
        <v>228</v>
      </c>
      <c r="B70" s="9">
        <v>1151</v>
      </c>
      <c r="C70" s="256"/>
      <c r="D70" s="256"/>
      <c r="E70" s="194"/>
      <c r="F70" s="158"/>
      <c r="G70" s="158"/>
      <c r="H70" s="158"/>
      <c r="I70" s="158"/>
      <c r="J70" s="132"/>
    </row>
    <row r="71" spans="1:14" ht="37.5">
      <c r="A71" s="77" t="s">
        <v>230</v>
      </c>
      <c r="B71" s="9">
        <v>1160</v>
      </c>
      <c r="C71" s="256"/>
      <c r="D71" s="256"/>
      <c r="E71" s="194"/>
      <c r="F71" s="158"/>
      <c r="G71" s="158"/>
      <c r="H71" s="158"/>
      <c r="I71" s="158"/>
      <c r="J71" s="132"/>
    </row>
    <row r="72" spans="1:14" ht="20.100000000000001" customHeight="1">
      <c r="A72" s="77" t="s">
        <v>228</v>
      </c>
      <c r="B72" s="9">
        <v>1161</v>
      </c>
      <c r="C72" s="256"/>
      <c r="D72" s="256"/>
      <c r="E72" s="194"/>
      <c r="F72" s="158"/>
      <c r="G72" s="158"/>
      <c r="H72" s="158"/>
      <c r="I72" s="158"/>
      <c r="J72" s="132"/>
    </row>
    <row r="73" spans="1:14" s="5" customFormat="1" ht="37.5">
      <c r="A73" s="150" t="s">
        <v>99</v>
      </c>
      <c r="B73" s="11">
        <v>1170</v>
      </c>
      <c r="C73" s="263">
        <f t="shared" ref="C73:I73" si="14">C63+C64+C65+C68-C67-C66-C71</f>
        <v>-14</v>
      </c>
      <c r="D73" s="263">
        <f t="shared" si="14"/>
        <v>4</v>
      </c>
      <c r="E73" s="206">
        <f t="shared" si="14"/>
        <v>1</v>
      </c>
      <c r="F73" s="206">
        <f t="shared" si="14"/>
        <v>-1</v>
      </c>
      <c r="G73" s="206">
        <f t="shared" si="14"/>
        <v>1</v>
      </c>
      <c r="H73" s="206">
        <f t="shared" si="14"/>
        <v>-1</v>
      </c>
      <c r="I73" s="206">
        <f t="shared" si="14"/>
        <v>1</v>
      </c>
      <c r="J73" s="133"/>
    </row>
    <row r="74" spans="1:14" ht="20.100000000000001" customHeight="1">
      <c r="A74" s="77" t="s">
        <v>146</v>
      </c>
      <c r="B74" s="9">
        <v>1180</v>
      </c>
      <c r="C74" s="256"/>
      <c r="D74" s="256">
        <v>1</v>
      </c>
      <c r="E74" s="194">
        <v>1</v>
      </c>
      <c r="F74" s="194">
        <v>0</v>
      </c>
      <c r="G74" s="194">
        <v>0</v>
      </c>
      <c r="H74" s="194">
        <v>0</v>
      </c>
      <c r="I74" s="194">
        <f>ROUND(I73*18%,0)</f>
        <v>0</v>
      </c>
      <c r="J74" s="132"/>
    </row>
    <row r="75" spans="1:14" ht="37.5">
      <c r="A75" s="77" t="s">
        <v>147</v>
      </c>
      <c r="B75" s="9">
        <v>1190</v>
      </c>
      <c r="C75" s="256"/>
      <c r="D75" s="256"/>
      <c r="E75" s="194"/>
      <c r="F75" s="194"/>
      <c r="G75" s="194"/>
      <c r="H75" s="194"/>
      <c r="I75" s="194"/>
      <c r="J75" s="132"/>
    </row>
    <row r="76" spans="1:14" s="5" customFormat="1" ht="37.5">
      <c r="A76" s="150" t="s">
        <v>100</v>
      </c>
      <c r="B76" s="11">
        <v>1200</v>
      </c>
      <c r="C76" s="263">
        <f t="shared" ref="C76:I76" si="15">C73-C74-C75</f>
        <v>-14</v>
      </c>
      <c r="D76" s="263">
        <f t="shared" si="15"/>
        <v>3</v>
      </c>
      <c r="E76" s="206">
        <f t="shared" si="15"/>
        <v>0</v>
      </c>
      <c r="F76" s="206">
        <f t="shared" si="15"/>
        <v>-1</v>
      </c>
      <c r="G76" s="206">
        <f t="shared" si="15"/>
        <v>1</v>
      </c>
      <c r="H76" s="206">
        <f t="shared" si="15"/>
        <v>-1</v>
      </c>
      <c r="I76" s="206">
        <f t="shared" si="15"/>
        <v>1</v>
      </c>
      <c r="J76" s="133"/>
    </row>
    <row r="77" spans="1:14" ht="20.100000000000001" customHeight="1">
      <c r="A77" s="77" t="s">
        <v>17</v>
      </c>
      <c r="B77" s="6">
        <v>1201</v>
      </c>
      <c r="C77" s="263">
        <f>SUMIF(C76,"&gt;0")</f>
        <v>0</v>
      </c>
      <c r="D77" s="263">
        <f t="shared" ref="D77:I77" si="16">SUMIF(D76,"&gt;0")</f>
        <v>3</v>
      </c>
      <c r="E77" s="206">
        <f t="shared" si="16"/>
        <v>0</v>
      </c>
      <c r="F77" s="206">
        <f t="shared" si="16"/>
        <v>0</v>
      </c>
      <c r="G77" s="206">
        <f t="shared" si="16"/>
        <v>1</v>
      </c>
      <c r="H77" s="206">
        <f t="shared" si="16"/>
        <v>0</v>
      </c>
      <c r="I77" s="206">
        <f t="shared" si="16"/>
        <v>1</v>
      </c>
      <c r="J77" s="132"/>
    </row>
    <row r="78" spans="1:14" ht="20.100000000000001" customHeight="1">
      <c r="A78" s="77" t="s">
        <v>18</v>
      </c>
      <c r="B78" s="6">
        <v>1202</v>
      </c>
      <c r="C78" s="263">
        <f>SUMIF(C76,"&lt;0")</f>
        <v>-14</v>
      </c>
      <c r="D78" s="263">
        <f t="shared" ref="D78:I78" si="17">SUMIF(D76,"&lt;0")</f>
        <v>0</v>
      </c>
      <c r="E78" s="206">
        <f t="shared" si="17"/>
        <v>0</v>
      </c>
      <c r="F78" s="206">
        <f t="shared" si="17"/>
        <v>-1</v>
      </c>
      <c r="G78" s="206">
        <f t="shared" si="17"/>
        <v>0</v>
      </c>
      <c r="H78" s="206">
        <f t="shared" si="17"/>
        <v>-1</v>
      </c>
      <c r="I78" s="206">
        <f t="shared" si="17"/>
        <v>0</v>
      </c>
      <c r="J78" s="132"/>
    </row>
    <row r="79" spans="1:14" ht="19.5" customHeight="1">
      <c r="A79" s="77" t="s">
        <v>260</v>
      </c>
      <c r="B79" s="9">
        <v>1210</v>
      </c>
      <c r="C79" s="256"/>
      <c r="D79" s="256"/>
      <c r="E79" s="194"/>
      <c r="F79" s="158"/>
      <c r="G79" s="158"/>
      <c r="H79" s="158"/>
      <c r="I79" s="158"/>
      <c r="J79" s="132"/>
    </row>
    <row r="80" spans="1:14" s="5" customFormat="1" ht="20.100000000000001" customHeight="1">
      <c r="A80" s="320" t="s">
        <v>305</v>
      </c>
      <c r="B80" s="321"/>
      <c r="C80" s="321"/>
      <c r="D80" s="321"/>
      <c r="E80" s="321"/>
      <c r="F80" s="321"/>
      <c r="G80" s="321"/>
      <c r="H80" s="321"/>
      <c r="I80" s="321"/>
      <c r="J80" s="322"/>
    </row>
    <row r="81" spans="1:10" ht="42.75" customHeight="1">
      <c r="A81" s="76" t="s">
        <v>283</v>
      </c>
      <c r="B81" s="6">
        <v>1300</v>
      </c>
      <c r="C81" s="263">
        <f t="shared" ref="C81:I81" si="18">C21-C57</f>
        <v>0</v>
      </c>
      <c r="D81" s="263">
        <f t="shared" si="18"/>
        <v>0</v>
      </c>
      <c r="E81" s="206">
        <f t="shared" si="18"/>
        <v>0</v>
      </c>
      <c r="F81" s="206">
        <f t="shared" si="18"/>
        <v>0</v>
      </c>
      <c r="G81" s="206">
        <f t="shared" si="18"/>
        <v>0</v>
      </c>
      <c r="H81" s="206">
        <f t="shared" si="18"/>
        <v>0</v>
      </c>
      <c r="I81" s="206">
        <f t="shared" si="18"/>
        <v>0</v>
      </c>
      <c r="J81" s="132"/>
    </row>
    <row r="82" spans="1:10" ht="75">
      <c r="A82" s="77" t="s">
        <v>277</v>
      </c>
      <c r="B82" s="6">
        <v>1310</v>
      </c>
      <c r="C82" s="263">
        <f t="shared" ref="C82:I82" si="19">C64+C65-C66-C67</f>
        <v>0</v>
      </c>
      <c r="D82" s="263">
        <f t="shared" si="19"/>
        <v>0</v>
      </c>
      <c r="E82" s="206">
        <f t="shared" si="19"/>
        <v>0</v>
      </c>
      <c r="F82" s="206">
        <f t="shared" si="19"/>
        <v>0</v>
      </c>
      <c r="G82" s="206">
        <f t="shared" si="19"/>
        <v>0</v>
      </c>
      <c r="H82" s="206">
        <f t="shared" si="19"/>
        <v>0</v>
      </c>
      <c r="I82" s="206">
        <f t="shared" si="19"/>
        <v>0</v>
      </c>
      <c r="J82" s="132"/>
    </row>
    <row r="83" spans="1:10" ht="42.75" customHeight="1">
      <c r="A83" s="76" t="s">
        <v>278</v>
      </c>
      <c r="B83" s="6">
        <v>1320</v>
      </c>
      <c r="C83" s="263">
        <f t="shared" ref="C83:I83" si="20">C68-C71</f>
        <v>510</v>
      </c>
      <c r="D83" s="263">
        <f t="shared" si="20"/>
        <v>530</v>
      </c>
      <c r="E83" s="206">
        <f t="shared" si="20"/>
        <v>738</v>
      </c>
      <c r="F83" s="206">
        <f t="shared" si="20"/>
        <v>221</v>
      </c>
      <c r="G83" s="206">
        <f t="shared" si="20"/>
        <v>375</v>
      </c>
      <c r="H83" s="206">
        <f t="shared" si="20"/>
        <v>544</v>
      </c>
      <c r="I83" s="206">
        <f t="shared" si="20"/>
        <v>738</v>
      </c>
      <c r="J83" s="132"/>
    </row>
    <row r="84" spans="1:10" ht="56.25">
      <c r="A84" s="8" t="s">
        <v>362</v>
      </c>
      <c r="B84" s="9">
        <v>1330</v>
      </c>
      <c r="C84" s="263">
        <f t="shared" ref="C84:I84" si="21">C7+C21+C64+C65+C68</f>
        <v>523</v>
      </c>
      <c r="D84" s="263">
        <f t="shared" si="21"/>
        <v>553</v>
      </c>
      <c r="E84" s="206">
        <f t="shared" si="21"/>
        <v>761</v>
      </c>
      <c r="F84" s="206">
        <f t="shared" si="21"/>
        <v>225</v>
      </c>
      <c r="G84" s="206">
        <f t="shared" si="21"/>
        <v>381</v>
      </c>
      <c r="H84" s="206">
        <f t="shared" si="21"/>
        <v>560</v>
      </c>
      <c r="I84" s="206">
        <f t="shared" si="21"/>
        <v>761</v>
      </c>
      <c r="J84" s="132"/>
    </row>
    <row r="85" spans="1:10" ht="75">
      <c r="A85" s="8" t="s">
        <v>363</v>
      </c>
      <c r="B85" s="9">
        <v>1340</v>
      </c>
      <c r="C85" s="263">
        <f t="shared" ref="C85:I85" si="22">C9+C24+C50+C57+C66+C67+C71+C74+C75</f>
        <v>537</v>
      </c>
      <c r="D85" s="263">
        <f t="shared" si="22"/>
        <v>550</v>
      </c>
      <c r="E85" s="206">
        <f t="shared" si="22"/>
        <v>761</v>
      </c>
      <c r="F85" s="206">
        <f t="shared" si="22"/>
        <v>226</v>
      </c>
      <c r="G85" s="206">
        <f t="shared" si="22"/>
        <v>380</v>
      </c>
      <c r="H85" s="206">
        <f t="shared" si="22"/>
        <v>561</v>
      </c>
      <c r="I85" s="206">
        <f t="shared" si="22"/>
        <v>760</v>
      </c>
      <c r="J85" s="132"/>
    </row>
    <row r="86" spans="1:10" ht="20.100000000000001" customHeight="1">
      <c r="A86" s="320" t="s">
        <v>176</v>
      </c>
      <c r="B86" s="321"/>
      <c r="C86" s="321"/>
      <c r="D86" s="321"/>
      <c r="E86" s="321"/>
      <c r="F86" s="321"/>
      <c r="G86" s="321"/>
      <c r="H86" s="321"/>
      <c r="I86" s="321"/>
      <c r="J86" s="322"/>
    </row>
    <row r="87" spans="1:10" ht="37.5">
      <c r="A87" s="8" t="s">
        <v>279</v>
      </c>
      <c r="B87" s="9">
        <v>1400</v>
      </c>
      <c r="C87" s="263">
        <f>C63</f>
        <v>-524</v>
      </c>
      <c r="D87" s="263">
        <f t="shared" ref="D87:I87" si="23">D63</f>
        <v>-526</v>
      </c>
      <c r="E87" s="206">
        <f t="shared" si="23"/>
        <v>-737</v>
      </c>
      <c r="F87" s="206">
        <f t="shared" si="23"/>
        <v>-222</v>
      </c>
      <c r="G87" s="206">
        <f t="shared" si="23"/>
        <v>-374</v>
      </c>
      <c r="H87" s="206">
        <f t="shared" si="23"/>
        <v>-545</v>
      </c>
      <c r="I87" s="206">
        <f t="shared" si="23"/>
        <v>-737</v>
      </c>
      <c r="J87" s="132"/>
    </row>
    <row r="88" spans="1:10">
      <c r="A88" s="8" t="s">
        <v>280</v>
      </c>
      <c r="B88" s="9">
        <v>1401</v>
      </c>
      <c r="C88" s="263">
        <f>C99</f>
        <v>16</v>
      </c>
      <c r="D88" s="263">
        <f t="shared" ref="D88:I88" si="24">D99</f>
        <v>10</v>
      </c>
      <c r="E88" s="206">
        <f t="shared" si="24"/>
        <v>10</v>
      </c>
      <c r="F88" s="206">
        <f t="shared" si="24"/>
        <v>5</v>
      </c>
      <c r="G88" s="206">
        <f t="shared" si="24"/>
        <v>10</v>
      </c>
      <c r="H88" s="206">
        <f t="shared" si="24"/>
        <v>14</v>
      </c>
      <c r="I88" s="206">
        <f t="shared" si="24"/>
        <v>17</v>
      </c>
      <c r="J88" s="132"/>
    </row>
    <row r="89" spans="1:10" ht="37.5">
      <c r="A89" s="8" t="s">
        <v>281</v>
      </c>
      <c r="B89" s="9">
        <v>1402</v>
      </c>
      <c r="C89" s="263">
        <f>C23</f>
        <v>0</v>
      </c>
      <c r="D89" s="263">
        <f t="shared" ref="D89:I89" si="25">D23</f>
        <v>0</v>
      </c>
      <c r="E89" s="206">
        <f t="shared" si="25"/>
        <v>0</v>
      </c>
      <c r="F89" s="206">
        <f t="shared" si="25"/>
        <v>0</v>
      </c>
      <c r="G89" s="206">
        <f t="shared" si="25"/>
        <v>0</v>
      </c>
      <c r="H89" s="206">
        <f t="shared" si="25"/>
        <v>0</v>
      </c>
      <c r="I89" s="206">
        <f t="shared" si="25"/>
        <v>0</v>
      </c>
      <c r="J89" s="132"/>
    </row>
    <row r="90" spans="1:10" ht="37.5">
      <c r="A90" s="8" t="s">
        <v>282</v>
      </c>
      <c r="B90" s="9">
        <v>1403</v>
      </c>
      <c r="C90" s="263">
        <f>C61</f>
        <v>0</v>
      </c>
      <c r="D90" s="263">
        <f t="shared" ref="D90:I90" si="26">D61</f>
        <v>0</v>
      </c>
      <c r="E90" s="206">
        <f t="shared" si="26"/>
        <v>0</v>
      </c>
      <c r="F90" s="206">
        <f t="shared" si="26"/>
        <v>0</v>
      </c>
      <c r="G90" s="206">
        <f t="shared" si="26"/>
        <v>0</v>
      </c>
      <c r="H90" s="206">
        <f t="shared" si="26"/>
        <v>0</v>
      </c>
      <c r="I90" s="206">
        <f t="shared" si="26"/>
        <v>0</v>
      </c>
      <c r="J90" s="132"/>
    </row>
    <row r="91" spans="1:10" ht="37.5">
      <c r="A91" s="8" t="s">
        <v>348</v>
      </c>
      <c r="B91" s="9">
        <v>1404</v>
      </c>
      <c r="C91" s="256"/>
      <c r="D91" s="256"/>
      <c r="E91" s="194"/>
      <c r="F91" s="194"/>
      <c r="G91" s="194"/>
      <c r="H91" s="194"/>
      <c r="I91" s="194"/>
      <c r="J91" s="132"/>
    </row>
    <row r="92" spans="1:10" s="5" customFormat="1" ht="20.100000000000001" customHeight="1">
      <c r="A92" s="10" t="s">
        <v>150</v>
      </c>
      <c r="B92" s="78">
        <v>1410</v>
      </c>
      <c r="C92" s="229">
        <f>C87+C88-C89+C90</f>
        <v>-508</v>
      </c>
      <c r="D92" s="229">
        <f t="shared" ref="D92:I92" si="27">D87+D88-D89+D90</f>
        <v>-516</v>
      </c>
      <c r="E92" s="207">
        <f t="shared" si="27"/>
        <v>-727</v>
      </c>
      <c r="F92" s="207">
        <f t="shared" si="27"/>
        <v>-217</v>
      </c>
      <c r="G92" s="207">
        <f t="shared" si="27"/>
        <v>-364</v>
      </c>
      <c r="H92" s="207">
        <f t="shared" si="27"/>
        <v>-531</v>
      </c>
      <c r="I92" s="207">
        <f t="shared" si="27"/>
        <v>-720</v>
      </c>
      <c r="J92" s="133"/>
    </row>
    <row r="93" spans="1:10" ht="20.100000000000001" customHeight="1">
      <c r="A93" s="320" t="s">
        <v>245</v>
      </c>
      <c r="B93" s="321"/>
      <c r="C93" s="321"/>
      <c r="D93" s="321"/>
      <c r="E93" s="321"/>
      <c r="F93" s="321"/>
      <c r="G93" s="321"/>
      <c r="H93" s="321"/>
      <c r="I93" s="321"/>
      <c r="J93" s="322"/>
    </row>
    <row r="94" spans="1:10" ht="20.100000000000001" customHeight="1">
      <c r="A94" s="8" t="s">
        <v>306</v>
      </c>
      <c r="B94" s="79">
        <v>1500</v>
      </c>
      <c r="C94" s="256">
        <f>C95+C96</f>
        <v>0</v>
      </c>
      <c r="D94" s="256">
        <f t="shared" ref="D94:I94" si="28">D95+D96</f>
        <v>0</v>
      </c>
      <c r="E94" s="194">
        <f t="shared" si="28"/>
        <v>0</v>
      </c>
      <c r="F94" s="158">
        <f t="shared" si="28"/>
        <v>0</v>
      </c>
      <c r="G94" s="158">
        <f t="shared" si="28"/>
        <v>0</v>
      </c>
      <c r="H94" s="158">
        <f t="shared" si="28"/>
        <v>0</v>
      </c>
      <c r="I94" s="158">
        <f t="shared" si="28"/>
        <v>0</v>
      </c>
      <c r="J94" s="132"/>
    </row>
    <row r="95" spans="1:10" ht="20.100000000000001" customHeight="1">
      <c r="A95" s="8" t="s">
        <v>304</v>
      </c>
      <c r="B95" s="7">
        <v>1501</v>
      </c>
      <c r="C95" s="256">
        <f t="shared" ref="C95:I95" si="29">C10</f>
        <v>0</v>
      </c>
      <c r="D95" s="256">
        <f t="shared" si="29"/>
        <v>0</v>
      </c>
      <c r="E95" s="194">
        <f t="shared" si="29"/>
        <v>0</v>
      </c>
      <c r="F95" s="194">
        <f t="shared" si="29"/>
        <v>0</v>
      </c>
      <c r="G95" s="194">
        <f t="shared" si="29"/>
        <v>0</v>
      </c>
      <c r="H95" s="194">
        <f t="shared" si="29"/>
        <v>0</v>
      </c>
      <c r="I95" s="194">
        <f t="shared" si="29"/>
        <v>0</v>
      </c>
      <c r="J95" s="132"/>
    </row>
    <row r="96" spans="1:10" ht="20.100000000000001" customHeight="1">
      <c r="A96" s="8" t="s">
        <v>21</v>
      </c>
      <c r="B96" s="7">
        <v>1502</v>
      </c>
      <c r="C96" s="256">
        <f>C11+C12</f>
        <v>0</v>
      </c>
      <c r="D96" s="256">
        <f t="shared" ref="D96:I96" si="30">D11+D12</f>
        <v>0</v>
      </c>
      <c r="E96" s="194">
        <f t="shared" si="30"/>
        <v>0</v>
      </c>
      <c r="F96" s="194">
        <f t="shared" si="30"/>
        <v>0</v>
      </c>
      <c r="G96" s="194">
        <f t="shared" si="30"/>
        <v>0</v>
      </c>
      <c r="H96" s="194">
        <f t="shared" si="30"/>
        <v>0</v>
      </c>
      <c r="I96" s="194">
        <f t="shared" si="30"/>
        <v>0</v>
      </c>
      <c r="J96" s="132"/>
    </row>
    <row r="97" spans="1:14" ht="20.100000000000001" customHeight="1">
      <c r="A97" s="8" t="s">
        <v>5</v>
      </c>
      <c r="B97" s="79">
        <v>1510</v>
      </c>
      <c r="C97" s="256">
        <f>C13+C32+C53</f>
        <v>344</v>
      </c>
      <c r="D97" s="256">
        <f t="shared" ref="D97:I97" si="31">D13+D32+D53</f>
        <v>358</v>
      </c>
      <c r="E97" s="194">
        <f>E13+E32+E53</f>
        <v>512</v>
      </c>
      <c r="F97" s="194">
        <f t="shared" si="31"/>
        <v>136</v>
      </c>
      <c r="G97" s="194">
        <f t="shared" si="31"/>
        <v>246</v>
      </c>
      <c r="H97" s="194">
        <f t="shared" si="31"/>
        <v>379</v>
      </c>
      <c r="I97" s="194">
        <f t="shared" si="31"/>
        <v>512</v>
      </c>
      <c r="J97" s="132"/>
    </row>
    <row r="98" spans="1:14" ht="20.100000000000001" customHeight="1">
      <c r="A98" s="8" t="s">
        <v>6</v>
      </c>
      <c r="B98" s="79">
        <v>1520</v>
      </c>
      <c r="C98" s="256">
        <f>C14+C33</f>
        <v>83</v>
      </c>
      <c r="D98" s="256">
        <f t="shared" ref="D98:I98" si="32">D14+D33</f>
        <v>79</v>
      </c>
      <c r="E98" s="194">
        <f t="shared" si="32"/>
        <v>113</v>
      </c>
      <c r="F98" s="194">
        <f t="shared" si="32"/>
        <v>30</v>
      </c>
      <c r="G98" s="194">
        <f t="shared" si="32"/>
        <v>54</v>
      </c>
      <c r="H98" s="194">
        <f t="shared" si="32"/>
        <v>83</v>
      </c>
      <c r="I98" s="194">
        <f t="shared" si="32"/>
        <v>113</v>
      </c>
      <c r="J98" s="132"/>
      <c r="K98" s="196">
        <f>F97*22%</f>
        <v>29.92</v>
      </c>
      <c r="L98" s="196">
        <f>G97*22%</f>
        <v>54.12</v>
      </c>
      <c r="M98" s="196">
        <f>H97*22%</f>
        <v>83.38</v>
      </c>
      <c r="N98" s="196">
        <f>I97*22%</f>
        <v>112.64</v>
      </c>
    </row>
    <row r="99" spans="1:14" ht="20.100000000000001" customHeight="1">
      <c r="A99" s="8" t="s">
        <v>7</v>
      </c>
      <c r="B99" s="79">
        <v>1530</v>
      </c>
      <c r="C99" s="256">
        <f t="shared" ref="C99:I99" si="33">C16+C34+C54</f>
        <v>16</v>
      </c>
      <c r="D99" s="256">
        <f t="shared" si="33"/>
        <v>10</v>
      </c>
      <c r="E99" s="194">
        <f t="shared" si="33"/>
        <v>10</v>
      </c>
      <c r="F99" s="194">
        <f t="shared" si="33"/>
        <v>5</v>
      </c>
      <c r="G99" s="194">
        <f t="shared" si="33"/>
        <v>10</v>
      </c>
      <c r="H99" s="194">
        <f t="shared" si="33"/>
        <v>14</v>
      </c>
      <c r="I99" s="194">
        <f t="shared" si="33"/>
        <v>17</v>
      </c>
      <c r="J99" s="132"/>
    </row>
    <row r="100" spans="1:14" ht="20.100000000000001" customHeight="1">
      <c r="A100" s="8" t="s">
        <v>22</v>
      </c>
      <c r="B100" s="79">
        <v>1540</v>
      </c>
      <c r="C100" s="256">
        <f t="shared" ref="C100:I100" si="34">C15+C17+C25+C26+C27+C28+C29+C30+C31+C35+C36+C37+C38+C39+C40+C41+C42+C43+C44+C45+C46+C51+C52+C55+C56+C57+C66+C71</f>
        <v>94</v>
      </c>
      <c r="D100" s="256">
        <f t="shared" si="34"/>
        <v>102</v>
      </c>
      <c r="E100" s="194">
        <f t="shared" si="34"/>
        <v>118</v>
      </c>
      <c r="F100" s="194">
        <f t="shared" si="34"/>
        <v>55</v>
      </c>
      <c r="G100" s="194">
        <f t="shared" si="34"/>
        <v>70</v>
      </c>
      <c r="H100" s="194">
        <f t="shared" si="34"/>
        <v>85</v>
      </c>
      <c r="I100" s="194">
        <f t="shared" si="34"/>
        <v>118</v>
      </c>
      <c r="J100" s="132"/>
    </row>
    <row r="101" spans="1:14" s="5" customFormat="1" ht="20.100000000000001" customHeight="1">
      <c r="A101" s="10" t="s">
        <v>53</v>
      </c>
      <c r="B101" s="78">
        <v>1550</v>
      </c>
      <c r="C101" s="229">
        <f t="shared" ref="C101:I101" si="35">SUM(C94,C97:C100)</f>
        <v>537</v>
      </c>
      <c r="D101" s="229">
        <f t="shared" si="35"/>
        <v>549</v>
      </c>
      <c r="E101" s="207">
        <f t="shared" si="35"/>
        <v>753</v>
      </c>
      <c r="F101" s="207">
        <f t="shared" si="35"/>
        <v>226</v>
      </c>
      <c r="G101" s="207">
        <f t="shared" si="35"/>
        <v>380</v>
      </c>
      <c r="H101" s="207">
        <f t="shared" si="35"/>
        <v>561</v>
      </c>
      <c r="I101" s="207">
        <f t="shared" si="35"/>
        <v>760</v>
      </c>
      <c r="J101" s="133"/>
    </row>
    <row r="102" spans="1:14" s="5" customFormat="1" ht="20.100000000000001" customHeight="1">
      <c r="A102" s="124"/>
      <c r="B102" s="128"/>
      <c r="C102" s="272"/>
      <c r="D102" s="272"/>
      <c r="E102" s="205"/>
      <c r="F102" s="129"/>
      <c r="G102" s="129"/>
      <c r="H102" s="129"/>
      <c r="I102" s="129"/>
      <c r="J102" s="130"/>
      <c r="K102" s="226">
        <f>штатка!N17/1000</f>
        <v>136.28800000000004</v>
      </c>
      <c r="L102" s="226">
        <f>штатка!O17/1000</f>
        <v>246.39007000000004</v>
      </c>
      <c r="M102" s="226">
        <f>штатка!P17/1000</f>
        <v>379.05151000000001</v>
      </c>
      <c r="N102" s="226">
        <f>штатка!Q17/1000</f>
        <v>511.71295000000009</v>
      </c>
    </row>
    <row r="103" spans="1:14" s="5" customFormat="1" ht="15.75" customHeight="1">
      <c r="A103" s="124"/>
      <c r="B103" s="128"/>
      <c r="C103" s="273"/>
      <c r="D103" s="272"/>
      <c r="E103" s="242"/>
      <c r="F103" s="129"/>
      <c r="G103" s="129"/>
      <c r="H103" s="129"/>
      <c r="I103" s="129"/>
      <c r="J103" s="130"/>
      <c r="K103" s="226">
        <f>штатка!N18/1000</f>
        <v>29.983360000000008</v>
      </c>
      <c r="L103" s="226">
        <f>штатка!O18/1000</f>
        <v>54.205815400000006</v>
      </c>
      <c r="M103" s="226">
        <f>штатка!P18/1000</f>
        <v>83.391332200000008</v>
      </c>
      <c r="N103" s="226">
        <f>штатка!Q18/1000</f>
        <v>112.57684900000001</v>
      </c>
    </row>
    <row r="104" spans="1:14" ht="16.5" customHeight="1">
      <c r="A104" s="120"/>
      <c r="B104" s="119"/>
      <c r="C104" s="274"/>
      <c r="D104" s="275"/>
      <c r="E104" s="243"/>
      <c r="F104" s="123"/>
      <c r="G104" s="123"/>
      <c r="H104" s="123"/>
      <c r="I104" s="123"/>
      <c r="J104" s="118"/>
    </row>
    <row r="105" spans="1:14">
      <c r="A105" s="124" t="s">
        <v>403</v>
      </c>
      <c r="B105" s="125"/>
      <c r="C105" s="325" t="s">
        <v>255</v>
      </c>
      <c r="D105" s="325"/>
      <c r="E105" s="325"/>
      <c r="F105" s="126"/>
      <c r="G105" s="297" t="s">
        <v>460</v>
      </c>
      <c r="H105" s="297"/>
      <c r="I105" s="297"/>
      <c r="J105" s="118"/>
    </row>
    <row r="106" spans="1:14" s="1" customFormat="1" ht="20.100000000000001" customHeight="1">
      <c r="A106" s="103" t="s">
        <v>254</v>
      </c>
      <c r="B106" s="118"/>
      <c r="C106" s="318" t="s">
        <v>334</v>
      </c>
      <c r="D106" s="318"/>
      <c r="E106" s="318"/>
      <c r="F106" s="127"/>
      <c r="G106" s="282" t="s">
        <v>108</v>
      </c>
      <c r="H106" s="282"/>
      <c r="I106" s="282"/>
      <c r="J106" s="131"/>
    </row>
    <row r="107" spans="1:14" ht="20.100000000000001" customHeight="1">
      <c r="A107" s="28"/>
      <c r="C107" s="276"/>
      <c r="D107" s="277"/>
      <c r="E107" s="244"/>
      <c r="F107" s="29"/>
      <c r="G107" s="29"/>
      <c r="H107" s="29"/>
      <c r="I107" s="29"/>
    </row>
    <row r="108" spans="1:14">
      <c r="A108" s="28"/>
      <c r="C108" s="276"/>
      <c r="D108" s="277"/>
      <c r="E108" s="244"/>
      <c r="F108" s="29"/>
      <c r="G108" s="29"/>
      <c r="H108" s="29"/>
      <c r="I108" s="29"/>
    </row>
    <row r="109" spans="1:14">
      <c r="A109" s="28"/>
      <c r="C109" s="276"/>
      <c r="D109" s="277"/>
      <c r="E109" s="244"/>
      <c r="F109" s="29"/>
      <c r="G109" s="29"/>
      <c r="H109" s="29"/>
      <c r="I109" s="29"/>
    </row>
    <row r="110" spans="1:14">
      <c r="A110" s="28"/>
      <c r="C110" s="276"/>
      <c r="D110" s="277"/>
      <c r="E110" s="244"/>
      <c r="F110" s="29"/>
      <c r="G110" s="29"/>
      <c r="H110" s="29"/>
      <c r="I110" s="29"/>
    </row>
    <row r="111" spans="1:14">
      <c r="A111" s="28"/>
      <c r="C111" s="276"/>
      <c r="D111" s="277"/>
      <c r="E111" s="244"/>
      <c r="F111" s="29"/>
      <c r="G111" s="29"/>
      <c r="H111" s="29"/>
      <c r="I111" s="29"/>
    </row>
    <row r="112" spans="1:14">
      <c r="A112" s="28"/>
      <c r="C112" s="276"/>
      <c r="D112" s="277"/>
      <c r="E112" s="244"/>
      <c r="F112" s="29"/>
      <c r="G112" s="29"/>
      <c r="H112" s="29"/>
      <c r="I112" s="29"/>
    </row>
    <row r="113" spans="1:9">
      <c r="A113" s="28"/>
      <c r="C113" s="276"/>
      <c r="D113" s="277"/>
      <c r="E113" s="244"/>
      <c r="F113" s="29"/>
      <c r="G113" s="29"/>
      <c r="H113" s="29"/>
      <c r="I113" s="29"/>
    </row>
    <row r="114" spans="1:9">
      <c r="A114" s="28"/>
      <c r="C114" s="276"/>
      <c r="D114" s="277"/>
      <c r="E114" s="244"/>
      <c r="F114" s="29"/>
      <c r="G114" s="29"/>
      <c r="H114" s="29"/>
      <c r="I114" s="29"/>
    </row>
    <row r="115" spans="1:9">
      <c r="A115" s="28"/>
      <c r="C115" s="276"/>
      <c r="D115" s="277"/>
      <c r="E115" s="244"/>
      <c r="F115" s="29"/>
      <c r="G115" s="29"/>
      <c r="H115" s="29"/>
      <c r="I115" s="29"/>
    </row>
    <row r="116" spans="1:9">
      <c r="A116" s="28"/>
      <c r="C116" s="276"/>
      <c r="D116" s="277"/>
      <c r="E116" s="244"/>
      <c r="F116" s="29"/>
      <c r="G116" s="29"/>
      <c r="H116" s="29"/>
      <c r="I116" s="29"/>
    </row>
    <row r="117" spans="1:9">
      <c r="A117" s="28"/>
      <c r="C117" s="276"/>
      <c r="D117" s="277"/>
      <c r="E117" s="244"/>
      <c r="F117" s="29"/>
      <c r="G117" s="29"/>
      <c r="H117" s="29"/>
      <c r="I117" s="29"/>
    </row>
    <row r="118" spans="1:9">
      <c r="A118" s="28"/>
      <c r="C118" s="276"/>
      <c r="D118" s="277"/>
      <c r="E118" s="244"/>
      <c r="F118" s="29"/>
      <c r="G118" s="29"/>
      <c r="H118" s="29"/>
      <c r="I118" s="29"/>
    </row>
    <row r="119" spans="1:9">
      <c r="A119" s="28"/>
      <c r="C119" s="276"/>
      <c r="D119" s="277"/>
      <c r="E119" s="244"/>
      <c r="F119" s="29"/>
      <c r="G119" s="29"/>
      <c r="H119" s="29"/>
      <c r="I119" s="29"/>
    </row>
    <row r="120" spans="1:9">
      <c r="A120" s="28"/>
      <c r="C120" s="276"/>
      <c r="D120" s="277"/>
      <c r="E120" s="244"/>
      <c r="F120" s="29"/>
      <c r="G120" s="29"/>
      <c r="H120" s="29"/>
      <c r="I120" s="29"/>
    </row>
    <row r="121" spans="1:9">
      <c r="A121" s="28"/>
      <c r="C121" s="276"/>
      <c r="D121" s="277"/>
      <c r="E121" s="244"/>
      <c r="F121" s="29"/>
      <c r="G121" s="29"/>
      <c r="H121" s="29"/>
      <c r="I121" s="29"/>
    </row>
    <row r="122" spans="1:9">
      <c r="A122" s="28"/>
      <c r="C122" s="276"/>
      <c r="D122" s="277"/>
      <c r="E122" s="244"/>
      <c r="F122" s="29"/>
      <c r="G122" s="29"/>
      <c r="H122" s="29"/>
      <c r="I122" s="29"/>
    </row>
    <row r="123" spans="1:9">
      <c r="A123" s="28"/>
      <c r="C123" s="276"/>
      <c r="D123" s="277"/>
      <c r="E123" s="244"/>
      <c r="F123" s="29"/>
      <c r="G123" s="29"/>
      <c r="H123" s="29"/>
      <c r="I123" s="29"/>
    </row>
    <row r="124" spans="1:9">
      <c r="A124" s="28"/>
      <c r="C124" s="276"/>
      <c r="D124" s="277"/>
      <c r="E124" s="244"/>
      <c r="F124" s="29"/>
      <c r="G124" s="29"/>
      <c r="H124" s="29"/>
      <c r="I124" s="29"/>
    </row>
    <row r="125" spans="1:9">
      <c r="A125" s="28"/>
      <c r="C125" s="276"/>
      <c r="D125" s="277"/>
      <c r="E125" s="244"/>
      <c r="F125" s="29"/>
      <c r="G125" s="29"/>
      <c r="H125" s="29"/>
      <c r="I125" s="29"/>
    </row>
    <row r="126" spans="1:9">
      <c r="A126" s="28"/>
      <c r="C126" s="276"/>
      <c r="D126" s="277"/>
      <c r="E126" s="244"/>
      <c r="F126" s="29"/>
      <c r="G126" s="29"/>
      <c r="H126" s="29"/>
      <c r="I126" s="29"/>
    </row>
    <row r="127" spans="1:9">
      <c r="A127" s="28"/>
      <c r="C127" s="276"/>
      <c r="D127" s="277"/>
      <c r="E127" s="244"/>
      <c r="F127" s="29"/>
      <c r="G127" s="29"/>
      <c r="H127" s="29"/>
      <c r="I127" s="29"/>
    </row>
    <row r="128" spans="1:9">
      <c r="A128" s="28"/>
      <c r="C128" s="276"/>
      <c r="D128" s="277"/>
      <c r="E128" s="244"/>
      <c r="F128" s="29"/>
      <c r="G128" s="29"/>
      <c r="H128" s="29"/>
      <c r="I128" s="29"/>
    </row>
    <row r="129" spans="1:9">
      <c r="A129" s="28"/>
      <c r="C129" s="276"/>
      <c r="D129" s="277"/>
      <c r="E129" s="244"/>
      <c r="F129" s="29"/>
      <c r="G129" s="29"/>
      <c r="H129" s="29"/>
      <c r="I129" s="29"/>
    </row>
    <row r="130" spans="1:9">
      <c r="A130" s="28"/>
      <c r="C130" s="276"/>
      <c r="D130" s="277"/>
      <c r="E130" s="244"/>
      <c r="F130" s="29"/>
      <c r="G130" s="29"/>
      <c r="H130" s="29"/>
      <c r="I130" s="29"/>
    </row>
    <row r="131" spans="1:9">
      <c r="A131" s="28"/>
      <c r="C131" s="276"/>
      <c r="D131" s="277"/>
      <c r="E131" s="244"/>
      <c r="F131" s="29"/>
      <c r="G131" s="29"/>
      <c r="H131" s="29"/>
      <c r="I131" s="29"/>
    </row>
    <row r="132" spans="1:9">
      <c r="A132" s="28"/>
      <c r="C132" s="276"/>
      <c r="D132" s="277"/>
      <c r="E132" s="244"/>
      <c r="F132" s="29"/>
      <c r="G132" s="29"/>
      <c r="H132" s="29"/>
      <c r="I132" s="29"/>
    </row>
    <row r="133" spans="1:9">
      <c r="A133" s="28"/>
      <c r="C133" s="276"/>
      <c r="D133" s="277"/>
      <c r="E133" s="244"/>
      <c r="F133" s="29"/>
      <c r="G133" s="29"/>
      <c r="H133" s="29"/>
      <c r="I133" s="29"/>
    </row>
    <row r="134" spans="1:9">
      <c r="A134" s="28"/>
      <c r="C134" s="276"/>
      <c r="D134" s="277"/>
      <c r="E134" s="244"/>
      <c r="F134" s="29"/>
      <c r="G134" s="29"/>
      <c r="H134" s="29"/>
      <c r="I134" s="29"/>
    </row>
    <row r="135" spans="1:9">
      <c r="A135" s="28"/>
      <c r="C135" s="276"/>
      <c r="D135" s="277"/>
      <c r="E135" s="244"/>
      <c r="F135" s="29"/>
      <c r="G135" s="29"/>
      <c r="H135" s="29"/>
      <c r="I135" s="29"/>
    </row>
    <row r="136" spans="1:9">
      <c r="A136" s="28"/>
      <c r="C136" s="276"/>
      <c r="D136" s="277"/>
      <c r="E136" s="244"/>
      <c r="F136" s="29"/>
      <c r="G136" s="29"/>
      <c r="H136" s="29"/>
      <c r="I136" s="29"/>
    </row>
    <row r="137" spans="1:9">
      <c r="A137" s="28"/>
      <c r="C137" s="276"/>
      <c r="D137" s="277"/>
      <c r="E137" s="244"/>
      <c r="F137" s="29"/>
      <c r="G137" s="29"/>
      <c r="H137" s="29"/>
      <c r="I137" s="29"/>
    </row>
    <row r="138" spans="1:9">
      <c r="A138" s="28"/>
      <c r="C138" s="276"/>
      <c r="D138" s="277"/>
      <c r="E138" s="244"/>
      <c r="F138" s="29"/>
      <c r="G138" s="29"/>
      <c r="H138" s="29"/>
      <c r="I138" s="29"/>
    </row>
    <row r="139" spans="1:9">
      <c r="A139" s="28"/>
      <c r="C139" s="276"/>
      <c r="D139" s="277"/>
      <c r="E139" s="244"/>
      <c r="F139" s="29"/>
      <c r="G139" s="29"/>
      <c r="H139" s="29"/>
      <c r="I139" s="29"/>
    </row>
    <row r="140" spans="1:9">
      <c r="A140" s="28"/>
      <c r="C140" s="276"/>
      <c r="D140" s="277"/>
      <c r="E140" s="244"/>
      <c r="F140" s="29"/>
      <c r="G140" s="29"/>
      <c r="H140" s="29"/>
      <c r="I140" s="29"/>
    </row>
    <row r="141" spans="1:9">
      <c r="A141" s="28"/>
      <c r="C141" s="276"/>
      <c r="D141" s="277"/>
      <c r="E141" s="244"/>
      <c r="F141" s="29"/>
      <c r="G141" s="29"/>
      <c r="H141" s="29"/>
      <c r="I141" s="29"/>
    </row>
    <row r="142" spans="1:9">
      <c r="A142" s="28"/>
      <c r="C142" s="276"/>
      <c r="D142" s="277"/>
      <c r="E142" s="244"/>
      <c r="F142" s="29"/>
      <c r="G142" s="29"/>
      <c r="H142" s="29"/>
      <c r="I142" s="29"/>
    </row>
    <row r="143" spans="1:9">
      <c r="A143" s="28"/>
      <c r="C143" s="276"/>
      <c r="D143" s="277"/>
      <c r="E143" s="244"/>
      <c r="F143" s="29"/>
      <c r="G143" s="29"/>
      <c r="H143" s="29"/>
      <c r="I143" s="29"/>
    </row>
    <row r="144" spans="1:9">
      <c r="A144" s="28"/>
      <c r="C144" s="276"/>
      <c r="D144" s="277"/>
      <c r="E144" s="244"/>
      <c r="F144" s="29"/>
      <c r="G144" s="29"/>
      <c r="H144" s="29"/>
      <c r="I144" s="29"/>
    </row>
    <row r="145" spans="1:9">
      <c r="A145" s="28"/>
      <c r="C145" s="276"/>
      <c r="D145" s="277"/>
      <c r="E145" s="244"/>
      <c r="F145" s="29"/>
      <c r="G145" s="29"/>
      <c r="H145" s="29"/>
      <c r="I145" s="29"/>
    </row>
    <row r="146" spans="1:9">
      <c r="A146" s="28"/>
      <c r="C146" s="276"/>
      <c r="D146" s="277"/>
      <c r="E146" s="244"/>
      <c r="F146" s="29"/>
      <c r="G146" s="29"/>
      <c r="H146" s="29"/>
      <c r="I146" s="29"/>
    </row>
    <row r="147" spans="1:9">
      <c r="A147" s="28"/>
      <c r="C147" s="276"/>
      <c r="D147" s="277"/>
      <c r="E147" s="244"/>
      <c r="F147" s="29"/>
      <c r="G147" s="29"/>
      <c r="H147" s="29"/>
      <c r="I147" s="29"/>
    </row>
    <row r="148" spans="1:9">
      <c r="A148" s="28"/>
      <c r="C148" s="276"/>
      <c r="D148" s="277"/>
      <c r="E148" s="244"/>
      <c r="F148" s="29"/>
      <c r="G148" s="29"/>
      <c r="H148" s="29"/>
      <c r="I148" s="29"/>
    </row>
    <row r="149" spans="1:9">
      <c r="A149" s="28"/>
      <c r="C149" s="276"/>
      <c r="D149" s="277"/>
      <c r="E149" s="244"/>
      <c r="F149" s="29"/>
      <c r="G149" s="29"/>
      <c r="H149" s="29"/>
      <c r="I149" s="29"/>
    </row>
    <row r="150" spans="1:9">
      <c r="A150" s="28"/>
      <c r="C150" s="276"/>
      <c r="D150" s="277"/>
      <c r="E150" s="244"/>
      <c r="F150" s="29"/>
      <c r="G150" s="29"/>
      <c r="H150" s="29"/>
      <c r="I150" s="29"/>
    </row>
    <row r="151" spans="1:9">
      <c r="A151" s="28"/>
      <c r="C151" s="276"/>
      <c r="D151" s="277"/>
      <c r="E151" s="244"/>
      <c r="F151" s="29"/>
      <c r="G151" s="29"/>
      <c r="H151" s="29"/>
      <c r="I151" s="29"/>
    </row>
    <row r="152" spans="1:9">
      <c r="A152" s="28"/>
      <c r="C152" s="276"/>
      <c r="D152" s="277"/>
      <c r="E152" s="244"/>
      <c r="F152" s="29"/>
      <c r="G152" s="29"/>
      <c r="H152" s="29"/>
      <c r="I152" s="29"/>
    </row>
    <row r="153" spans="1:9">
      <c r="A153" s="28"/>
      <c r="C153" s="276"/>
      <c r="D153" s="277"/>
      <c r="E153" s="244"/>
      <c r="F153" s="29"/>
      <c r="G153" s="29"/>
      <c r="H153" s="29"/>
      <c r="I153" s="29"/>
    </row>
    <row r="154" spans="1:9">
      <c r="A154" s="28"/>
      <c r="C154" s="276"/>
      <c r="D154" s="277"/>
      <c r="E154" s="244"/>
      <c r="F154" s="29"/>
      <c r="G154" s="29"/>
      <c r="H154" s="29"/>
      <c r="I154" s="29"/>
    </row>
    <row r="155" spans="1:9">
      <c r="A155" s="28"/>
      <c r="C155" s="276"/>
      <c r="D155" s="277"/>
      <c r="E155" s="244"/>
      <c r="F155" s="29"/>
      <c r="G155" s="29"/>
      <c r="H155" s="29"/>
      <c r="I155" s="29"/>
    </row>
    <row r="156" spans="1:9">
      <c r="A156" s="28"/>
      <c r="C156" s="276"/>
      <c r="D156" s="277"/>
      <c r="E156" s="244"/>
      <c r="F156" s="29"/>
      <c r="G156" s="29"/>
      <c r="H156" s="29"/>
      <c r="I156" s="29"/>
    </row>
    <row r="157" spans="1:9">
      <c r="A157" s="28"/>
      <c r="C157" s="276"/>
      <c r="D157" s="277"/>
      <c r="E157" s="244"/>
      <c r="F157" s="29"/>
      <c r="G157" s="29"/>
      <c r="H157" s="29"/>
      <c r="I157" s="29"/>
    </row>
    <row r="158" spans="1:9">
      <c r="A158" s="28"/>
      <c r="C158" s="276"/>
      <c r="D158" s="277"/>
      <c r="E158" s="244"/>
      <c r="F158" s="29"/>
      <c r="G158" s="29"/>
      <c r="H158" s="29"/>
      <c r="I158" s="29"/>
    </row>
    <row r="159" spans="1:9">
      <c r="A159" s="28"/>
      <c r="C159" s="276"/>
      <c r="D159" s="277"/>
      <c r="E159" s="244"/>
      <c r="F159" s="29"/>
      <c r="G159" s="29"/>
      <c r="H159" s="29"/>
      <c r="I159" s="29"/>
    </row>
    <row r="160" spans="1:9">
      <c r="A160" s="28"/>
      <c r="C160" s="276"/>
      <c r="D160" s="277"/>
      <c r="E160" s="244"/>
      <c r="F160" s="29"/>
      <c r="G160" s="29"/>
      <c r="H160" s="29"/>
      <c r="I160" s="29"/>
    </row>
    <row r="161" spans="1:9">
      <c r="A161" s="28"/>
      <c r="C161" s="276"/>
      <c r="D161" s="277"/>
      <c r="E161" s="244"/>
      <c r="F161" s="29"/>
      <c r="G161" s="29"/>
      <c r="H161" s="29"/>
      <c r="I161" s="29"/>
    </row>
    <row r="162" spans="1:9">
      <c r="A162" s="28"/>
      <c r="C162" s="276"/>
      <c r="D162" s="277"/>
      <c r="E162" s="244"/>
      <c r="F162" s="29"/>
      <c r="G162" s="29"/>
      <c r="H162" s="29"/>
      <c r="I162" s="29"/>
    </row>
    <row r="163" spans="1:9">
      <c r="A163" s="28"/>
      <c r="C163" s="276"/>
      <c r="D163" s="277"/>
      <c r="E163" s="244"/>
      <c r="F163" s="29"/>
      <c r="G163" s="29"/>
      <c r="H163" s="29"/>
      <c r="I163" s="29"/>
    </row>
    <row r="164" spans="1:9">
      <c r="A164" s="28"/>
      <c r="C164" s="276"/>
      <c r="D164" s="277"/>
      <c r="E164" s="244"/>
      <c r="F164" s="29"/>
      <c r="G164" s="29"/>
      <c r="H164" s="29"/>
      <c r="I164" s="29"/>
    </row>
    <row r="165" spans="1:9">
      <c r="A165" s="51"/>
    </row>
    <row r="166" spans="1:9">
      <c r="A166" s="51"/>
    </row>
    <row r="167" spans="1:9">
      <c r="A167" s="51"/>
    </row>
    <row r="168" spans="1:9">
      <c r="A168" s="51"/>
    </row>
    <row r="169" spans="1:9">
      <c r="A169" s="51"/>
    </row>
    <row r="170" spans="1:9">
      <c r="A170" s="51"/>
    </row>
    <row r="171" spans="1:9">
      <c r="A171" s="51"/>
    </row>
    <row r="172" spans="1:9">
      <c r="A172" s="51"/>
    </row>
    <row r="173" spans="1:9">
      <c r="A173" s="51"/>
    </row>
    <row r="174" spans="1:9">
      <c r="A174" s="51"/>
    </row>
    <row r="175" spans="1:9">
      <c r="A175" s="51"/>
    </row>
    <row r="176" spans="1:9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  <row r="183" spans="1:1">
      <c r="A183" s="51"/>
    </row>
    <row r="184" spans="1:1">
      <c r="A184" s="51"/>
    </row>
    <row r="185" spans="1:1">
      <c r="A185" s="51"/>
    </row>
    <row r="186" spans="1:1">
      <c r="A186" s="51"/>
    </row>
    <row r="187" spans="1:1">
      <c r="A187" s="51"/>
    </row>
    <row r="188" spans="1:1">
      <c r="A188" s="51"/>
    </row>
    <row r="189" spans="1:1">
      <c r="A189" s="51"/>
    </row>
    <row r="190" spans="1:1">
      <c r="A190" s="51"/>
    </row>
    <row r="191" spans="1:1">
      <c r="A191" s="51"/>
    </row>
    <row r="192" spans="1:1">
      <c r="A192" s="51"/>
    </row>
    <row r="193" spans="1:1">
      <c r="A193" s="51"/>
    </row>
    <row r="194" spans="1:1">
      <c r="A194" s="51"/>
    </row>
    <row r="195" spans="1:1">
      <c r="A195" s="51"/>
    </row>
    <row r="196" spans="1:1">
      <c r="A196" s="51"/>
    </row>
    <row r="197" spans="1:1">
      <c r="A197" s="51"/>
    </row>
    <row r="198" spans="1:1">
      <c r="A198" s="51"/>
    </row>
    <row r="199" spans="1:1">
      <c r="A199" s="51"/>
    </row>
    <row r="200" spans="1:1">
      <c r="A200" s="51"/>
    </row>
    <row r="201" spans="1:1">
      <c r="A201" s="51"/>
    </row>
    <row r="202" spans="1:1">
      <c r="A202" s="51"/>
    </row>
    <row r="203" spans="1:1">
      <c r="A203" s="51"/>
    </row>
    <row r="204" spans="1:1">
      <c r="A204" s="51"/>
    </row>
    <row r="205" spans="1:1">
      <c r="A205" s="51"/>
    </row>
    <row r="206" spans="1:1">
      <c r="A206" s="51"/>
    </row>
    <row r="207" spans="1:1">
      <c r="A207" s="51"/>
    </row>
    <row r="208" spans="1:1">
      <c r="A208" s="51"/>
    </row>
    <row r="209" spans="1:1">
      <c r="A209" s="51"/>
    </row>
    <row r="210" spans="1:1">
      <c r="A210" s="51"/>
    </row>
    <row r="211" spans="1:1">
      <c r="A211" s="51"/>
    </row>
    <row r="212" spans="1:1">
      <c r="A212" s="51"/>
    </row>
    <row r="213" spans="1:1">
      <c r="A213" s="51"/>
    </row>
    <row r="214" spans="1:1">
      <c r="A214" s="51"/>
    </row>
    <row r="215" spans="1:1">
      <c r="A215" s="51"/>
    </row>
    <row r="216" spans="1:1">
      <c r="A216" s="51"/>
    </row>
    <row r="217" spans="1:1">
      <c r="A217" s="51"/>
    </row>
    <row r="218" spans="1:1">
      <c r="A218" s="51"/>
    </row>
    <row r="219" spans="1:1">
      <c r="A219" s="51"/>
    </row>
    <row r="220" spans="1:1">
      <c r="A220" s="51"/>
    </row>
    <row r="221" spans="1:1">
      <c r="A221" s="51"/>
    </row>
    <row r="222" spans="1:1">
      <c r="A222" s="51"/>
    </row>
    <row r="223" spans="1:1">
      <c r="A223" s="51"/>
    </row>
    <row r="224" spans="1:1">
      <c r="A224" s="51"/>
    </row>
    <row r="225" spans="1:1">
      <c r="A225" s="51"/>
    </row>
    <row r="226" spans="1:1">
      <c r="A226" s="51"/>
    </row>
    <row r="227" spans="1:1">
      <c r="A227" s="51"/>
    </row>
    <row r="228" spans="1:1">
      <c r="A228" s="51"/>
    </row>
    <row r="229" spans="1:1">
      <c r="A229" s="51"/>
    </row>
    <row r="230" spans="1:1">
      <c r="A230" s="51"/>
    </row>
    <row r="231" spans="1:1">
      <c r="A231" s="51"/>
    </row>
    <row r="232" spans="1:1">
      <c r="A232" s="51"/>
    </row>
    <row r="233" spans="1:1">
      <c r="A233" s="51"/>
    </row>
    <row r="234" spans="1:1">
      <c r="A234" s="51"/>
    </row>
    <row r="235" spans="1:1">
      <c r="A235" s="51"/>
    </row>
    <row r="236" spans="1:1">
      <c r="A236" s="51"/>
    </row>
    <row r="237" spans="1:1">
      <c r="A237" s="51"/>
    </row>
    <row r="238" spans="1:1">
      <c r="A238" s="51"/>
    </row>
    <row r="239" spans="1:1">
      <c r="A239" s="51"/>
    </row>
    <row r="240" spans="1:1">
      <c r="A240" s="51"/>
    </row>
    <row r="241" spans="1:1">
      <c r="A241" s="51"/>
    </row>
    <row r="242" spans="1:1">
      <c r="A242" s="51"/>
    </row>
    <row r="243" spans="1:1">
      <c r="A243" s="51"/>
    </row>
    <row r="244" spans="1:1">
      <c r="A244" s="51"/>
    </row>
    <row r="245" spans="1:1">
      <c r="A245" s="51"/>
    </row>
    <row r="246" spans="1:1">
      <c r="A246" s="51"/>
    </row>
    <row r="247" spans="1:1">
      <c r="A247" s="51"/>
    </row>
    <row r="248" spans="1:1">
      <c r="A248" s="51"/>
    </row>
    <row r="249" spans="1:1">
      <c r="A249" s="51"/>
    </row>
    <row r="250" spans="1:1">
      <c r="A250" s="51"/>
    </row>
    <row r="251" spans="1:1">
      <c r="A251" s="51"/>
    </row>
    <row r="252" spans="1:1">
      <c r="A252" s="51"/>
    </row>
    <row r="253" spans="1:1">
      <c r="A253" s="51"/>
    </row>
    <row r="254" spans="1:1">
      <c r="A254" s="51"/>
    </row>
    <row r="255" spans="1:1">
      <c r="A255" s="51"/>
    </row>
    <row r="256" spans="1:1">
      <c r="A256" s="51"/>
    </row>
    <row r="257" spans="1:1">
      <c r="A257" s="51"/>
    </row>
    <row r="258" spans="1:1">
      <c r="A258" s="51"/>
    </row>
    <row r="259" spans="1:1">
      <c r="A259" s="51"/>
    </row>
    <row r="260" spans="1:1">
      <c r="A260" s="51"/>
    </row>
    <row r="261" spans="1:1">
      <c r="A261" s="51"/>
    </row>
    <row r="262" spans="1:1">
      <c r="A262" s="51"/>
    </row>
    <row r="263" spans="1:1">
      <c r="A263" s="51"/>
    </row>
    <row r="264" spans="1:1">
      <c r="A264" s="51"/>
    </row>
    <row r="265" spans="1:1">
      <c r="A265" s="51"/>
    </row>
    <row r="266" spans="1:1">
      <c r="A266" s="51"/>
    </row>
    <row r="267" spans="1:1">
      <c r="A267" s="51"/>
    </row>
    <row r="268" spans="1:1">
      <c r="A268" s="51"/>
    </row>
    <row r="269" spans="1:1">
      <c r="A269" s="51"/>
    </row>
    <row r="270" spans="1:1">
      <c r="A270" s="51"/>
    </row>
    <row r="271" spans="1:1">
      <c r="A271" s="51"/>
    </row>
    <row r="272" spans="1:1">
      <c r="A272" s="51"/>
    </row>
    <row r="273" spans="1:1">
      <c r="A273" s="51"/>
    </row>
    <row r="274" spans="1:1">
      <c r="A274" s="51"/>
    </row>
    <row r="275" spans="1:1">
      <c r="A275" s="51"/>
    </row>
    <row r="276" spans="1:1">
      <c r="A276" s="51"/>
    </row>
    <row r="277" spans="1:1">
      <c r="A277" s="51"/>
    </row>
    <row r="278" spans="1:1">
      <c r="A278" s="51"/>
    </row>
    <row r="279" spans="1:1">
      <c r="A279" s="51"/>
    </row>
    <row r="280" spans="1:1">
      <c r="A280" s="51"/>
    </row>
    <row r="281" spans="1:1">
      <c r="A281" s="51"/>
    </row>
    <row r="282" spans="1:1">
      <c r="A282" s="51"/>
    </row>
    <row r="283" spans="1:1">
      <c r="A283" s="51"/>
    </row>
    <row r="284" spans="1:1">
      <c r="A284" s="51"/>
    </row>
    <row r="285" spans="1:1">
      <c r="A285" s="51"/>
    </row>
    <row r="286" spans="1:1">
      <c r="A286" s="51"/>
    </row>
    <row r="287" spans="1:1">
      <c r="A287" s="51"/>
    </row>
    <row r="288" spans="1:1">
      <c r="A288" s="51"/>
    </row>
    <row r="289" spans="1:1">
      <c r="A289" s="51"/>
    </row>
    <row r="290" spans="1:1">
      <c r="A290" s="51"/>
    </row>
    <row r="291" spans="1:1">
      <c r="A291" s="51"/>
    </row>
    <row r="292" spans="1:1">
      <c r="A292" s="51"/>
    </row>
    <row r="293" spans="1:1">
      <c r="A293" s="51"/>
    </row>
    <row r="294" spans="1:1">
      <c r="A294" s="51"/>
    </row>
    <row r="295" spans="1:1">
      <c r="A295" s="51"/>
    </row>
    <row r="296" spans="1:1">
      <c r="A296" s="51"/>
    </row>
    <row r="297" spans="1:1">
      <c r="A297" s="51"/>
    </row>
    <row r="298" spans="1:1">
      <c r="A298" s="51"/>
    </row>
    <row r="299" spans="1:1">
      <c r="A299" s="51"/>
    </row>
    <row r="300" spans="1:1">
      <c r="A300" s="51"/>
    </row>
    <row r="301" spans="1:1">
      <c r="A301" s="51"/>
    </row>
    <row r="302" spans="1:1">
      <c r="A302" s="51"/>
    </row>
    <row r="303" spans="1:1">
      <c r="A303" s="51"/>
    </row>
    <row r="304" spans="1:1">
      <c r="A304" s="51"/>
    </row>
    <row r="305" spans="1:1">
      <c r="A305" s="51"/>
    </row>
    <row r="306" spans="1:1">
      <c r="A306" s="51"/>
    </row>
    <row r="307" spans="1:1">
      <c r="A307" s="51"/>
    </row>
    <row r="308" spans="1:1">
      <c r="A308" s="51"/>
    </row>
    <row r="309" spans="1:1">
      <c r="A309" s="51"/>
    </row>
    <row r="310" spans="1:1">
      <c r="A310" s="51"/>
    </row>
    <row r="311" spans="1:1">
      <c r="A311" s="51"/>
    </row>
    <row r="312" spans="1:1">
      <c r="A312" s="51"/>
    </row>
    <row r="313" spans="1:1">
      <c r="A313" s="51"/>
    </row>
    <row r="314" spans="1:1">
      <c r="A314" s="51"/>
    </row>
    <row r="315" spans="1:1">
      <c r="A315" s="51"/>
    </row>
    <row r="316" spans="1:1">
      <c r="A316" s="51"/>
    </row>
    <row r="317" spans="1:1">
      <c r="A317" s="51"/>
    </row>
    <row r="318" spans="1:1">
      <c r="A318" s="51"/>
    </row>
    <row r="319" spans="1:1">
      <c r="A319" s="51"/>
    </row>
    <row r="320" spans="1:1">
      <c r="A320" s="51"/>
    </row>
    <row r="321" spans="1:1">
      <c r="A321" s="51"/>
    </row>
    <row r="322" spans="1:1">
      <c r="A322" s="51"/>
    </row>
    <row r="323" spans="1:1">
      <c r="A323" s="51"/>
    </row>
    <row r="324" spans="1:1">
      <c r="A324" s="51"/>
    </row>
    <row r="325" spans="1:1">
      <c r="A325" s="51"/>
    </row>
    <row r="326" spans="1:1">
      <c r="A326" s="51"/>
    </row>
    <row r="327" spans="1:1">
      <c r="A327" s="51"/>
    </row>
    <row r="328" spans="1:1">
      <c r="A328" s="51"/>
    </row>
    <row r="329" spans="1:1">
      <c r="A329" s="51"/>
    </row>
    <row r="330" spans="1:1">
      <c r="A330" s="51"/>
    </row>
    <row r="331" spans="1:1">
      <c r="A331" s="51"/>
    </row>
  </sheetData>
  <sheetProtection formatCells="0" formatColumns="0" formatRows="0" insertRows="0" deleteRows="0"/>
  <mergeCells count="16">
    <mergeCell ref="A1:J1"/>
    <mergeCell ref="C106:E106"/>
    <mergeCell ref="G106:I106"/>
    <mergeCell ref="J3:J4"/>
    <mergeCell ref="A6:J6"/>
    <mergeCell ref="A80:J80"/>
    <mergeCell ref="A86:J86"/>
    <mergeCell ref="B3:B4"/>
    <mergeCell ref="A3:A4"/>
    <mergeCell ref="C3:C4"/>
    <mergeCell ref="F3:I3"/>
    <mergeCell ref="A93:J93"/>
    <mergeCell ref="C105:E105"/>
    <mergeCell ref="G105:I105"/>
    <mergeCell ref="E3:E4"/>
    <mergeCell ref="D3:D4"/>
  </mergeCells>
  <phoneticPr fontId="0" type="noConversion"/>
  <pageMargins left="0.78740157480314965" right="0.39370078740157483" top="0.59055118110236227" bottom="0.59055118110236227" header="0.19685039370078741" footer="0.11811023622047245"/>
  <pageSetup paperSize="9" scale="50" orientation="portrait" verticalDpi="300" r:id="rId1"/>
  <headerFooter alignWithMargins="0">
    <oddHeader xml:space="preserve">&amp;C&amp;"Times New Roman,обычный"&amp;16 
&amp;18 5&amp;R&amp;"Times New Roman,обычный"&amp;14 
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M191"/>
  <sheetViews>
    <sheetView view="pageBreakPreview" zoomScale="75" zoomScaleNormal="65" zoomScaleSheetLayoutView="50" workbookViewId="0">
      <pane ySplit="5" topLeftCell="A27" activePane="bottomLeft" state="frozen"/>
      <selection pane="bottomLeft" activeCell="C7" sqref="C7"/>
    </sheetView>
  </sheetViews>
  <sheetFormatPr defaultColWidth="77.85546875" defaultRowHeight="18.75" outlineLevelRow="1"/>
  <cols>
    <col min="1" max="1" width="61.28515625" style="46" customWidth="1"/>
    <col min="2" max="2" width="15.28515625" style="49" customWidth="1"/>
    <col min="3" max="3" width="13" style="49" customWidth="1"/>
    <col min="4" max="4" width="14.85546875" style="234" customWidth="1"/>
    <col min="5" max="5" width="13.42578125" style="234" customWidth="1"/>
    <col min="6" max="6" width="13.7109375" style="46" customWidth="1"/>
    <col min="7" max="7" width="13.28515625" style="46" customWidth="1"/>
    <col min="8" max="8" width="13" style="46" customWidth="1"/>
    <col min="9" max="9" width="11.7109375" style="46" customWidth="1"/>
    <col min="10" max="10" width="10" style="46" customWidth="1"/>
    <col min="11" max="11" width="9.5703125" style="46" customWidth="1"/>
    <col min="12" max="254" width="9.140625" style="46" customWidth="1"/>
    <col min="255" max="16384" width="77.85546875" style="46"/>
  </cols>
  <sheetData>
    <row r="1" spans="1:9">
      <c r="A1" s="332" t="s">
        <v>368</v>
      </c>
      <c r="B1" s="332"/>
      <c r="C1" s="332"/>
      <c r="D1" s="332"/>
      <c r="E1" s="332"/>
      <c r="F1" s="332"/>
      <c r="G1" s="332"/>
      <c r="H1" s="332"/>
      <c r="I1" s="332"/>
    </row>
    <row r="2" spans="1:9" outlineLevel="1">
      <c r="A2" s="45"/>
      <c r="B2" s="54"/>
      <c r="C2" s="45"/>
      <c r="D2" s="231"/>
      <c r="E2" s="231"/>
      <c r="F2" s="45"/>
      <c r="G2" s="45"/>
      <c r="H2" s="45"/>
      <c r="I2" s="45"/>
    </row>
    <row r="3" spans="1:9" ht="38.25" customHeight="1">
      <c r="A3" s="323" t="s">
        <v>269</v>
      </c>
      <c r="B3" s="333" t="s">
        <v>12</v>
      </c>
      <c r="C3" s="333" t="s">
        <v>24</v>
      </c>
      <c r="D3" s="334" t="s">
        <v>32</v>
      </c>
      <c r="E3" s="326" t="s">
        <v>175</v>
      </c>
      <c r="F3" s="319" t="s">
        <v>364</v>
      </c>
      <c r="G3" s="319"/>
      <c r="H3" s="319"/>
      <c r="I3" s="319"/>
    </row>
    <row r="4" spans="1:9" ht="50.25" customHeight="1">
      <c r="A4" s="323"/>
      <c r="B4" s="333"/>
      <c r="C4" s="333"/>
      <c r="D4" s="334"/>
      <c r="E4" s="326"/>
      <c r="F4" s="13" t="s">
        <v>365</v>
      </c>
      <c r="G4" s="13" t="s">
        <v>366</v>
      </c>
      <c r="H4" s="13" t="s">
        <v>367</v>
      </c>
      <c r="I4" s="13" t="s">
        <v>79</v>
      </c>
    </row>
    <row r="5" spans="1:9" ht="18" customHeight="1">
      <c r="A5" s="52">
        <v>1</v>
      </c>
      <c r="B5" s="53">
        <v>2</v>
      </c>
      <c r="C5" s="53">
        <v>3</v>
      </c>
      <c r="D5" s="232">
        <v>4</v>
      </c>
      <c r="E5" s="232">
        <v>5</v>
      </c>
      <c r="F5" s="7">
        <v>6</v>
      </c>
      <c r="G5" s="7">
        <v>7</v>
      </c>
      <c r="H5" s="7">
        <v>8</v>
      </c>
      <c r="I5" s="7">
        <v>9</v>
      </c>
    </row>
    <row r="6" spans="1:9" ht="24.95" customHeight="1">
      <c r="A6" s="328" t="s">
        <v>159</v>
      </c>
      <c r="B6" s="329"/>
      <c r="C6" s="329"/>
      <c r="D6" s="329"/>
      <c r="E6" s="329"/>
      <c r="F6" s="329"/>
      <c r="G6" s="329"/>
      <c r="H6" s="329"/>
      <c r="I6" s="330"/>
    </row>
    <row r="7" spans="1:9" ht="42.75" customHeight="1">
      <c r="A7" s="59" t="s">
        <v>55</v>
      </c>
      <c r="B7" s="7">
        <v>2000</v>
      </c>
      <c r="C7" s="256">
        <v>-232</v>
      </c>
      <c r="D7" s="256">
        <v>-243</v>
      </c>
      <c r="E7" s="206">
        <f>C17</f>
        <v>-243</v>
      </c>
      <c r="F7" s="206">
        <f>E17</f>
        <v>-241</v>
      </c>
      <c r="G7" s="206">
        <f>E17</f>
        <v>-241</v>
      </c>
      <c r="H7" s="206">
        <f>E17</f>
        <v>-241</v>
      </c>
      <c r="I7" s="206">
        <f>E17</f>
        <v>-241</v>
      </c>
    </row>
    <row r="8" spans="1:9" ht="37.5">
      <c r="A8" s="47" t="s">
        <v>216</v>
      </c>
      <c r="B8" s="7">
        <v>2010</v>
      </c>
      <c r="C8" s="206">
        <f>C9+C10</f>
        <v>0</v>
      </c>
      <c r="D8" s="263">
        <f>D9+D10</f>
        <v>1</v>
      </c>
      <c r="E8" s="206">
        <f t="shared" ref="E8:I8" si="0">E9+E10</f>
        <v>1</v>
      </c>
      <c r="F8" s="206">
        <f t="shared" si="0"/>
        <v>-1</v>
      </c>
      <c r="G8" s="206">
        <f t="shared" si="0"/>
        <v>-1</v>
      </c>
      <c r="H8" s="206">
        <f t="shared" si="0"/>
        <v>-1</v>
      </c>
      <c r="I8" s="206">
        <f t="shared" si="0"/>
        <v>-1</v>
      </c>
    </row>
    <row r="9" spans="1:9" ht="42.75" customHeight="1">
      <c r="A9" s="8" t="s">
        <v>370</v>
      </c>
      <c r="B9" s="7">
        <v>2011</v>
      </c>
      <c r="C9" s="158">
        <v>0</v>
      </c>
      <c r="D9" s="256">
        <v>0</v>
      </c>
      <c r="E9" s="194">
        <v>0</v>
      </c>
      <c r="F9" s="194">
        <f>ROUND('I. Фін результат'!F76*15%,0)</f>
        <v>0</v>
      </c>
      <c r="G9" s="194">
        <f>F9</f>
        <v>0</v>
      </c>
      <c r="H9" s="194">
        <f>ROUND('I. Фін результат'!H76*15%,0)</f>
        <v>0</v>
      </c>
      <c r="I9" s="194">
        <f>H9</f>
        <v>0</v>
      </c>
    </row>
    <row r="10" spans="1:9" ht="93.75">
      <c r="A10" s="8" t="s">
        <v>371</v>
      </c>
      <c r="B10" s="7">
        <v>2012</v>
      </c>
      <c r="C10" s="158">
        <v>0</v>
      </c>
      <c r="D10" s="256">
        <v>1</v>
      </c>
      <c r="E10" s="194">
        <v>1</v>
      </c>
      <c r="F10" s="194">
        <f>ROUND(('I. Фін результат'!F76-'ІІ. Розр. з бюджетом'!F9)*60%,0)</f>
        <v>-1</v>
      </c>
      <c r="G10" s="194">
        <f>F10</f>
        <v>-1</v>
      </c>
      <c r="H10" s="194">
        <f>ROUND(('I. Фін результат'!H76-'ІІ. Розр. з бюджетом'!H9)*60%,0)</f>
        <v>-1</v>
      </c>
      <c r="I10" s="194">
        <f>H10</f>
        <v>-1</v>
      </c>
    </row>
    <row r="11" spans="1:9" ht="20.100000000000001" customHeight="1">
      <c r="A11" s="8" t="s">
        <v>202</v>
      </c>
      <c r="B11" s="7">
        <v>2020</v>
      </c>
      <c r="C11" s="158"/>
      <c r="D11" s="194"/>
      <c r="E11" s="194"/>
      <c r="F11" s="158"/>
      <c r="G11" s="158"/>
      <c r="H11" s="158"/>
      <c r="I11" s="158"/>
    </row>
    <row r="12" spans="1:9" s="48" customFormat="1" ht="20.100000000000001" customHeight="1">
      <c r="A12" s="47" t="s">
        <v>68</v>
      </c>
      <c r="B12" s="7">
        <v>2030</v>
      </c>
      <c r="C12" s="158"/>
      <c r="D12" s="194"/>
      <c r="E12" s="194"/>
      <c r="F12" s="158"/>
      <c r="G12" s="158"/>
      <c r="H12" s="158"/>
      <c r="I12" s="158"/>
    </row>
    <row r="13" spans="1:9" ht="37.5">
      <c r="A13" s="47" t="s">
        <v>394</v>
      </c>
      <c r="B13" s="7">
        <v>2031</v>
      </c>
      <c r="C13" s="158"/>
      <c r="D13" s="194"/>
      <c r="E13" s="194"/>
      <c r="F13" s="158"/>
      <c r="G13" s="158"/>
      <c r="H13" s="158"/>
      <c r="I13" s="158"/>
    </row>
    <row r="14" spans="1:9" ht="20.100000000000001" customHeight="1">
      <c r="A14" s="47" t="s">
        <v>19</v>
      </c>
      <c r="B14" s="7">
        <v>2040</v>
      </c>
      <c r="C14" s="158"/>
      <c r="D14" s="194"/>
      <c r="E14" s="194"/>
      <c r="F14" s="158"/>
      <c r="G14" s="158"/>
      <c r="H14" s="158"/>
      <c r="I14" s="158"/>
    </row>
    <row r="15" spans="1:9" ht="20.100000000000001" customHeight="1">
      <c r="A15" s="154" t="s">
        <v>121</v>
      </c>
      <c r="B15" s="7">
        <v>2050</v>
      </c>
      <c r="C15" s="158"/>
      <c r="D15" s="194"/>
      <c r="E15" s="194"/>
      <c r="F15" s="158"/>
      <c r="G15" s="158"/>
      <c r="H15" s="158"/>
      <c r="I15" s="158"/>
    </row>
    <row r="16" spans="1:9" ht="20.100000000000001" customHeight="1">
      <c r="A16" s="154" t="s">
        <v>122</v>
      </c>
      <c r="B16" s="7">
        <v>2060</v>
      </c>
      <c r="C16" s="158"/>
      <c r="D16" s="194"/>
      <c r="E16" s="194"/>
      <c r="F16" s="158"/>
      <c r="G16" s="158"/>
      <c r="H16" s="158"/>
      <c r="I16" s="158"/>
    </row>
    <row r="17" spans="1:13" ht="42.75" customHeight="1">
      <c r="A17" s="59" t="s">
        <v>56</v>
      </c>
      <c r="B17" s="98">
        <v>2070</v>
      </c>
      <c r="C17" s="262">
        <v>-243</v>
      </c>
      <c r="D17" s="262">
        <v>-241</v>
      </c>
      <c r="E17" s="207">
        <v>-241</v>
      </c>
      <c r="F17" s="207">
        <f>'I. Фін результат'!F76+'ІІ. Розр. з бюджетом'!F7-('ІІ. Розр. з бюджетом'!F8+'ІІ. Розр. з бюджетом'!F11+'ІІ. Розр. з бюджетом'!F12+'ІІ. Розр. з бюджетом'!F14+'ІІ. Розр. з бюджетом'!F15+'ІІ. Розр. з бюджетом'!F16)</f>
        <v>-241</v>
      </c>
      <c r="G17" s="207">
        <f>'I. Фін результат'!G76+'ІІ. Розр. з бюджетом'!G7-('ІІ. Розр. з бюджетом'!G8+'ІІ. Розр. з бюджетом'!G11+'ІІ. Розр. з бюджетом'!G12+'ІІ. Розр. з бюджетом'!G14+'ІІ. Розр. з бюджетом'!G15+'ІІ. Розр. з бюджетом'!G16)</f>
        <v>-239</v>
      </c>
      <c r="H17" s="207">
        <f>'I. Фін результат'!H76+'ІІ. Розр. з бюджетом'!H7-('ІІ. Розр. з бюджетом'!H8+'ІІ. Розр. з бюджетом'!H11+'ІІ. Розр. з бюджетом'!H12+'ІІ. Розр. з бюджетом'!H14+'ІІ. Розр. з бюджетом'!H15+'ІІ. Розр. з бюджетом'!H16)</f>
        <v>-241</v>
      </c>
      <c r="I17" s="207">
        <f>'I. Фін результат'!I76+'ІІ. Розр. з бюджетом'!I7-('ІІ. Розр. з бюджетом'!I8+'ІІ. Розр. з бюджетом'!I11+'ІІ. Розр. з бюджетом'!I12+'ІІ. Розр. з бюджетом'!I14+'ІІ. Розр. з бюджетом'!I15+'ІІ. Розр. з бюджетом'!I16)</f>
        <v>-239</v>
      </c>
      <c r="J17" s="204"/>
    </row>
    <row r="18" spans="1:13" ht="39.75" customHeight="1">
      <c r="A18" s="328" t="s">
        <v>160</v>
      </c>
      <c r="B18" s="329"/>
      <c r="C18" s="329"/>
      <c r="D18" s="329"/>
      <c r="E18" s="329"/>
      <c r="F18" s="329"/>
      <c r="G18" s="329"/>
      <c r="H18" s="329"/>
      <c r="I18" s="330"/>
    </row>
    <row r="19" spans="1:13" ht="37.5">
      <c r="A19" s="154" t="s">
        <v>216</v>
      </c>
      <c r="B19" s="153">
        <v>2100</v>
      </c>
      <c r="C19" s="206">
        <f t="shared" ref="C19:I19" si="1">SUM(C20:C21)</f>
        <v>0</v>
      </c>
      <c r="D19" s="206">
        <f t="shared" si="1"/>
        <v>1</v>
      </c>
      <c r="E19" s="206">
        <f t="shared" si="1"/>
        <v>1</v>
      </c>
      <c r="F19" s="206">
        <f t="shared" si="1"/>
        <v>-1</v>
      </c>
      <c r="G19" s="206">
        <f t="shared" si="1"/>
        <v>-1</v>
      </c>
      <c r="H19" s="206">
        <f t="shared" si="1"/>
        <v>-1</v>
      </c>
      <c r="I19" s="206">
        <f t="shared" si="1"/>
        <v>-1</v>
      </c>
    </row>
    <row r="20" spans="1:13" ht="42.75" customHeight="1">
      <c r="A20" s="77" t="s">
        <v>370</v>
      </c>
      <c r="B20" s="153">
        <v>2101</v>
      </c>
      <c r="C20" s="206">
        <f>C9</f>
        <v>0</v>
      </c>
      <c r="D20" s="206">
        <f t="shared" ref="D20:I20" si="2">D9</f>
        <v>0</v>
      </c>
      <c r="E20" s="206">
        <f t="shared" si="2"/>
        <v>0</v>
      </c>
      <c r="F20" s="206">
        <f t="shared" si="2"/>
        <v>0</v>
      </c>
      <c r="G20" s="206">
        <f t="shared" si="2"/>
        <v>0</v>
      </c>
      <c r="H20" s="206">
        <f t="shared" si="2"/>
        <v>0</v>
      </c>
      <c r="I20" s="206">
        <f t="shared" si="2"/>
        <v>0</v>
      </c>
    </row>
    <row r="21" spans="1:13" ht="93.75">
      <c r="A21" s="77" t="s">
        <v>371</v>
      </c>
      <c r="B21" s="153">
        <v>2102</v>
      </c>
      <c r="C21" s="206">
        <f>C10</f>
        <v>0</v>
      </c>
      <c r="D21" s="206">
        <f t="shared" ref="D21:I21" si="3">D10</f>
        <v>1</v>
      </c>
      <c r="E21" s="206">
        <f t="shared" si="3"/>
        <v>1</v>
      </c>
      <c r="F21" s="206">
        <f>F10</f>
        <v>-1</v>
      </c>
      <c r="G21" s="206">
        <f t="shared" si="3"/>
        <v>-1</v>
      </c>
      <c r="H21" s="206">
        <f t="shared" si="3"/>
        <v>-1</v>
      </c>
      <c r="I21" s="206">
        <f t="shared" si="3"/>
        <v>-1</v>
      </c>
    </row>
    <row r="22" spans="1:13" s="48" customFormat="1" ht="20.100000000000001" customHeight="1">
      <c r="A22" s="154" t="s">
        <v>162</v>
      </c>
      <c r="B22" s="155">
        <v>2110</v>
      </c>
      <c r="C22" s="206">
        <f>'I. Фін результат'!C74</f>
        <v>0</v>
      </c>
      <c r="D22" s="206">
        <f>'I. Фін результат'!D74</f>
        <v>1</v>
      </c>
      <c r="E22" s="206">
        <f>'I. Фін результат'!E74</f>
        <v>1</v>
      </c>
      <c r="F22" s="206">
        <f>'I. Фін результат'!F74</f>
        <v>0</v>
      </c>
      <c r="G22" s="206">
        <f>'I. Фін результат'!G74</f>
        <v>0</v>
      </c>
      <c r="H22" s="206">
        <f>'I. Фін результат'!H74</f>
        <v>0</v>
      </c>
      <c r="I22" s="206">
        <f>'I. Фін результат'!I74</f>
        <v>0</v>
      </c>
    </row>
    <row r="23" spans="1:13" ht="56.25">
      <c r="A23" s="154" t="s">
        <v>335</v>
      </c>
      <c r="B23" s="155">
        <v>2120</v>
      </c>
      <c r="C23" s="158"/>
      <c r="D23" s="194"/>
      <c r="E23" s="194"/>
      <c r="F23" s="158"/>
      <c r="G23" s="158"/>
      <c r="H23" s="158"/>
      <c r="I23" s="158"/>
    </row>
    <row r="24" spans="1:13" ht="56.25">
      <c r="A24" s="154" t="s">
        <v>336</v>
      </c>
      <c r="B24" s="155">
        <v>2130</v>
      </c>
      <c r="C24" s="158"/>
      <c r="D24" s="194"/>
      <c r="E24" s="194"/>
      <c r="F24" s="158"/>
      <c r="G24" s="158"/>
      <c r="H24" s="158"/>
      <c r="I24" s="158"/>
    </row>
    <row r="25" spans="1:13" s="50" customFormat="1" ht="56.25">
      <c r="A25" s="156" t="s">
        <v>253</v>
      </c>
      <c r="B25" s="157">
        <v>2140</v>
      </c>
      <c r="C25" s="207">
        <f t="shared" ref="C25:H25" si="4">SUM(C26:C30,C33,C34)</f>
        <v>64</v>
      </c>
      <c r="D25" s="207">
        <v>70</v>
      </c>
      <c r="E25" s="207">
        <v>70</v>
      </c>
      <c r="F25" s="207">
        <f>SUM(F26:F30,F33,F34)</f>
        <v>26</v>
      </c>
      <c r="G25" s="207">
        <f t="shared" si="4"/>
        <v>48</v>
      </c>
      <c r="H25" s="207">
        <f t="shared" si="4"/>
        <v>74</v>
      </c>
      <c r="I25" s="207">
        <f>SUM(I26:I30,I33,I34)</f>
        <v>100</v>
      </c>
      <c r="J25" s="46"/>
    </row>
    <row r="26" spans="1:13" ht="20.100000000000001" customHeight="1">
      <c r="A26" s="154" t="s">
        <v>84</v>
      </c>
      <c r="B26" s="155">
        <v>2141</v>
      </c>
      <c r="C26" s="158"/>
      <c r="D26" s="194"/>
      <c r="E26" s="194"/>
      <c r="F26" s="158"/>
      <c r="G26" s="158"/>
      <c r="H26" s="158"/>
      <c r="I26" s="158"/>
    </row>
    <row r="27" spans="1:13" ht="20.100000000000001" customHeight="1">
      <c r="A27" s="154" t="s">
        <v>111</v>
      </c>
      <c r="B27" s="155">
        <v>2142</v>
      </c>
      <c r="C27" s="158"/>
      <c r="D27" s="194"/>
      <c r="E27" s="194"/>
      <c r="F27" s="158"/>
      <c r="G27" s="158"/>
      <c r="H27" s="158"/>
      <c r="I27" s="158"/>
    </row>
    <row r="28" spans="1:13" ht="20.100000000000001" customHeight="1">
      <c r="A28" s="154" t="s">
        <v>102</v>
      </c>
      <c r="B28" s="155">
        <v>2143</v>
      </c>
      <c r="C28" s="158"/>
      <c r="D28" s="194"/>
      <c r="E28" s="194"/>
      <c r="F28" s="158"/>
      <c r="G28" s="158"/>
      <c r="H28" s="158"/>
      <c r="I28" s="158"/>
    </row>
    <row r="29" spans="1:13" ht="20.100000000000001" customHeight="1">
      <c r="A29" s="154" t="s">
        <v>82</v>
      </c>
      <c r="B29" s="155">
        <v>2144</v>
      </c>
      <c r="C29" s="194">
        <v>59</v>
      </c>
      <c r="D29" s="194">
        <v>64</v>
      </c>
      <c r="E29" s="194">
        <v>64</v>
      </c>
      <c r="F29" s="194">
        <f>ROUND('I. Фін результат'!F97*18%,0)</f>
        <v>24</v>
      </c>
      <c r="G29" s="194">
        <f>ROUND('I. Фін результат'!G97*18%,0)</f>
        <v>44</v>
      </c>
      <c r="H29" s="194">
        <f>ROUND('I. Фін результат'!H97*18%,0)</f>
        <v>68</v>
      </c>
      <c r="I29" s="194">
        <f>ROUND('I. Фін результат'!I97*18%,0)</f>
        <v>92</v>
      </c>
      <c r="J29" s="197"/>
      <c r="K29" s="197"/>
      <c r="L29" s="197"/>
      <c r="M29" s="197"/>
    </row>
    <row r="30" spans="1:13" s="48" customFormat="1" ht="20.100000000000001" customHeight="1">
      <c r="A30" s="154" t="s">
        <v>182</v>
      </c>
      <c r="B30" s="155">
        <v>2145</v>
      </c>
      <c r="C30" s="194"/>
      <c r="D30" s="194"/>
      <c r="E30" s="194"/>
      <c r="F30" s="158"/>
      <c r="G30" s="158"/>
      <c r="H30" s="158"/>
      <c r="I30" s="158"/>
    </row>
    <row r="31" spans="1:13" ht="56.25">
      <c r="A31" s="154" t="s">
        <v>264</v>
      </c>
      <c r="B31" s="155" t="s">
        <v>231</v>
      </c>
      <c r="C31" s="194"/>
      <c r="D31" s="194"/>
      <c r="E31" s="194"/>
      <c r="F31" s="158"/>
      <c r="G31" s="158"/>
      <c r="H31" s="158"/>
      <c r="I31" s="158"/>
    </row>
    <row r="32" spans="1:13" ht="20.100000000000001" customHeight="1">
      <c r="A32" s="154" t="s">
        <v>20</v>
      </c>
      <c r="B32" s="155" t="s">
        <v>232</v>
      </c>
      <c r="C32" s="194"/>
      <c r="D32" s="194"/>
      <c r="E32" s="194"/>
      <c r="F32" s="158"/>
      <c r="G32" s="158"/>
      <c r="H32" s="158"/>
      <c r="I32" s="158"/>
    </row>
    <row r="33" spans="1:13" s="48" customFormat="1" ht="20.100000000000001" customHeight="1">
      <c r="A33" s="154" t="s">
        <v>123</v>
      </c>
      <c r="B33" s="155">
        <v>2146</v>
      </c>
      <c r="C33" s="194"/>
      <c r="D33" s="194"/>
      <c r="E33" s="194"/>
      <c r="F33" s="158"/>
      <c r="G33" s="158"/>
      <c r="H33" s="158"/>
      <c r="I33" s="158"/>
    </row>
    <row r="34" spans="1:13" ht="20.100000000000001" customHeight="1">
      <c r="A34" s="154" t="s">
        <v>90</v>
      </c>
      <c r="B34" s="155">
        <v>2147</v>
      </c>
      <c r="C34" s="194">
        <f>C35</f>
        <v>5</v>
      </c>
      <c r="D34" s="194">
        <f t="shared" ref="D34:I34" si="5">D35</f>
        <v>5</v>
      </c>
      <c r="E34" s="194">
        <f t="shared" si="5"/>
        <v>5</v>
      </c>
      <c r="F34" s="158">
        <f t="shared" si="5"/>
        <v>2</v>
      </c>
      <c r="G34" s="158">
        <f t="shared" si="5"/>
        <v>4</v>
      </c>
      <c r="H34" s="158">
        <f t="shared" si="5"/>
        <v>6</v>
      </c>
      <c r="I34" s="158">
        <f t="shared" si="5"/>
        <v>8</v>
      </c>
    </row>
    <row r="35" spans="1:13" ht="20.100000000000001" customHeight="1">
      <c r="A35" s="154" t="s">
        <v>384</v>
      </c>
      <c r="B35" s="155" t="s">
        <v>385</v>
      </c>
      <c r="C35" s="194">
        <v>5</v>
      </c>
      <c r="D35" s="194">
        <v>5</v>
      </c>
      <c r="E35" s="194">
        <v>5</v>
      </c>
      <c r="F35" s="158">
        <f>ROUND('I. Фін результат'!F97*1.5%,0)</f>
        <v>2</v>
      </c>
      <c r="G35" s="158">
        <f>ROUND('I. Фін результат'!G97*1.5%,0)</f>
        <v>4</v>
      </c>
      <c r="H35" s="158">
        <f>ROUND('I. Фін результат'!H97*1.5%,0)</f>
        <v>6</v>
      </c>
      <c r="I35" s="158">
        <f>ROUND('I. Фін результат'!I97*1.5%,0)</f>
        <v>8</v>
      </c>
      <c r="J35" s="197"/>
      <c r="K35" s="197"/>
      <c r="L35" s="197"/>
      <c r="M35" s="197"/>
    </row>
    <row r="36" spans="1:13" s="48" customFormat="1" ht="37.5">
      <c r="A36" s="154" t="s">
        <v>83</v>
      </c>
      <c r="B36" s="155">
        <v>2150</v>
      </c>
      <c r="C36" s="194">
        <v>83</v>
      </c>
      <c r="D36" s="194">
        <v>79</v>
      </c>
      <c r="E36" s="194">
        <v>79</v>
      </c>
      <c r="F36" s="158">
        <f>'I. Фін результат'!K98</f>
        <v>29.92</v>
      </c>
      <c r="G36" s="158">
        <f>'I. Фін результат'!L98</f>
        <v>54.12</v>
      </c>
      <c r="H36" s="158">
        <f>'I. Фін результат'!M98</f>
        <v>83.38</v>
      </c>
      <c r="I36" s="158">
        <f>'I. Фін результат'!N98</f>
        <v>112.64</v>
      </c>
      <c r="J36" s="198"/>
      <c r="K36" s="198"/>
      <c r="L36" s="198"/>
      <c r="M36" s="198"/>
    </row>
    <row r="37" spans="1:13" s="48" customFormat="1" ht="20.100000000000001" customHeight="1">
      <c r="A37" s="156" t="s">
        <v>361</v>
      </c>
      <c r="B37" s="157">
        <v>2200</v>
      </c>
      <c r="C37" s="207">
        <f t="shared" ref="C37:I37" si="6">SUM(C19,C22:C24,C25,C36)</f>
        <v>147</v>
      </c>
      <c r="D37" s="207">
        <f t="shared" si="6"/>
        <v>151</v>
      </c>
      <c r="E37" s="207">
        <f t="shared" si="6"/>
        <v>151</v>
      </c>
      <c r="F37" s="207">
        <f t="shared" si="6"/>
        <v>54.92</v>
      </c>
      <c r="G37" s="207">
        <f t="shared" si="6"/>
        <v>101.12</v>
      </c>
      <c r="H37" s="207">
        <f t="shared" si="6"/>
        <v>156.38</v>
      </c>
      <c r="I37" s="207">
        <f t="shared" si="6"/>
        <v>211.64</v>
      </c>
      <c r="J37" s="46"/>
    </row>
    <row r="38" spans="1:13" s="48" customFormat="1" ht="20.100000000000001" customHeight="1">
      <c r="A38" s="134"/>
      <c r="B38" s="135"/>
      <c r="C38" s="136"/>
      <c r="D38" s="233"/>
      <c r="E38" s="233"/>
      <c r="F38" s="137"/>
      <c r="G38" s="137"/>
      <c r="H38" s="137"/>
      <c r="I38" s="137"/>
    </row>
    <row r="39" spans="1:13" s="48" customFormat="1" ht="20.100000000000001" customHeight="1">
      <c r="A39" s="134"/>
      <c r="B39" s="135"/>
      <c r="C39" s="136"/>
      <c r="D39" s="233"/>
      <c r="E39" s="233"/>
      <c r="F39" s="137"/>
      <c r="G39" s="137"/>
      <c r="H39" s="137"/>
      <c r="I39" s="137"/>
    </row>
    <row r="40" spans="1:13" s="2" customFormat="1" ht="20.100000000000001" customHeight="1">
      <c r="A40" s="124" t="s">
        <v>402</v>
      </c>
      <c r="B40" s="125"/>
      <c r="C40" s="325" t="s">
        <v>112</v>
      </c>
      <c r="D40" s="331"/>
      <c r="E40" s="331"/>
      <c r="F40" s="126"/>
      <c r="G40" s="297" t="s">
        <v>460</v>
      </c>
      <c r="H40" s="297"/>
      <c r="I40" s="297"/>
    </row>
    <row r="41" spans="1:13" s="1" customFormat="1" ht="20.100000000000001" customHeight="1">
      <c r="A41" s="103" t="s">
        <v>300</v>
      </c>
      <c r="B41" s="118"/>
      <c r="C41" s="318" t="s">
        <v>299</v>
      </c>
      <c r="D41" s="318"/>
      <c r="E41" s="318"/>
      <c r="F41" s="127"/>
      <c r="G41" s="282" t="s">
        <v>108</v>
      </c>
      <c r="H41" s="282"/>
      <c r="I41" s="282"/>
    </row>
    <row r="42" spans="1:13" s="49" customFormat="1">
      <c r="A42" s="62"/>
      <c r="D42" s="234"/>
      <c r="E42" s="234"/>
      <c r="F42" s="46"/>
      <c r="G42" s="46"/>
      <c r="H42" s="46"/>
      <c r="I42" s="46"/>
      <c r="J42" s="46"/>
      <c r="K42" s="46"/>
    </row>
    <row r="43" spans="1:13" s="49" customFormat="1">
      <c r="A43" s="62"/>
      <c r="D43" s="234"/>
      <c r="E43" s="234"/>
      <c r="F43" s="46"/>
      <c r="G43" s="46"/>
      <c r="H43" s="46"/>
      <c r="I43" s="46"/>
      <c r="J43" s="46"/>
      <c r="K43" s="46"/>
    </row>
    <row r="44" spans="1:13" s="49" customFormat="1">
      <c r="A44" s="62"/>
      <c r="D44" s="234"/>
      <c r="E44" s="234"/>
      <c r="F44" s="46"/>
      <c r="G44" s="46"/>
      <c r="H44" s="46"/>
      <c r="I44" s="46"/>
      <c r="J44" s="46"/>
      <c r="K44" s="46"/>
    </row>
    <row r="45" spans="1:13" s="49" customFormat="1">
      <c r="A45" s="62"/>
      <c r="D45" s="234"/>
      <c r="E45" s="234"/>
      <c r="F45" s="46"/>
      <c r="G45" s="46"/>
      <c r="H45" s="46"/>
      <c r="I45" s="46"/>
      <c r="J45" s="46"/>
      <c r="K45" s="46"/>
    </row>
    <row r="46" spans="1:13" s="49" customFormat="1">
      <c r="A46" s="62"/>
      <c r="D46" s="234"/>
      <c r="E46" s="234"/>
      <c r="F46" s="46"/>
      <c r="G46" s="46"/>
      <c r="H46" s="46"/>
      <c r="I46" s="46"/>
      <c r="J46" s="46"/>
      <c r="K46" s="46"/>
    </row>
    <row r="47" spans="1:13" s="49" customFormat="1">
      <c r="A47" s="62"/>
      <c r="D47" s="234"/>
      <c r="E47" s="234"/>
      <c r="F47" s="46"/>
      <c r="G47" s="46"/>
      <c r="H47" s="46"/>
      <c r="I47" s="46"/>
      <c r="J47" s="46"/>
      <c r="K47" s="46"/>
    </row>
    <row r="48" spans="1:13" s="49" customFormat="1">
      <c r="A48" s="62"/>
      <c r="D48" s="234"/>
      <c r="E48" s="234"/>
      <c r="F48" s="46"/>
      <c r="G48" s="46"/>
      <c r="H48" s="46"/>
      <c r="I48" s="46"/>
      <c r="J48" s="46"/>
      <c r="K48" s="46"/>
    </row>
    <row r="49" spans="1:11" s="49" customFormat="1">
      <c r="A49" s="62"/>
      <c r="D49" s="234"/>
      <c r="E49" s="234"/>
      <c r="F49" s="46"/>
      <c r="G49" s="46"/>
      <c r="H49" s="46"/>
      <c r="I49" s="46"/>
      <c r="J49" s="46"/>
      <c r="K49" s="46"/>
    </row>
    <row r="50" spans="1:11" s="49" customFormat="1">
      <c r="A50" s="62"/>
      <c r="D50" s="234"/>
      <c r="E50" s="234"/>
      <c r="F50" s="46"/>
      <c r="G50" s="46"/>
      <c r="H50" s="46"/>
      <c r="I50" s="46"/>
      <c r="J50" s="46"/>
      <c r="K50" s="46"/>
    </row>
    <row r="51" spans="1:11" s="49" customFormat="1">
      <c r="A51" s="62"/>
      <c r="D51" s="234"/>
      <c r="E51" s="234"/>
      <c r="F51" s="46"/>
      <c r="G51" s="46"/>
      <c r="H51" s="46"/>
      <c r="I51" s="46"/>
      <c r="J51" s="46"/>
      <c r="K51" s="46"/>
    </row>
    <row r="52" spans="1:11" s="49" customFormat="1">
      <c r="A52" s="62"/>
      <c r="D52" s="234"/>
      <c r="E52" s="234"/>
      <c r="F52" s="46"/>
      <c r="G52" s="46"/>
      <c r="H52" s="46"/>
      <c r="I52" s="46"/>
      <c r="J52" s="46"/>
      <c r="K52" s="46"/>
    </row>
    <row r="53" spans="1:11" s="49" customFormat="1">
      <c r="A53" s="62"/>
      <c r="D53" s="234"/>
      <c r="E53" s="234"/>
      <c r="F53" s="46"/>
      <c r="G53" s="46"/>
      <c r="H53" s="46"/>
      <c r="I53" s="46"/>
      <c r="J53" s="46"/>
      <c r="K53" s="46"/>
    </row>
    <row r="54" spans="1:11" s="49" customFormat="1">
      <c r="A54" s="62"/>
      <c r="D54" s="234"/>
      <c r="E54" s="234"/>
      <c r="F54" s="46"/>
      <c r="G54" s="46"/>
      <c r="H54" s="46"/>
      <c r="I54" s="46"/>
      <c r="J54" s="46"/>
      <c r="K54" s="46"/>
    </row>
    <row r="55" spans="1:11" s="49" customFormat="1">
      <c r="A55" s="62"/>
      <c r="D55" s="234"/>
      <c r="E55" s="234"/>
      <c r="F55" s="46"/>
      <c r="G55" s="46"/>
      <c r="H55" s="46"/>
      <c r="I55" s="46"/>
      <c r="J55" s="46"/>
      <c r="K55" s="46"/>
    </row>
    <row r="56" spans="1:11" s="49" customFormat="1">
      <c r="A56" s="62"/>
      <c r="D56" s="234"/>
      <c r="E56" s="234"/>
      <c r="F56" s="46"/>
      <c r="G56" s="46"/>
      <c r="H56" s="46"/>
      <c r="I56" s="46"/>
      <c r="J56" s="46"/>
      <c r="K56" s="46"/>
    </row>
    <row r="57" spans="1:11" s="49" customFormat="1">
      <c r="A57" s="62"/>
      <c r="D57" s="234"/>
      <c r="E57" s="234"/>
      <c r="F57" s="46"/>
      <c r="G57" s="46"/>
      <c r="H57" s="46"/>
      <c r="I57" s="46"/>
      <c r="J57" s="46"/>
      <c r="K57" s="46"/>
    </row>
    <row r="58" spans="1:11" s="49" customFormat="1">
      <c r="A58" s="62"/>
      <c r="D58" s="234"/>
      <c r="E58" s="234"/>
      <c r="F58" s="46"/>
      <c r="G58" s="46"/>
      <c r="H58" s="46"/>
      <c r="I58" s="46"/>
      <c r="J58" s="46"/>
      <c r="K58" s="46"/>
    </row>
    <row r="59" spans="1:11" s="49" customFormat="1">
      <c r="A59" s="62"/>
      <c r="D59" s="234"/>
      <c r="E59" s="234"/>
      <c r="F59" s="46"/>
      <c r="G59" s="46"/>
      <c r="H59" s="46"/>
      <c r="I59" s="46"/>
      <c r="J59" s="46"/>
      <c r="K59" s="46"/>
    </row>
    <row r="60" spans="1:11" s="49" customFormat="1">
      <c r="A60" s="62"/>
      <c r="D60" s="234"/>
      <c r="E60" s="234"/>
      <c r="F60" s="46"/>
      <c r="G60" s="46"/>
      <c r="H60" s="46"/>
      <c r="I60" s="46"/>
      <c r="J60" s="46"/>
      <c r="K60" s="46"/>
    </row>
    <row r="61" spans="1:11" s="49" customFormat="1">
      <c r="A61" s="62"/>
      <c r="D61" s="234"/>
      <c r="E61" s="234"/>
      <c r="F61" s="46"/>
      <c r="G61" s="46"/>
      <c r="H61" s="46"/>
      <c r="I61" s="46"/>
      <c r="J61" s="46"/>
      <c r="K61" s="46"/>
    </row>
    <row r="62" spans="1:11" s="49" customFormat="1">
      <c r="A62" s="62"/>
      <c r="D62" s="234"/>
      <c r="E62" s="234"/>
      <c r="F62" s="46"/>
      <c r="G62" s="46"/>
      <c r="H62" s="46"/>
      <c r="I62" s="46"/>
      <c r="J62" s="46"/>
      <c r="K62" s="46"/>
    </row>
    <row r="63" spans="1:11" s="49" customFormat="1">
      <c r="A63" s="62"/>
      <c r="D63" s="234"/>
      <c r="E63" s="234"/>
      <c r="F63" s="46"/>
      <c r="G63" s="46"/>
      <c r="H63" s="46"/>
      <c r="I63" s="46"/>
      <c r="J63" s="46"/>
      <c r="K63" s="46"/>
    </row>
    <row r="64" spans="1:11" s="49" customFormat="1">
      <c r="A64" s="62"/>
      <c r="D64" s="234"/>
      <c r="E64" s="234"/>
      <c r="F64" s="46"/>
      <c r="G64" s="46"/>
      <c r="H64" s="46"/>
      <c r="I64" s="46"/>
      <c r="J64" s="46"/>
      <c r="K64" s="46"/>
    </row>
    <row r="65" spans="1:11" s="49" customFormat="1">
      <c r="A65" s="62"/>
      <c r="D65" s="234"/>
      <c r="E65" s="234"/>
      <c r="F65" s="46"/>
      <c r="G65" s="46"/>
      <c r="H65" s="46"/>
      <c r="I65" s="46"/>
      <c r="J65" s="46"/>
      <c r="K65" s="46"/>
    </row>
    <row r="66" spans="1:11" s="49" customFormat="1">
      <c r="A66" s="62"/>
      <c r="D66" s="234"/>
      <c r="E66" s="234"/>
      <c r="F66" s="46"/>
      <c r="G66" s="46"/>
      <c r="H66" s="46"/>
      <c r="I66" s="46"/>
      <c r="J66" s="46"/>
      <c r="K66" s="46"/>
    </row>
    <row r="67" spans="1:11" s="49" customFormat="1">
      <c r="A67" s="62"/>
      <c r="D67" s="234"/>
      <c r="E67" s="234"/>
      <c r="F67" s="46"/>
      <c r="G67" s="46"/>
      <c r="H67" s="46"/>
      <c r="I67" s="46"/>
      <c r="J67" s="46"/>
      <c r="K67" s="46"/>
    </row>
    <row r="68" spans="1:11" s="49" customFormat="1">
      <c r="A68" s="62"/>
      <c r="D68" s="234"/>
      <c r="E68" s="234"/>
      <c r="F68" s="46"/>
      <c r="G68" s="46"/>
      <c r="H68" s="46"/>
      <c r="I68" s="46"/>
      <c r="J68" s="46"/>
      <c r="K68" s="46"/>
    </row>
    <row r="69" spans="1:11" s="49" customFormat="1">
      <c r="A69" s="62"/>
      <c r="D69" s="234"/>
      <c r="E69" s="234"/>
      <c r="F69" s="46"/>
      <c r="G69" s="46"/>
      <c r="H69" s="46"/>
      <c r="I69" s="46"/>
      <c r="J69" s="46"/>
      <c r="K69" s="46"/>
    </row>
    <row r="70" spans="1:11" s="49" customFormat="1">
      <c r="A70" s="62"/>
      <c r="D70" s="234"/>
      <c r="E70" s="234"/>
      <c r="F70" s="46"/>
      <c r="G70" s="46"/>
      <c r="H70" s="46"/>
      <c r="I70" s="46"/>
      <c r="J70" s="46"/>
      <c r="K70" s="46"/>
    </row>
    <row r="71" spans="1:11" s="49" customFormat="1">
      <c r="A71" s="62"/>
      <c r="D71" s="234"/>
      <c r="E71" s="234"/>
      <c r="F71" s="46"/>
      <c r="G71" s="46"/>
      <c r="H71" s="46"/>
      <c r="I71" s="46"/>
      <c r="J71" s="46"/>
      <c r="K71" s="46"/>
    </row>
    <row r="72" spans="1:11" s="49" customFormat="1">
      <c r="A72" s="62"/>
      <c r="D72" s="234"/>
      <c r="E72" s="234"/>
      <c r="F72" s="46"/>
      <c r="G72" s="46"/>
      <c r="H72" s="46"/>
      <c r="I72" s="46"/>
      <c r="J72" s="46"/>
      <c r="K72" s="46"/>
    </row>
    <row r="73" spans="1:11" s="49" customFormat="1">
      <c r="A73" s="62"/>
      <c r="D73" s="234"/>
      <c r="E73" s="234"/>
      <c r="F73" s="46"/>
      <c r="G73" s="46"/>
      <c r="H73" s="46"/>
      <c r="I73" s="46"/>
      <c r="J73" s="46"/>
      <c r="K73" s="46"/>
    </row>
    <row r="74" spans="1:11" s="49" customFormat="1">
      <c r="A74" s="62"/>
      <c r="D74" s="234"/>
      <c r="E74" s="234"/>
      <c r="F74" s="46"/>
      <c r="G74" s="46"/>
      <c r="H74" s="46"/>
      <c r="I74" s="46"/>
      <c r="J74" s="46"/>
      <c r="K74" s="46"/>
    </row>
    <row r="75" spans="1:11" s="49" customFormat="1">
      <c r="A75" s="62"/>
      <c r="D75" s="234"/>
      <c r="E75" s="234"/>
      <c r="F75" s="46"/>
      <c r="G75" s="46"/>
      <c r="H75" s="46"/>
      <c r="I75" s="46"/>
      <c r="J75" s="46"/>
      <c r="K75" s="46"/>
    </row>
    <row r="76" spans="1:11" s="49" customFormat="1">
      <c r="A76" s="62"/>
      <c r="D76" s="234"/>
      <c r="E76" s="234"/>
      <c r="F76" s="46"/>
      <c r="G76" s="46"/>
      <c r="H76" s="46"/>
      <c r="I76" s="46"/>
      <c r="J76" s="46"/>
      <c r="K76" s="46"/>
    </row>
    <row r="77" spans="1:11" s="49" customFormat="1">
      <c r="A77" s="62"/>
      <c r="D77" s="234"/>
      <c r="E77" s="234"/>
      <c r="F77" s="46"/>
      <c r="G77" s="46"/>
      <c r="H77" s="46"/>
      <c r="I77" s="46"/>
      <c r="J77" s="46"/>
      <c r="K77" s="46"/>
    </row>
    <row r="78" spans="1:11" s="49" customFormat="1">
      <c r="A78" s="62"/>
      <c r="D78" s="234"/>
      <c r="E78" s="234"/>
      <c r="F78" s="46"/>
      <c r="G78" s="46"/>
      <c r="H78" s="46"/>
      <c r="I78" s="46"/>
      <c r="J78" s="46"/>
      <c r="K78" s="46"/>
    </row>
    <row r="79" spans="1:11" s="49" customFormat="1">
      <c r="A79" s="62"/>
      <c r="D79" s="234"/>
      <c r="E79" s="234"/>
      <c r="F79" s="46"/>
      <c r="G79" s="46"/>
      <c r="H79" s="46"/>
      <c r="I79" s="46"/>
      <c r="J79" s="46"/>
      <c r="K79" s="46"/>
    </row>
    <row r="80" spans="1:11" s="49" customFormat="1">
      <c r="A80" s="62"/>
      <c r="D80" s="234"/>
      <c r="E80" s="234"/>
      <c r="F80" s="46"/>
      <c r="G80" s="46"/>
      <c r="H80" s="46"/>
      <c r="I80" s="46"/>
      <c r="J80" s="46"/>
      <c r="K80" s="46"/>
    </row>
    <row r="81" spans="1:11" s="49" customFormat="1">
      <c r="A81" s="62"/>
      <c r="D81" s="234"/>
      <c r="E81" s="234"/>
      <c r="F81" s="46"/>
      <c r="G81" s="46"/>
      <c r="H81" s="46"/>
      <c r="I81" s="46"/>
      <c r="J81" s="46"/>
      <c r="K81" s="46"/>
    </row>
    <row r="82" spans="1:11" s="49" customFormat="1">
      <c r="A82" s="62"/>
      <c r="D82" s="234"/>
      <c r="E82" s="234"/>
      <c r="F82" s="46"/>
      <c r="G82" s="46"/>
      <c r="H82" s="46"/>
      <c r="I82" s="46"/>
      <c r="J82" s="46"/>
      <c r="K82" s="46"/>
    </row>
    <row r="83" spans="1:11" s="49" customFormat="1">
      <c r="A83" s="62"/>
      <c r="D83" s="234"/>
      <c r="E83" s="234"/>
      <c r="F83" s="46"/>
      <c r="G83" s="46"/>
      <c r="H83" s="46"/>
      <c r="I83" s="46"/>
      <c r="J83" s="46"/>
      <c r="K83" s="46"/>
    </row>
    <row r="84" spans="1:11" s="49" customFormat="1">
      <c r="A84" s="62"/>
      <c r="D84" s="234"/>
      <c r="E84" s="234"/>
      <c r="F84" s="46"/>
      <c r="G84" s="46"/>
      <c r="H84" s="46"/>
      <c r="I84" s="46"/>
      <c r="J84" s="46"/>
      <c r="K84" s="46"/>
    </row>
    <row r="85" spans="1:11" s="49" customFormat="1">
      <c r="A85" s="62"/>
      <c r="D85" s="234"/>
      <c r="E85" s="234"/>
      <c r="F85" s="46"/>
      <c r="G85" s="46"/>
      <c r="H85" s="46"/>
      <c r="I85" s="46"/>
      <c r="J85" s="46"/>
      <c r="K85" s="46"/>
    </row>
    <row r="86" spans="1:11" s="49" customFormat="1">
      <c r="A86" s="62"/>
      <c r="D86" s="234"/>
      <c r="E86" s="234"/>
      <c r="F86" s="46"/>
      <c r="G86" s="46"/>
      <c r="H86" s="46"/>
      <c r="I86" s="46"/>
      <c r="J86" s="46"/>
      <c r="K86" s="46"/>
    </row>
    <row r="87" spans="1:11" s="49" customFormat="1">
      <c r="A87" s="62"/>
      <c r="D87" s="234"/>
      <c r="E87" s="234"/>
      <c r="F87" s="46"/>
      <c r="G87" s="46"/>
      <c r="H87" s="46"/>
      <c r="I87" s="46"/>
      <c r="J87" s="46"/>
      <c r="K87" s="46"/>
    </row>
    <row r="88" spans="1:11" s="49" customFormat="1">
      <c r="A88" s="62"/>
      <c r="D88" s="234"/>
      <c r="E88" s="234"/>
      <c r="F88" s="46"/>
      <c r="G88" s="46"/>
      <c r="H88" s="46"/>
      <c r="I88" s="46"/>
      <c r="J88" s="46"/>
      <c r="K88" s="46"/>
    </row>
    <row r="89" spans="1:11" s="49" customFormat="1">
      <c r="A89" s="62"/>
      <c r="D89" s="234"/>
      <c r="E89" s="234"/>
      <c r="F89" s="46"/>
      <c r="G89" s="46"/>
      <c r="H89" s="46"/>
      <c r="I89" s="46"/>
      <c r="J89" s="46"/>
      <c r="K89" s="46"/>
    </row>
    <row r="90" spans="1:11" s="49" customFormat="1">
      <c r="A90" s="62"/>
      <c r="D90" s="234"/>
      <c r="E90" s="234"/>
      <c r="F90" s="46"/>
      <c r="G90" s="46"/>
      <c r="H90" s="46"/>
      <c r="I90" s="46"/>
      <c r="J90" s="46"/>
      <c r="K90" s="46"/>
    </row>
    <row r="91" spans="1:11" s="49" customFormat="1">
      <c r="A91" s="62"/>
      <c r="D91" s="234"/>
      <c r="E91" s="234"/>
      <c r="F91" s="46"/>
      <c r="G91" s="46"/>
      <c r="H91" s="46"/>
      <c r="I91" s="46"/>
      <c r="J91" s="46"/>
      <c r="K91" s="46"/>
    </row>
    <row r="92" spans="1:11" s="49" customFormat="1">
      <c r="A92" s="62"/>
      <c r="D92" s="234"/>
      <c r="E92" s="234"/>
      <c r="F92" s="46"/>
      <c r="G92" s="46"/>
      <c r="H92" s="46"/>
      <c r="I92" s="46"/>
      <c r="J92" s="46"/>
      <c r="K92" s="46"/>
    </row>
    <row r="93" spans="1:11" s="49" customFormat="1">
      <c r="A93" s="62"/>
      <c r="D93" s="234"/>
      <c r="E93" s="234"/>
      <c r="F93" s="46"/>
      <c r="G93" s="46"/>
      <c r="H93" s="46"/>
      <c r="I93" s="46"/>
      <c r="J93" s="46"/>
      <c r="K93" s="46"/>
    </row>
    <row r="94" spans="1:11" s="49" customFormat="1">
      <c r="A94" s="62"/>
      <c r="D94" s="234"/>
      <c r="E94" s="234"/>
      <c r="F94" s="46"/>
      <c r="G94" s="46"/>
      <c r="H94" s="46"/>
      <c r="I94" s="46"/>
      <c r="J94" s="46"/>
      <c r="K94" s="46"/>
    </row>
    <row r="95" spans="1:11" s="49" customFormat="1">
      <c r="A95" s="62"/>
      <c r="D95" s="234"/>
      <c r="E95" s="234"/>
      <c r="F95" s="46"/>
      <c r="G95" s="46"/>
      <c r="H95" s="46"/>
      <c r="I95" s="46"/>
      <c r="J95" s="46"/>
      <c r="K95" s="46"/>
    </row>
    <row r="96" spans="1:11" s="49" customFormat="1">
      <c r="A96" s="62"/>
      <c r="D96" s="234"/>
      <c r="E96" s="234"/>
      <c r="F96" s="46"/>
      <c r="G96" s="46"/>
      <c r="H96" s="46"/>
      <c r="I96" s="46"/>
      <c r="J96" s="46"/>
      <c r="K96" s="46"/>
    </row>
    <row r="97" spans="1:11" s="49" customFormat="1">
      <c r="A97" s="62"/>
      <c r="D97" s="234"/>
      <c r="E97" s="234"/>
      <c r="F97" s="46"/>
      <c r="G97" s="46"/>
      <c r="H97" s="46"/>
      <c r="I97" s="46"/>
      <c r="J97" s="46"/>
      <c r="K97" s="46"/>
    </row>
    <row r="98" spans="1:11" s="49" customFormat="1">
      <c r="A98" s="62"/>
      <c r="D98" s="234"/>
      <c r="E98" s="234"/>
      <c r="F98" s="46"/>
      <c r="G98" s="46"/>
      <c r="H98" s="46"/>
      <c r="I98" s="46"/>
      <c r="J98" s="46"/>
      <c r="K98" s="46"/>
    </row>
    <row r="99" spans="1:11" s="49" customFormat="1">
      <c r="A99" s="62"/>
      <c r="D99" s="234"/>
      <c r="E99" s="234"/>
      <c r="F99" s="46"/>
      <c r="G99" s="46"/>
      <c r="H99" s="46"/>
      <c r="I99" s="46"/>
      <c r="J99" s="46"/>
      <c r="K99" s="46"/>
    </row>
    <row r="100" spans="1:11" s="49" customFormat="1">
      <c r="A100" s="62"/>
      <c r="D100" s="234"/>
      <c r="E100" s="234"/>
      <c r="F100" s="46"/>
      <c r="G100" s="46"/>
      <c r="H100" s="46"/>
      <c r="I100" s="46"/>
      <c r="J100" s="46"/>
      <c r="K100" s="46"/>
    </row>
    <row r="101" spans="1:11" s="49" customFormat="1">
      <c r="A101" s="62"/>
      <c r="D101" s="234"/>
      <c r="E101" s="234"/>
      <c r="F101" s="46"/>
      <c r="G101" s="46"/>
      <c r="H101" s="46"/>
      <c r="I101" s="46"/>
      <c r="J101" s="46"/>
      <c r="K101" s="46"/>
    </row>
    <row r="102" spans="1:11" s="49" customFormat="1">
      <c r="A102" s="62"/>
      <c r="D102" s="234"/>
      <c r="E102" s="234"/>
      <c r="F102" s="46"/>
      <c r="G102" s="46"/>
      <c r="H102" s="46"/>
      <c r="I102" s="46"/>
      <c r="J102" s="46"/>
      <c r="K102" s="46"/>
    </row>
    <row r="103" spans="1:11" s="49" customFormat="1">
      <c r="A103" s="62"/>
      <c r="D103" s="234"/>
      <c r="E103" s="234"/>
      <c r="F103" s="46"/>
      <c r="G103" s="46"/>
      <c r="H103" s="46"/>
      <c r="I103" s="46"/>
      <c r="J103" s="46"/>
      <c r="K103" s="46"/>
    </row>
    <row r="104" spans="1:11" s="49" customFormat="1">
      <c r="A104" s="62"/>
      <c r="D104" s="234"/>
      <c r="E104" s="234"/>
      <c r="F104" s="46"/>
      <c r="G104" s="46"/>
      <c r="H104" s="46"/>
      <c r="I104" s="46"/>
      <c r="J104" s="46"/>
      <c r="K104" s="46"/>
    </row>
    <row r="105" spans="1:11" s="49" customFormat="1">
      <c r="A105" s="62"/>
      <c r="D105" s="234"/>
      <c r="E105" s="234"/>
      <c r="F105" s="46"/>
      <c r="G105" s="46"/>
      <c r="H105" s="46"/>
      <c r="I105" s="46"/>
      <c r="J105" s="46"/>
      <c r="K105" s="46"/>
    </row>
    <row r="106" spans="1:11" s="49" customFormat="1">
      <c r="A106" s="62"/>
      <c r="D106" s="234"/>
      <c r="E106" s="234"/>
      <c r="F106" s="46"/>
      <c r="G106" s="46"/>
      <c r="H106" s="46"/>
      <c r="I106" s="46"/>
      <c r="J106" s="46"/>
      <c r="K106" s="46"/>
    </row>
    <row r="107" spans="1:11" s="49" customFormat="1">
      <c r="A107" s="62"/>
      <c r="D107" s="234"/>
      <c r="E107" s="234"/>
      <c r="F107" s="46"/>
      <c r="G107" s="46"/>
      <c r="H107" s="46"/>
      <c r="I107" s="46"/>
      <c r="J107" s="46"/>
      <c r="K107" s="46"/>
    </row>
    <row r="108" spans="1:11" s="49" customFormat="1">
      <c r="A108" s="62"/>
      <c r="D108" s="234"/>
      <c r="E108" s="234"/>
      <c r="F108" s="46"/>
      <c r="G108" s="46"/>
      <c r="H108" s="46"/>
      <c r="I108" s="46"/>
      <c r="J108" s="46"/>
      <c r="K108" s="46"/>
    </row>
    <row r="109" spans="1:11" s="49" customFormat="1">
      <c r="A109" s="62"/>
      <c r="D109" s="234"/>
      <c r="E109" s="234"/>
      <c r="F109" s="46"/>
      <c r="G109" s="46"/>
      <c r="H109" s="46"/>
      <c r="I109" s="46"/>
      <c r="J109" s="46"/>
      <c r="K109" s="46"/>
    </row>
    <row r="110" spans="1:11" s="49" customFormat="1">
      <c r="A110" s="62"/>
      <c r="D110" s="234"/>
      <c r="E110" s="234"/>
      <c r="F110" s="46"/>
      <c r="G110" s="46"/>
      <c r="H110" s="46"/>
      <c r="I110" s="46"/>
      <c r="J110" s="46"/>
      <c r="K110" s="46"/>
    </row>
    <row r="111" spans="1:11" s="49" customFormat="1">
      <c r="A111" s="62"/>
      <c r="D111" s="234"/>
      <c r="E111" s="234"/>
      <c r="F111" s="46"/>
      <c r="G111" s="46"/>
      <c r="H111" s="46"/>
      <c r="I111" s="46"/>
      <c r="J111" s="46"/>
      <c r="K111" s="46"/>
    </row>
    <row r="112" spans="1:11" s="49" customFormat="1">
      <c r="A112" s="62"/>
      <c r="D112" s="234"/>
      <c r="E112" s="234"/>
      <c r="F112" s="46"/>
      <c r="G112" s="46"/>
      <c r="H112" s="46"/>
      <c r="I112" s="46"/>
      <c r="J112" s="46"/>
      <c r="K112" s="46"/>
    </row>
    <row r="113" spans="1:11" s="49" customFormat="1">
      <c r="A113" s="62"/>
      <c r="D113" s="234"/>
      <c r="E113" s="234"/>
      <c r="F113" s="46"/>
      <c r="G113" s="46"/>
      <c r="H113" s="46"/>
      <c r="I113" s="46"/>
      <c r="J113" s="46"/>
      <c r="K113" s="46"/>
    </row>
    <row r="114" spans="1:11" s="49" customFormat="1">
      <c r="A114" s="62"/>
      <c r="D114" s="234"/>
      <c r="E114" s="234"/>
      <c r="F114" s="46"/>
      <c r="G114" s="46"/>
      <c r="H114" s="46"/>
      <c r="I114" s="46"/>
      <c r="J114" s="46"/>
      <c r="K114" s="46"/>
    </row>
    <row r="115" spans="1:11" s="49" customFormat="1">
      <c r="A115" s="62"/>
      <c r="D115" s="234"/>
      <c r="E115" s="234"/>
      <c r="F115" s="46"/>
      <c r="G115" s="46"/>
      <c r="H115" s="46"/>
      <c r="I115" s="46"/>
      <c r="J115" s="46"/>
      <c r="K115" s="46"/>
    </row>
    <row r="116" spans="1:11" s="49" customFormat="1">
      <c r="A116" s="62"/>
      <c r="D116" s="234"/>
      <c r="E116" s="234"/>
      <c r="F116" s="46"/>
      <c r="G116" s="46"/>
      <c r="H116" s="46"/>
      <c r="I116" s="46"/>
      <c r="J116" s="46"/>
      <c r="K116" s="46"/>
    </row>
    <row r="117" spans="1:11" s="49" customFormat="1">
      <c r="A117" s="62"/>
      <c r="D117" s="234"/>
      <c r="E117" s="234"/>
      <c r="F117" s="46"/>
      <c r="G117" s="46"/>
      <c r="H117" s="46"/>
      <c r="I117" s="46"/>
      <c r="J117" s="46"/>
      <c r="K117" s="46"/>
    </row>
    <row r="118" spans="1:11" s="49" customFormat="1">
      <c r="A118" s="62"/>
      <c r="D118" s="234"/>
      <c r="E118" s="234"/>
      <c r="F118" s="46"/>
      <c r="G118" s="46"/>
      <c r="H118" s="46"/>
      <c r="I118" s="46"/>
      <c r="J118" s="46"/>
      <c r="K118" s="46"/>
    </row>
    <row r="119" spans="1:11" s="49" customFormat="1">
      <c r="A119" s="62"/>
      <c r="D119" s="234"/>
      <c r="E119" s="234"/>
      <c r="F119" s="46"/>
      <c r="G119" s="46"/>
      <c r="H119" s="46"/>
      <c r="I119" s="46"/>
      <c r="J119" s="46"/>
      <c r="K119" s="46"/>
    </row>
    <row r="120" spans="1:11" s="49" customFormat="1">
      <c r="A120" s="62"/>
      <c r="D120" s="234"/>
      <c r="E120" s="234"/>
      <c r="F120" s="46"/>
      <c r="G120" s="46"/>
      <c r="H120" s="46"/>
      <c r="I120" s="46"/>
      <c r="J120" s="46"/>
      <c r="K120" s="46"/>
    </row>
    <row r="121" spans="1:11" s="49" customFormat="1">
      <c r="A121" s="62"/>
      <c r="D121" s="234"/>
      <c r="E121" s="234"/>
      <c r="F121" s="46"/>
      <c r="G121" s="46"/>
      <c r="H121" s="46"/>
      <c r="I121" s="46"/>
      <c r="J121" s="46"/>
      <c r="K121" s="46"/>
    </row>
    <row r="122" spans="1:11" s="49" customFormat="1">
      <c r="A122" s="62"/>
      <c r="D122" s="234"/>
      <c r="E122" s="234"/>
      <c r="F122" s="46"/>
      <c r="G122" s="46"/>
      <c r="H122" s="46"/>
      <c r="I122" s="46"/>
      <c r="J122" s="46"/>
      <c r="K122" s="46"/>
    </row>
    <row r="123" spans="1:11" s="49" customFormat="1">
      <c r="A123" s="62"/>
      <c r="D123" s="234"/>
      <c r="E123" s="234"/>
      <c r="F123" s="46"/>
      <c r="G123" s="46"/>
      <c r="H123" s="46"/>
      <c r="I123" s="46"/>
      <c r="J123" s="46"/>
      <c r="K123" s="46"/>
    </row>
    <row r="124" spans="1:11" s="49" customFormat="1">
      <c r="A124" s="62"/>
      <c r="D124" s="234"/>
      <c r="E124" s="234"/>
      <c r="F124" s="46"/>
      <c r="G124" s="46"/>
      <c r="H124" s="46"/>
      <c r="I124" s="46"/>
      <c r="J124" s="46"/>
      <c r="K124" s="46"/>
    </row>
    <row r="125" spans="1:11" s="49" customFormat="1">
      <c r="A125" s="62"/>
      <c r="D125" s="234"/>
      <c r="E125" s="234"/>
      <c r="F125" s="46"/>
      <c r="G125" s="46"/>
      <c r="H125" s="46"/>
      <c r="I125" s="46"/>
      <c r="J125" s="46"/>
      <c r="K125" s="46"/>
    </row>
    <row r="126" spans="1:11" s="49" customFormat="1">
      <c r="A126" s="62"/>
      <c r="D126" s="234"/>
      <c r="E126" s="234"/>
      <c r="F126" s="46"/>
      <c r="G126" s="46"/>
      <c r="H126" s="46"/>
      <c r="I126" s="46"/>
      <c r="J126" s="46"/>
      <c r="K126" s="46"/>
    </row>
    <row r="127" spans="1:11" s="49" customFormat="1">
      <c r="A127" s="62"/>
      <c r="D127" s="234"/>
      <c r="E127" s="234"/>
      <c r="F127" s="46"/>
      <c r="G127" s="46"/>
      <c r="H127" s="46"/>
      <c r="I127" s="46"/>
      <c r="J127" s="46"/>
      <c r="K127" s="46"/>
    </row>
    <row r="128" spans="1:11" s="49" customFormat="1">
      <c r="A128" s="62"/>
      <c r="D128" s="234"/>
      <c r="E128" s="234"/>
      <c r="F128" s="46"/>
      <c r="G128" s="46"/>
      <c r="H128" s="46"/>
      <c r="I128" s="46"/>
      <c r="J128" s="46"/>
      <c r="K128" s="46"/>
    </row>
    <row r="129" spans="1:11" s="49" customFormat="1">
      <c r="A129" s="62"/>
      <c r="D129" s="234"/>
      <c r="E129" s="234"/>
      <c r="F129" s="46"/>
      <c r="G129" s="46"/>
      <c r="H129" s="46"/>
      <c r="I129" s="46"/>
      <c r="J129" s="46"/>
      <c r="K129" s="46"/>
    </row>
    <row r="130" spans="1:11" s="49" customFormat="1">
      <c r="A130" s="62"/>
      <c r="D130" s="234"/>
      <c r="E130" s="234"/>
      <c r="F130" s="46"/>
      <c r="G130" s="46"/>
      <c r="H130" s="46"/>
      <c r="I130" s="46"/>
      <c r="J130" s="46"/>
      <c r="K130" s="46"/>
    </row>
    <row r="131" spans="1:11" s="49" customFormat="1">
      <c r="A131" s="62"/>
      <c r="D131" s="234"/>
      <c r="E131" s="234"/>
      <c r="F131" s="46"/>
      <c r="G131" s="46"/>
      <c r="H131" s="46"/>
      <c r="I131" s="46"/>
      <c r="J131" s="46"/>
      <c r="K131" s="46"/>
    </row>
    <row r="132" spans="1:11" s="49" customFormat="1">
      <c r="A132" s="62"/>
      <c r="D132" s="234"/>
      <c r="E132" s="234"/>
      <c r="F132" s="46"/>
      <c r="G132" s="46"/>
      <c r="H132" s="46"/>
      <c r="I132" s="46"/>
      <c r="J132" s="46"/>
      <c r="K132" s="46"/>
    </row>
    <row r="133" spans="1:11" s="49" customFormat="1">
      <c r="A133" s="62"/>
      <c r="D133" s="234"/>
      <c r="E133" s="234"/>
      <c r="F133" s="46"/>
      <c r="G133" s="46"/>
      <c r="H133" s="46"/>
      <c r="I133" s="46"/>
      <c r="J133" s="46"/>
      <c r="K133" s="46"/>
    </row>
    <row r="134" spans="1:11" s="49" customFormat="1">
      <c r="A134" s="62"/>
      <c r="D134" s="234"/>
      <c r="E134" s="234"/>
      <c r="F134" s="46"/>
      <c r="G134" s="46"/>
      <c r="H134" s="46"/>
      <c r="I134" s="46"/>
      <c r="J134" s="46"/>
      <c r="K134" s="46"/>
    </row>
    <row r="135" spans="1:11" s="49" customFormat="1">
      <c r="A135" s="62"/>
      <c r="D135" s="234"/>
      <c r="E135" s="234"/>
      <c r="F135" s="46"/>
      <c r="G135" s="46"/>
      <c r="H135" s="46"/>
      <c r="I135" s="46"/>
      <c r="J135" s="46"/>
      <c r="K135" s="46"/>
    </row>
    <row r="136" spans="1:11" s="49" customFormat="1">
      <c r="A136" s="62"/>
      <c r="D136" s="234"/>
      <c r="E136" s="234"/>
      <c r="F136" s="46"/>
      <c r="G136" s="46"/>
      <c r="H136" s="46"/>
      <c r="I136" s="46"/>
      <c r="J136" s="46"/>
      <c r="K136" s="46"/>
    </row>
    <row r="137" spans="1:11" s="49" customFormat="1">
      <c r="A137" s="62"/>
      <c r="D137" s="234"/>
      <c r="E137" s="234"/>
      <c r="F137" s="46"/>
      <c r="G137" s="46"/>
      <c r="H137" s="46"/>
      <c r="I137" s="46"/>
      <c r="J137" s="46"/>
      <c r="K137" s="46"/>
    </row>
    <row r="138" spans="1:11" s="49" customFormat="1">
      <c r="A138" s="62"/>
      <c r="D138" s="234"/>
      <c r="E138" s="234"/>
      <c r="F138" s="46"/>
      <c r="G138" s="46"/>
      <c r="H138" s="46"/>
      <c r="I138" s="46"/>
      <c r="J138" s="46"/>
      <c r="K138" s="46"/>
    </row>
    <row r="139" spans="1:11" s="49" customFormat="1">
      <c r="A139" s="62"/>
      <c r="D139" s="234"/>
      <c r="E139" s="234"/>
      <c r="F139" s="46"/>
      <c r="G139" s="46"/>
      <c r="H139" s="46"/>
      <c r="I139" s="46"/>
      <c r="J139" s="46"/>
      <c r="K139" s="46"/>
    </row>
    <row r="140" spans="1:11" s="49" customFormat="1">
      <c r="A140" s="62"/>
      <c r="D140" s="234"/>
      <c r="E140" s="234"/>
      <c r="F140" s="46"/>
      <c r="G140" s="46"/>
      <c r="H140" s="46"/>
      <c r="I140" s="46"/>
      <c r="J140" s="46"/>
      <c r="K140" s="46"/>
    </row>
    <row r="141" spans="1:11" s="49" customFormat="1">
      <c r="A141" s="62"/>
      <c r="D141" s="234"/>
      <c r="E141" s="234"/>
      <c r="F141" s="46"/>
      <c r="G141" s="46"/>
      <c r="H141" s="46"/>
      <c r="I141" s="46"/>
      <c r="J141" s="46"/>
      <c r="K141" s="46"/>
    </row>
    <row r="142" spans="1:11" s="49" customFormat="1">
      <c r="A142" s="62"/>
      <c r="D142" s="234"/>
      <c r="E142" s="234"/>
      <c r="F142" s="46"/>
      <c r="G142" s="46"/>
      <c r="H142" s="46"/>
      <c r="I142" s="46"/>
      <c r="J142" s="46"/>
      <c r="K142" s="46"/>
    </row>
    <row r="143" spans="1:11" s="49" customFormat="1">
      <c r="A143" s="62"/>
      <c r="D143" s="234"/>
      <c r="E143" s="234"/>
      <c r="F143" s="46"/>
      <c r="G143" s="46"/>
      <c r="H143" s="46"/>
      <c r="I143" s="46"/>
      <c r="J143" s="46"/>
      <c r="K143" s="46"/>
    </row>
    <row r="144" spans="1:11" s="49" customFormat="1">
      <c r="A144" s="62"/>
      <c r="D144" s="234"/>
      <c r="E144" s="234"/>
      <c r="F144" s="46"/>
      <c r="G144" s="46"/>
      <c r="H144" s="46"/>
      <c r="I144" s="46"/>
      <c r="J144" s="46"/>
      <c r="K144" s="46"/>
    </row>
    <row r="145" spans="1:11" s="49" customFormat="1">
      <c r="A145" s="62"/>
      <c r="D145" s="234"/>
      <c r="E145" s="234"/>
      <c r="F145" s="46"/>
      <c r="G145" s="46"/>
      <c r="H145" s="46"/>
      <c r="I145" s="46"/>
      <c r="J145" s="46"/>
      <c r="K145" s="46"/>
    </row>
    <row r="146" spans="1:11" s="49" customFormat="1">
      <c r="A146" s="62"/>
      <c r="D146" s="234"/>
      <c r="E146" s="234"/>
      <c r="F146" s="46"/>
      <c r="G146" s="46"/>
      <c r="H146" s="46"/>
      <c r="I146" s="46"/>
      <c r="J146" s="46"/>
      <c r="K146" s="46"/>
    </row>
    <row r="147" spans="1:11" s="49" customFormat="1">
      <c r="A147" s="62"/>
      <c r="D147" s="234"/>
      <c r="E147" s="234"/>
      <c r="F147" s="46"/>
      <c r="G147" s="46"/>
      <c r="H147" s="46"/>
      <c r="I147" s="46"/>
      <c r="J147" s="46"/>
      <c r="K147" s="46"/>
    </row>
    <row r="148" spans="1:11" s="49" customFormat="1">
      <c r="A148" s="62"/>
      <c r="D148" s="234"/>
      <c r="E148" s="234"/>
      <c r="F148" s="46"/>
      <c r="G148" s="46"/>
      <c r="H148" s="46"/>
      <c r="I148" s="46"/>
      <c r="J148" s="46"/>
      <c r="K148" s="46"/>
    </row>
    <row r="149" spans="1:11" s="49" customFormat="1">
      <c r="A149" s="62"/>
      <c r="D149" s="234"/>
      <c r="E149" s="234"/>
      <c r="F149" s="46"/>
      <c r="G149" s="46"/>
      <c r="H149" s="46"/>
      <c r="I149" s="46"/>
      <c r="J149" s="46"/>
      <c r="K149" s="46"/>
    </row>
    <row r="150" spans="1:11" s="49" customFormat="1">
      <c r="A150" s="62"/>
      <c r="D150" s="234"/>
      <c r="E150" s="234"/>
      <c r="F150" s="46"/>
      <c r="G150" s="46"/>
      <c r="H150" s="46"/>
      <c r="I150" s="46"/>
      <c r="J150" s="46"/>
      <c r="K150" s="46"/>
    </row>
    <row r="151" spans="1:11" s="49" customFormat="1">
      <c r="A151" s="62"/>
      <c r="D151" s="234"/>
      <c r="E151" s="234"/>
      <c r="F151" s="46"/>
      <c r="G151" s="46"/>
      <c r="H151" s="46"/>
      <c r="I151" s="46"/>
      <c r="J151" s="46"/>
      <c r="K151" s="46"/>
    </row>
    <row r="152" spans="1:11" s="49" customFormat="1">
      <c r="A152" s="62"/>
      <c r="D152" s="234"/>
      <c r="E152" s="234"/>
      <c r="F152" s="46"/>
      <c r="G152" s="46"/>
      <c r="H152" s="46"/>
      <c r="I152" s="46"/>
      <c r="J152" s="46"/>
      <c r="K152" s="46"/>
    </row>
    <row r="153" spans="1:11" s="49" customFormat="1">
      <c r="A153" s="62"/>
      <c r="D153" s="234"/>
      <c r="E153" s="234"/>
      <c r="F153" s="46"/>
      <c r="G153" s="46"/>
      <c r="H153" s="46"/>
      <c r="I153" s="46"/>
      <c r="J153" s="46"/>
      <c r="K153" s="46"/>
    </row>
    <row r="154" spans="1:11" s="49" customFormat="1">
      <c r="A154" s="62"/>
      <c r="D154" s="234"/>
      <c r="E154" s="234"/>
      <c r="F154" s="46"/>
      <c r="G154" s="46"/>
      <c r="H154" s="46"/>
      <c r="I154" s="46"/>
      <c r="J154" s="46"/>
      <c r="K154" s="46"/>
    </row>
    <row r="155" spans="1:11" s="49" customFormat="1">
      <c r="A155" s="62"/>
      <c r="D155" s="234"/>
      <c r="E155" s="234"/>
      <c r="F155" s="46"/>
      <c r="G155" s="46"/>
      <c r="H155" s="46"/>
      <c r="I155" s="46"/>
      <c r="J155" s="46"/>
      <c r="K155" s="46"/>
    </row>
    <row r="156" spans="1:11" s="49" customFormat="1">
      <c r="A156" s="62"/>
      <c r="D156" s="234"/>
      <c r="E156" s="234"/>
      <c r="F156" s="46"/>
      <c r="G156" s="46"/>
      <c r="H156" s="46"/>
      <c r="I156" s="46"/>
      <c r="J156" s="46"/>
      <c r="K156" s="46"/>
    </row>
    <row r="157" spans="1:11" s="49" customFormat="1">
      <c r="A157" s="62"/>
      <c r="D157" s="234"/>
      <c r="E157" s="234"/>
      <c r="F157" s="46"/>
      <c r="G157" s="46"/>
      <c r="H157" s="46"/>
      <c r="I157" s="46"/>
      <c r="J157" s="46"/>
      <c r="K157" s="46"/>
    </row>
    <row r="158" spans="1:11" s="49" customFormat="1">
      <c r="A158" s="62"/>
      <c r="D158" s="234"/>
      <c r="E158" s="234"/>
      <c r="F158" s="46"/>
      <c r="G158" s="46"/>
      <c r="H158" s="46"/>
      <c r="I158" s="46"/>
      <c r="J158" s="46"/>
      <c r="K158" s="46"/>
    </row>
    <row r="159" spans="1:11" s="49" customFormat="1">
      <c r="A159" s="62"/>
      <c r="D159" s="234"/>
      <c r="E159" s="234"/>
      <c r="F159" s="46"/>
      <c r="G159" s="46"/>
      <c r="H159" s="46"/>
      <c r="I159" s="46"/>
      <c r="J159" s="46"/>
      <c r="K159" s="46"/>
    </row>
    <row r="160" spans="1:11" s="49" customFormat="1">
      <c r="A160" s="62"/>
      <c r="D160" s="234"/>
      <c r="E160" s="234"/>
      <c r="F160" s="46"/>
      <c r="G160" s="46"/>
      <c r="H160" s="46"/>
      <c r="I160" s="46"/>
      <c r="J160" s="46"/>
      <c r="K160" s="46"/>
    </row>
    <row r="161" spans="1:11" s="49" customFormat="1">
      <c r="A161" s="62"/>
      <c r="D161" s="234"/>
      <c r="E161" s="234"/>
      <c r="F161" s="46"/>
      <c r="G161" s="46"/>
      <c r="H161" s="46"/>
      <c r="I161" s="46"/>
      <c r="J161" s="46"/>
      <c r="K161" s="46"/>
    </row>
    <row r="162" spans="1:11" s="49" customFormat="1">
      <c r="A162" s="62"/>
      <c r="D162" s="234"/>
      <c r="E162" s="234"/>
      <c r="F162" s="46"/>
      <c r="G162" s="46"/>
      <c r="H162" s="46"/>
      <c r="I162" s="46"/>
      <c r="J162" s="46"/>
      <c r="K162" s="46"/>
    </row>
    <row r="163" spans="1:11" s="49" customFormat="1">
      <c r="A163" s="62"/>
      <c r="D163" s="234"/>
      <c r="E163" s="234"/>
      <c r="F163" s="46"/>
      <c r="G163" s="46"/>
      <c r="H163" s="46"/>
      <c r="I163" s="46"/>
      <c r="J163" s="46"/>
      <c r="K163" s="46"/>
    </row>
    <row r="164" spans="1:11" s="49" customFormat="1">
      <c r="A164" s="62"/>
      <c r="D164" s="234"/>
      <c r="E164" s="234"/>
      <c r="F164" s="46"/>
      <c r="G164" s="46"/>
      <c r="H164" s="46"/>
      <c r="I164" s="46"/>
      <c r="J164" s="46"/>
      <c r="K164" s="46"/>
    </row>
    <row r="165" spans="1:11" s="49" customFormat="1">
      <c r="A165" s="62"/>
      <c r="D165" s="234"/>
      <c r="E165" s="234"/>
      <c r="F165" s="46"/>
      <c r="G165" s="46"/>
      <c r="H165" s="46"/>
      <c r="I165" s="46"/>
      <c r="J165" s="46"/>
      <c r="K165" s="46"/>
    </row>
    <row r="166" spans="1:11" s="49" customFormat="1">
      <c r="A166" s="62"/>
      <c r="D166" s="234"/>
      <c r="E166" s="234"/>
      <c r="F166" s="46"/>
      <c r="G166" s="46"/>
      <c r="H166" s="46"/>
      <c r="I166" s="46"/>
      <c r="J166" s="46"/>
      <c r="K166" s="46"/>
    </row>
    <row r="167" spans="1:11" s="49" customFormat="1">
      <c r="A167" s="62"/>
      <c r="D167" s="234"/>
      <c r="E167" s="234"/>
      <c r="F167" s="46"/>
      <c r="G167" s="46"/>
      <c r="H167" s="46"/>
      <c r="I167" s="46"/>
      <c r="J167" s="46"/>
      <c r="K167" s="46"/>
    </row>
    <row r="168" spans="1:11" s="49" customFormat="1">
      <c r="A168" s="62"/>
      <c r="D168" s="234"/>
      <c r="E168" s="234"/>
      <c r="F168" s="46"/>
      <c r="G168" s="46"/>
      <c r="H168" s="46"/>
      <c r="I168" s="46"/>
      <c r="J168" s="46"/>
      <c r="K168" s="46"/>
    </row>
    <row r="169" spans="1:11" s="49" customFormat="1">
      <c r="A169" s="62"/>
      <c r="D169" s="234"/>
      <c r="E169" s="234"/>
      <c r="F169" s="46"/>
      <c r="G169" s="46"/>
      <c r="H169" s="46"/>
      <c r="I169" s="46"/>
      <c r="J169" s="46"/>
      <c r="K169" s="46"/>
    </row>
    <row r="170" spans="1:11" s="49" customFormat="1">
      <c r="A170" s="62"/>
      <c r="D170" s="234"/>
      <c r="E170" s="234"/>
      <c r="F170" s="46"/>
      <c r="G170" s="46"/>
      <c r="H170" s="46"/>
      <c r="I170" s="46"/>
      <c r="J170" s="46"/>
      <c r="K170" s="46"/>
    </row>
    <row r="171" spans="1:11" s="49" customFormat="1">
      <c r="A171" s="62"/>
      <c r="D171" s="234"/>
      <c r="E171" s="234"/>
      <c r="F171" s="46"/>
      <c r="G171" s="46"/>
      <c r="H171" s="46"/>
      <c r="I171" s="46"/>
      <c r="J171" s="46"/>
      <c r="K171" s="46"/>
    </row>
    <row r="172" spans="1:11" s="49" customFormat="1">
      <c r="A172" s="62"/>
      <c r="D172" s="234"/>
      <c r="E172" s="234"/>
      <c r="F172" s="46"/>
      <c r="G172" s="46"/>
      <c r="H172" s="46"/>
      <c r="I172" s="46"/>
      <c r="J172" s="46"/>
      <c r="K172" s="46"/>
    </row>
    <row r="173" spans="1:11" s="49" customFormat="1">
      <c r="A173" s="62"/>
      <c r="D173" s="234"/>
      <c r="E173" s="234"/>
      <c r="F173" s="46"/>
      <c r="G173" s="46"/>
      <c r="H173" s="46"/>
      <c r="I173" s="46"/>
      <c r="J173" s="46"/>
      <c r="K173" s="46"/>
    </row>
    <row r="174" spans="1:11" s="49" customFormat="1">
      <c r="A174" s="62"/>
      <c r="D174" s="234"/>
      <c r="E174" s="234"/>
      <c r="F174" s="46"/>
      <c r="G174" s="46"/>
      <c r="H174" s="46"/>
      <c r="I174" s="46"/>
      <c r="J174" s="46"/>
      <c r="K174" s="46"/>
    </row>
    <row r="175" spans="1:11" s="49" customFormat="1">
      <c r="A175" s="62"/>
      <c r="D175" s="234"/>
      <c r="E175" s="234"/>
      <c r="F175" s="46"/>
      <c r="G175" s="46"/>
      <c r="H175" s="46"/>
      <c r="I175" s="46"/>
      <c r="J175" s="46"/>
      <c r="K175" s="46"/>
    </row>
    <row r="176" spans="1:11" s="49" customFormat="1">
      <c r="A176" s="62"/>
      <c r="D176" s="234"/>
      <c r="E176" s="234"/>
      <c r="F176" s="46"/>
      <c r="G176" s="46"/>
      <c r="H176" s="46"/>
      <c r="I176" s="46"/>
      <c r="J176" s="46"/>
      <c r="K176" s="46"/>
    </row>
    <row r="177" spans="1:11" s="49" customFormat="1">
      <c r="A177" s="62"/>
      <c r="D177" s="234"/>
      <c r="E177" s="234"/>
      <c r="F177" s="46"/>
      <c r="G177" s="46"/>
      <c r="H177" s="46"/>
      <c r="I177" s="46"/>
      <c r="J177" s="46"/>
      <c r="K177" s="46"/>
    </row>
    <row r="178" spans="1:11" s="49" customFormat="1">
      <c r="A178" s="62"/>
      <c r="D178" s="234"/>
      <c r="E178" s="234"/>
      <c r="F178" s="46"/>
      <c r="G178" s="46"/>
      <c r="H178" s="46"/>
      <c r="I178" s="46"/>
      <c r="J178" s="46"/>
      <c r="K178" s="46"/>
    </row>
    <row r="179" spans="1:11" s="49" customFormat="1">
      <c r="A179" s="62"/>
      <c r="D179" s="234"/>
      <c r="E179" s="234"/>
      <c r="F179" s="46"/>
      <c r="G179" s="46"/>
      <c r="H179" s="46"/>
      <c r="I179" s="46"/>
      <c r="J179" s="46"/>
      <c r="K179" s="46"/>
    </row>
    <row r="180" spans="1:11" s="49" customFormat="1">
      <c r="A180" s="62"/>
      <c r="D180" s="234"/>
      <c r="E180" s="234"/>
      <c r="F180" s="46"/>
      <c r="G180" s="46"/>
      <c r="H180" s="46"/>
      <c r="I180" s="46"/>
      <c r="J180" s="46"/>
      <c r="K180" s="46"/>
    </row>
    <row r="181" spans="1:11" s="49" customFormat="1">
      <c r="A181" s="62"/>
      <c r="D181" s="234"/>
      <c r="E181" s="234"/>
      <c r="F181" s="46"/>
      <c r="G181" s="46"/>
      <c r="H181" s="46"/>
      <c r="I181" s="46"/>
      <c r="J181" s="46"/>
      <c r="K181" s="46"/>
    </row>
    <row r="182" spans="1:11" s="49" customFormat="1">
      <c r="A182" s="62"/>
      <c r="D182" s="234"/>
      <c r="E182" s="234"/>
      <c r="F182" s="46"/>
      <c r="G182" s="46"/>
      <c r="H182" s="46"/>
      <c r="I182" s="46"/>
      <c r="J182" s="46"/>
      <c r="K182" s="46"/>
    </row>
    <row r="183" spans="1:11" s="49" customFormat="1">
      <c r="A183" s="62"/>
      <c r="D183" s="234"/>
      <c r="E183" s="234"/>
      <c r="F183" s="46"/>
      <c r="G183" s="46"/>
      <c r="H183" s="46"/>
      <c r="I183" s="46"/>
      <c r="J183" s="46"/>
      <c r="K183" s="46"/>
    </row>
    <row r="184" spans="1:11" s="49" customFormat="1">
      <c r="A184" s="62"/>
      <c r="D184" s="234"/>
      <c r="E184" s="234"/>
      <c r="F184" s="46"/>
      <c r="G184" s="46"/>
      <c r="H184" s="46"/>
      <c r="I184" s="46"/>
      <c r="J184" s="46"/>
      <c r="K184" s="46"/>
    </row>
    <row r="185" spans="1:11" s="49" customFormat="1">
      <c r="A185" s="62"/>
      <c r="D185" s="234"/>
      <c r="E185" s="234"/>
      <c r="F185" s="46"/>
      <c r="G185" s="46"/>
      <c r="H185" s="46"/>
      <c r="I185" s="46"/>
      <c r="J185" s="46"/>
      <c r="K185" s="46"/>
    </row>
    <row r="186" spans="1:11" s="49" customFormat="1">
      <c r="A186" s="62"/>
      <c r="D186" s="234"/>
      <c r="E186" s="234"/>
      <c r="F186" s="46"/>
      <c r="G186" s="46"/>
      <c r="H186" s="46"/>
      <c r="I186" s="46"/>
      <c r="J186" s="46"/>
      <c r="K186" s="46"/>
    </row>
    <row r="187" spans="1:11" s="49" customFormat="1">
      <c r="A187" s="62"/>
      <c r="D187" s="234"/>
      <c r="E187" s="234"/>
      <c r="F187" s="46"/>
      <c r="G187" s="46"/>
      <c r="H187" s="46"/>
      <c r="I187" s="46"/>
      <c r="J187" s="46"/>
      <c r="K187" s="46"/>
    </row>
    <row r="188" spans="1:11" s="49" customFormat="1">
      <c r="A188" s="62"/>
      <c r="D188" s="234"/>
      <c r="E188" s="234"/>
      <c r="F188" s="46"/>
      <c r="G188" s="46"/>
      <c r="H188" s="46"/>
      <c r="I188" s="46"/>
      <c r="J188" s="46"/>
      <c r="K188" s="46"/>
    </row>
    <row r="189" spans="1:11" s="49" customFormat="1">
      <c r="A189" s="62"/>
      <c r="D189" s="234"/>
      <c r="E189" s="234"/>
      <c r="F189" s="46"/>
      <c r="G189" s="46"/>
      <c r="H189" s="46"/>
      <c r="I189" s="46"/>
      <c r="J189" s="46"/>
      <c r="K189" s="46"/>
    </row>
    <row r="190" spans="1:11" s="49" customFormat="1">
      <c r="A190" s="62"/>
      <c r="D190" s="234"/>
      <c r="E190" s="234"/>
      <c r="F190" s="46"/>
      <c r="G190" s="46"/>
      <c r="H190" s="46"/>
      <c r="I190" s="46"/>
      <c r="J190" s="46"/>
      <c r="K190" s="46"/>
    </row>
    <row r="191" spans="1:11" s="49" customFormat="1">
      <c r="A191" s="62"/>
      <c r="D191" s="234"/>
      <c r="E191" s="234"/>
      <c r="F191" s="46"/>
      <c r="G191" s="46"/>
      <c r="H191" s="46"/>
      <c r="I191" s="46"/>
      <c r="J191" s="46"/>
      <c r="K191" s="46"/>
    </row>
  </sheetData>
  <sheetProtection formatCells="0" formatColumns="0" formatRows="0" insertRows="0" deleteRows="0"/>
  <mergeCells count="13">
    <mergeCell ref="A1:I1"/>
    <mergeCell ref="A3:A4"/>
    <mergeCell ref="B3:B4"/>
    <mergeCell ref="C3:C4"/>
    <mergeCell ref="D3:D4"/>
    <mergeCell ref="E3:E4"/>
    <mergeCell ref="F3:I3"/>
    <mergeCell ref="C41:E41"/>
    <mergeCell ref="G41:I41"/>
    <mergeCell ref="A6:I6"/>
    <mergeCell ref="A18:I18"/>
    <mergeCell ref="C40:E40"/>
    <mergeCell ref="G40:I40"/>
  </mergeCells>
  <phoneticPr fontId="3" type="noConversion"/>
  <pageMargins left="0.78740157480314965" right="0.39370078740157483" top="0.59055118110236227" bottom="0.59055118110236227" header="0.19685039370078741" footer="0.11811023622047245"/>
  <pageSetup paperSize="9" scale="50" fitToHeight="2" orientation="portrait" verticalDpi="300" r:id="rId1"/>
  <headerFooter alignWithMargins="0">
    <oddHeader xml:space="preserve">&amp;C&amp;"Times New Roman,обычный"&amp;14 
7&amp;R
&amp;"Times New Roman,обычный"&amp;14Продовження додатка 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107"/>
  <sheetViews>
    <sheetView view="pageBreakPreview" zoomScale="75" zoomScaleNormal="75" zoomScaleSheetLayoutView="50" workbookViewId="0">
      <pane ySplit="5" topLeftCell="A6" activePane="bottomLeft" state="frozen"/>
      <selection pane="bottomLeft" activeCell="C15" sqref="C15"/>
    </sheetView>
  </sheetViews>
  <sheetFormatPr defaultRowHeight="18.75" outlineLevelRow="1"/>
  <cols>
    <col min="1" max="1" width="53.28515625" style="1" customWidth="1"/>
    <col min="2" max="2" width="13.7109375" style="1" customWidth="1"/>
    <col min="3" max="3" width="12.140625" style="1" customWidth="1"/>
    <col min="4" max="4" width="13.140625" style="239" customWidth="1"/>
    <col min="5" max="5" width="13.85546875" style="239" customWidth="1"/>
    <col min="6" max="6" width="12.42578125" style="1" bestFit="1" customWidth="1"/>
    <col min="7" max="7" width="10.7109375" style="1" bestFit="1" customWidth="1"/>
    <col min="8" max="8" width="11.42578125" style="1" bestFit="1" customWidth="1"/>
    <col min="9" max="9" width="10.7109375" style="1" bestFit="1" customWidth="1"/>
    <col min="10" max="16384" width="9.140625" style="1"/>
  </cols>
  <sheetData>
    <row r="1" spans="1:9">
      <c r="A1" s="310" t="s">
        <v>372</v>
      </c>
      <c r="B1" s="310"/>
      <c r="C1" s="310"/>
      <c r="D1" s="310"/>
      <c r="E1" s="310"/>
      <c r="F1" s="310"/>
      <c r="G1" s="310"/>
      <c r="H1" s="310"/>
      <c r="I1" s="310"/>
    </row>
    <row r="2" spans="1:9" outlineLevel="1">
      <c r="A2" s="21"/>
      <c r="B2" s="21"/>
      <c r="C2" s="21"/>
      <c r="D2" s="235"/>
      <c r="E2" s="235"/>
      <c r="F2" s="21"/>
      <c r="G2" s="21"/>
      <c r="H2" s="21"/>
      <c r="I2" s="21"/>
    </row>
    <row r="3" spans="1:9" ht="48" customHeight="1">
      <c r="A3" s="335" t="s">
        <v>269</v>
      </c>
      <c r="B3" s="337" t="s">
        <v>0</v>
      </c>
      <c r="C3" s="337" t="s">
        <v>24</v>
      </c>
      <c r="D3" s="326" t="s">
        <v>63</v>
      </c>
      <c r="E3" s="326" t="s">
        <v>175</v>
      </c>
      <c r="F3" s="319" t="s">
        <v>364</v>
      </c>
      <c r="G3" s="319"/>
      <c r="H3" s="319"/>
      <c r="I3" s="319"/>
    </row>
    <row r="4" spans="1:9" ht="38.25" customHeight="1">
      <c r="A4" s="336"/>
      <c r="B4" s="337"/>
      <c r="C4" s="337"/>
      <c r="D4" s="326"/>
      <c r="E4" s="326"/>
      <c r="F4" s="13" t="s">
        <v>373</v>
      </c>
      <c r="G4" s="13" t="s">
        <v>366</v>
      </c>
      <c r="H4" s="13" t="s">
        <v>367</v>
      </c>
      <c r="I4" s="13" t="s">
        <v>79</v>
      </c>
    </row>
    <row r="5" spans="1:9" ht="18" customHeight="1">
      <c r="A5" s="7">
        <v>1</v>
      </c>
      <c r="B5" s="13">
        <v>2</v>
      </c>
      <c r="C5" s="13">
        <v>3</v>
      </c>
      <c r="D5" s="236">
        <v>4</v>
      </c>
      <c r="E5" s="236">
        <v>5</v>
      </c>
      <c r="F5" s="13">
        <v>6</v>
      </c>
      <c r="G5" s="13">
        <v>7</v>
      </c>
      <c r="H5" s="13">
        <v>8</v>
      </c>
      <c r="I5" s="13">
        <v>9</v>
      </c>
    </row>
    <row r="6" spans="1:9" s="60" customFormat="1" ht="20.100000000000001" customHeight="1">
      <c r="A6" s="328" t="s">
        <v>165</v>
      </c>
      <c r="B6" s="329"/>
      <c r="C6" s="329"/>
      <c r="D6" s="329"/>
      <c r="E6" s="329"/>
      <c r="F6" s="329"/>
      <c r="G6" s="329"/>
      <c r="H6" s="329"/>
      <c r="I6" s="330"/>
    </row>
    <row r="7" spans="1:9" ht="37.5">
      <c r="A7" s="47" t="s">
        <v>185</v>
      </c>
      <c r="B7" s="9">
        <v>1170</v>
      </c>
      <c r="C7" s="206">
        <f>'I. Фін результат'!C73</f>
        <v>-14</v>
      </c>
      <c r="D7" s="206">
        <f>'I. Фін результат'!D73</f>
        <v>4</v>
      </c>
      <c r="E7" s="206">
        <f>'I. Фін результат'!E73</f>
        <v>1</v>
      </c>
      <c r="F7" s="206">
        <f>'I. Фін результат'!F73</f>
        <v>-1</v>
      </c>
      <c r="G7" s="206">
        <f>'I. Фін результат'!G73</f>
        <v>1</v>
      </c>
      <c r="H7" s="206">
        <f>'I. Фін результат'!H73</f>
        <v>-1</v>
      </c>
      <c r="I7" s="206">
        <f>'I. Фін результат'!I73</f>
        <v>1</v>
      </c>
    </row>
    <row r="8" spans="1:9" ht="20.100000000000001" customHeight="1">
      <c r="A8" s="47" t="s">
        <v>186</v>
      </c>
      <c r="B8" s="14"/>
      <c r="C8" s="206"/>
      <c r="D8" s="206"/>
      <c r="E8" s="206"/>
      <c r="F8" s="206"/>
      <c r="G8" s="206"/>
      <c r="H8" s="206"/>
      <c r="I8" s="206"/>
    </row>
    <row r="9" spans="1:9" ht="20.100000000000001" customHeight="1">
      <c r="A9" s="208" t="s">
        <v>189</v>
      </c>
      <c r="B9" s="6">
        <v>3000</v>
      </c>
      <c r="C9" s="206">
        <f>'I. Фін результат'!C99</f>
        <v>16</v>
      </c>
      <c r="D9" s="206">
        <f>'I. Фін результат'!D99</f>
        <v>10</v>
      </c>
      <c r="E9" s="206">
        <f>'I. Фін результат'!E99</f>
        <v>10</v>
      </c>
      <c r="F9" s="206">
        <f>'I. Фін результат'!F99</f>
        <v>5</v>
      </c>
      <c r="G9" s="206">
        <f>'I. Фін результат'!G99</f>
        <v>10</v>
      </c>
      <c r="H9" s="206">
        <f>'I. Фін результат'!H99</f>
        <v>14</v>
      </c>
      <c r="I9" s="206">
        <f>'I. Фін результат'!I99</f>
        <v>17</v>
      </c>
    </row>
    <row r="10" spans="1:9" ht="20.100000000000001" customHeight="1">
      <c r="A10" s="47" t="s">
        <v>190</v>
      </c>
      <c r="B10" s="6">
        <v>3010</v>
      </c>
      <c r="C10" s="194"/>
      <c r="D10" s="194"/>
      <c r="E10" s="194"/>
      <c r="F10" s="194"/>
      <c r="G10" s="194"/>
      <c r="H10" s="194"/>
      <c r="I10" s="194"/>
    </row>
    <row r="11" spans="1:9" ht="37.5">
      <c r="A11" s="47" t="s">
        <v>191</v>
      </c>
      <c r="B11" s="6">
        <v>3020</v>
      </c>
      <c r="C11" s="194"/>
      <c r="D11" s="194"/>
      <c r="E11" s="194"/>
      <c r="F11" s="194"/>
      <c r="G11" s="194"/>
      <c r="H11" s="194"/>
      <c r="I11" s="194"/>
    </row>
    <row r="12" spans="1:9" ht="56.25">
      <c r="A12" s="47" t="s">
        <v>192</v>
      </c>
      <c r="B12" s="6">
        <v>3030</v>
      </c>
      <c r="C12" s="194">
        <f>C13+C14</f>
        <v>0</v>
      </c>
      <c r="D12" s="194">
        <f t="shared" ref="D12:E12" si="0">D13+D14</f>
        <v>0</v>
      </c>
      <c r="E12" s="194">
        <f t="shared" si="0"/>
        <v>0</v>
      </c>
      <c r="F12" s="194"/>
      <c r="G12" s="194"/>
      <c r="H12" s="194"/>
      <c r="I12" s="194"/>
    </row>
    <row r="13" spans="1:9">
      <c r="A13" s="47" t="s">
        <v>429</v>
      </c>
      <c r="B13" s="203" t="s">
        <v>413</v>
      </c>
      <c r="C13" s="194"/>
      <c r="D13" s="194"/>
      <c r="E13" s="194"/>
      <c r="F13" s="194"/>
      <c r="G13" s="194"/>
      <c r="H13" s="194"/>
      <c r="I13" s="194"/>
    </row>
    <row r="14" spans="1:9">
      <c r="A14" s="47" t="s">
        <v>412</v>
      </c>
      <c r="B14" s="203" t="s">
        <v>414</v>
      </c>
      <c r="C14" s="194"/>
      <c r="D14" s="194"/>
      <c r="E14" s="194"/>
      <c r="F14" s="194"/>
      <c r="G14" s="194"/>
      <c r="H14" s="194"/>
      <c r="I14" s="194"/>
    </row>
    <row r="15" spans="1:9" ht="42.75" customHeight="1">
      <c r="A15" s="59" t="s">
        <v>252</v>
      </c>
      <c r="B15" s="97">
        <v>3040</v>
      </c>
      <c r="C15" s="207">
        <f>SUM(C7:C12)</f>
        <v>2</v>
      </c>
      <c r="D15" s="207">
        <f>SUM(D7:D12)</f>
        <v>14</v>
      </c>
      <c r="E15" s="207">
        <f t="shared" ref="E15:I15" si="1">SUM(E7:E12)</f>
        <v>11</v>
      </c>
      <c r="F15" s="207">
        <f t="shared" si="1"/>
        <v>4</v>
      </c>
      <c r="G15" s="207">
        <f t="shared" si="1"/>
        <v>11</v>
      </c>
      <c r="H15" s="207">
        <f t="shared" si="1"/>
        <v>13</v>
      </c>
      <c r="I15" s="207">
        <f t="shared" si="1"/>
        <v>18</v>
      </c>
    </row>
    <row r="16" spans="1:9" ht="37.5">
      <c r="A16" s="47" t="s">
        <v>193</v>
      </c>
      <c r="B16" s="6">
        <v>3050</v>
      </c>
      <c r="C16" s="194"/>
      <c r="D16" s="194"/>
      <c r="E16" s="194">
        <f>E17</f>
        <v>0</v>
      </c>
      <c r="F16" s="194"/>
      <c r="G16" s="194"/>
      <c r="H16" s="194"/>
      <c r="I16" s="194"/>
    </row>
    <row r="17" spans="1:9">
      <c r="A17" s="47" t="s">
        <v>430</v>
      </c>
      <c r="B17" s="203" t="s">
        <v>415</v>
      </c>
      <c r="C17" s="194"/>
      <c r="D17" s="194"/>
      <c r="E17" s="194"/>
      <c r="F17" s="194"/>
      <c r="G17" s="194"/>
      <c r="H17" s="194"/>
      <c r="I17" s="194"/>
    </row>
    <row r="18" spans="1:9" ht="37.5">
      <c r="A18" s="47" t="s">
        <v>194</v>
      </c>
      <c r="B18" s="6">
        <v>3060</v>
      </c>
      <c r="C18" s="194"/>
      <c r="D18" s="194"/>
      <c r="E18" s="194"/>
      <c r="F18" s="194"/>
      <c r="G18" s="194"/>
      <c r="H18" s="194"/>
      <c r="I18" s="194"/>
    </row>
    <row r="19" spans="1:9">
      <c r="A19" s="47" t="s">
        <v>416</v>
      </c>
      <c r="B19" s="203" t="s">
        <v>417</v>
      </c>
      <c r="C19" s="194"/>
      <c r="D19" s="194"/>
      <c r="E19" s="194"/>
      <c r="F19" s="194"/>
      <c r="G19" s="194"/>
      <c r="H19" s="194"/>
      <c r="I19" s="194"/>
    </row>
    <row r="20" spans="1:9" ht="20.100000000000001" customHeight="1">
      <c r="A20" s="59" t="s">
        <v>187</v>
      </c>
      <c r="B20" s="97">
        <v>3070</v>
      </c>
      <c r="C20" s="207">
        <f>SUM(C15:C16)+C18</f>
        <v>2</v>
      </c>
      <c r="D20" s="207">
        <f t="shared" ref="D20:I20" si="2">SUM(D15:D16)+D18</f>
        <v>14</v>
      </c>
      <c r="E20" s="207">
        <f>SUM(E15:E16)+E18</f>
        <v>11</v>
      </c>
      <c r="F20" s="207">
        <f t="shared" si="2"/>
        <v>4</v>
      </c>
      <c r="G20" s="207">
        <f t="shared" si="2"/>
        <v>11</v>
      </c>
      <c r="H20" s="207">
        <f t="shared" si="2"/>
        <v>13</v>
      </c>
      <c r="I20" s="207">
        <f t="shared" si="2"/>
        <v>18</v>
      </c>
    </row>
    <row r="21" spans="1:9" ht="20.100000000000001" customHeight="1">
      <c r="A21" s="47" t="s">
        <v>188</v>
      </c>
      <c r="B21" s="6">
        <v>3080</v>
      </c>
      <c r="C21" s="206">
        <f>'I. Фін результат'!C74</f>
        <v>0</v>
      </c>
      <c r="D21" s="206">
        <f>'I. Фін результат'!D74</f>
        <v>1</v>
      </c>
      <c r="E21" s="206">
        <f>'I. Фін результат'!E74</f>
        <v>1</v>
      </c>
      <c r="F21" s="206">
        <f>'I. Фін результат'!F74</f>
        <v>0</v>
      </c>
      <c r="G21" s="206">
        <f>'I. Фін результат'!G74</f>
        <v>0</v>
      </c>
      <c r="H21" s="206">
        <f>'I. Фін результат'!H74</f>
        <v>0</v>
      </c>
      <c r="I21" s="206">
        <f>'I. Фін результат'!I74</f>
        <v>0</v>
      </c>
    </row>
    <row r="22" spans="1:9" ht="37.5">
      <c r="A22" s="10" t="s">
        <v>164</v>
      </c>
      <c r="B22" s="97">
        <v>3090</v>
      </c>
      <c r="C22" s="207">
        <f>C20-C21</f>
        <v>2</v>
      </c>
      <c r="D22" s="207">
        <f t="shared" ref="D22:I22" si="3">D20-D21</f>
        <v>13</v>
      </c>
      <c r="E22" s="207">
        <f t="shared" si="3"/>
        <v>10</v>
      </c>
      <c r="F22" s="207">
        <f t="shared" si="3"/>
        <v>4</v>
      </c>
      <c r="G22" s="207">
        <f t="shared" si="3"/>
        <v>11</v>
      </c>
      <c r="H22" s="207">
        <f t="shared" si="3"/>
        <v>13</v>
      </c>
      <c r="I22" s="207">
        <f t="shared" si="3"/>
        <v>18</v>
      </c>
    </row>
    <row r="23" spans="1:9" ht="20.100000000000001" customHeight="1">
      <c r="A23" s="328" t="s">
        <v>166</v>
      </c>
      <c r="B23" s="329"/>
      <c r="C23" s="329"/>
      <c r="D23" s="329"/>
      <c r="E23" s="329"/>
      <c r="F23" s="329"/>
      <c r="G23" s="329"/>
      <c r="H23" s="329"/>
      <c r="I23" s="330"/>
    </row>
    <row r="24" spans="1:9" ht="20.100000000000001" customHeight="1">
      <c r="A24" s="59" t="s">
        <v>284</v>
      </c>
      <c r="B24" s="9"/>
      <c r="C24" s="117"/>
      <c r="D24" s="237"/>
      <c r="E24" s="237"/>
      <c r="F24" s="117"/>
      <c r="G24" s="117"/>
      <c r="H24" s="117"/>
      <c r="I24" s="117"/>
    </row>
    <row r="25" spans="1:9" ht="20.100000000000001" customHeight="1">
      <c r="A25" s="8" t="s">
        <v>25</v>
      </c>
      <c r="B25" s="9">
        <v>3200</v>
      </c>
      <c r="C25" s="117"/>
      <c r="D25" s="237"/>
      <c r="E25" s="237"/>
      <c r="F25" s="117"/>
      <c r="G25" s="117"/>
      <c r="H25" s="117"/>
      <c r="I25" s="117"/>
    </row>
    <row r="26" spans="1:9" ht="20.100000000000001" customHeight="1">
      <c r="A26" s="8" t="s">
        <v>26</v>
      </c>
      <c r="B26" s="9">
        <v>3210</v>
      </c>
      <c r="C26" s="117"/>
      <c r="D26" s="237"/>
      <c r="E26" s="237"/>
      <c r="F26" s="117"/>
      <c r="G26" s="117"/>
      <c r="H26" s="117"/>
      <c r="I26" s="117"/>
    </row>
    <row r="27" spans="1:9" ht="20.100000000000001" customHeight="1">
      <c r="A27" s="8" t="s">
        <v>49</v>
      </c>
      <c r="B27" s="9">
        <v>3220</v>
      </c>
      <c r="C27" s="117"/>
      <c r="D27" s="237"/>
      <c r="E27" s="237"/>
      <c r="F27" s="117"/>
      <c r="G27" s="117"/>
      <c r="H27" s="117"/>
      <c r="I27" s="117"/>
    </row>
    <row r="28" spans="1:9" ht="20.100000000000001" customHeight="1">
      <c r="A28" s="47" t="s">
        <v>170</v>
      </c>
      <c r="B28" s="9"/>
      <c r="C28" s="117"/>
      <c r="D28" s="237"/>
      <c r="E28" s="237"/>
      <c r="F28" s="117"/>
      <c r="G28" s="117"/>
      <c r="H28" s="117"/>
      <c r="I28" s="117"/>
    </row>
    <row r="29" spans="1:9" ht="20.100000000000001" customHeight="1">
      <c r="A29" s="8" t="s">
        <v>171</v>
      </c>
      <c r="B29" s="9">
        <v>3230</v>
      </c>
      <c r="C29" s="117"/>
      <c r="D29" s="237"/>
      <c r="E29" s="237"/>
      <c r="F29" s="117"/>
      <c r="G29" s="117"/>
      <c r="H29" s="117"/>
      <c r="I29" s="117"/>
    </row>
    <row r="30" spans="1:9" ht="20.100000000000001" customHeight="1">
      <c r="A30" s="8" t="s">
        <v>172</v>
      </c>
      <c r="B30" s="9">
        <v>3240</v>
      </c>
      <c r="C30" s="117"/>
      <c r="D30" s="237"/>
      <c r="E30" s="237"/>
      <c r="F30" s="117"/>
      <c r="G30" s="117"/>
      <c r="H30" s="117"/>
      <c r="I30" s="117"/>
    </row>
    <row r="31" spans="1:9" ht="20.100000000000001" customHeight="1">
      <c r="A31" s="47" t="s">
        <v>173</v>
      </c>
      <c r="B31" s="9">
        <v>3250</v>
      </c>
      <c r="C31" s="117"/>
      <c r="D31" s="237"/>
      <c r="E31" s="237"/>
      <c r="F31" s="117"/>
      <c r="G31" s="117"/>
      <c r="H31" s="117"/>
      <c r="I31" s="117"/>
    </row>
    <row r="32" spans="1:9" ht="20.100000000000001" customHeight="1">
      <c r="A32" s="8" t="s">
        <v>125</v>
      </c>
      <c r="B32" s="9">
        <v>3260</v>
      </c>
      <c r="C32" s="117"/>
      <c r="D32" s="237"/>
      <c r="E32" s="237"/>
      <c r="F32" s="117"/>
      <c r="G32" s="117"/>
      <c r="H32" s="117"/>
      <c r="I32" s="117"/>
    </row>
    <row r="33" spans="1:9" ht="20.100000000000001" customHeight="1">
      <c r="A33" s="59" t="s">
        <v>286</v>
      </c>
      <c r="B33" s="9"/>
      <c r="C33" s="117"/>
      <c r="D33" s="237"/>
      <c r="E33" s="237"/>
      <c r="F33" s="117"/>
      <c r="G33" s="117"/>
      <c r="H33" s="117"/>
      <c r="I33" s="117"/>
    </row>
    <row r="34" spans="1:9" ht="37.5">
      <c r="A34" s="8" t="s">
        <v>126</v>
      </c>
      <c r="B34" s="9">
        <v>3270</v>
      </c>
      <c r="C34" s="117"/>
      <c r="D34" s="237"/>
      <c r="E34" s="237"/>
      <c r="F34" s="117"/>
      <c r="G34" s="117"/>
      <c r="H34" s="117"/>
      <c r="I34" s="117"/>
    </row>
    <row r="35" spans="1:9" ht="20.100000000000001" customHeight="1">
      <c r="A35" s="8" t="s">
        <v>127</v>
      </c>
      <c r="B35" s="9">
        <v>3280</v>
      </c>
      <c r="C35" s="117"/>
      <c r="D35" s="237"/>
      <c r="E35" s="237"/>
      <c r="F35" s="117"/>
      <c r="G35" s="117"/>
      <c r="H35" s="117"/>
      <c r="I35" s="117"/>
    </row>
    <row r="36" spans="1:9" ht="37.5">
      <c r="A36" s="8" t="s">
        <v>128</v>
      </c>
      <c r="B36" s="9">
        <v>3290</v>
      </c>
      <c r="C36" s="117"/>
      <c r="D36" s="237"/>
      <c r="E36" s="237"/>
      <c r="F36" s="117"/>
      <c r="G36" s="117"/>
      <c r="H36" s="117"/>
      <c r="I36" s="117"/>
    </row>
    <row r="37" spans="1:9" ht="20.100000000000001" customHeight="1">
      <c r="A37" s="8" t="s">
        <v>50</v>
      </c>
      <c r="B37" s="9">
        <v>3300</v>
      </c>
      <c r="C37" s="117"/>
      <c r="D37" s="237"/>
      <c r="E37" s="237"/>
      <c r="F37" s="117"/>
      <c r="G37" s="117"/>
      <c r="H37" s="117"/>
      <c r="I37" s="117"/>
    </row>
    <row r="38" spans="1:9" ht="20.100000000000001" customHeight="1">
      <c r="A38" s="8" t="s">
        <v>120</v>
      </c>
      <c r="B38" s="9">
        <v>3310</v>
      </c>
      <c r="C38" s="117"/>
      <c r="D38" s="237"/>
      <c r="E38" s="237"/>
      <c r="F38" s="117"/>
      <c r="G38" s="117"/>
      <c r="H38" s="117"/>
      <c r="I38" s="117"/>
    </row>
    <row r="39" spans="1:9" ht="37.5">
      <c r="A39" s="59" t="s">
        <v>167</v>
      </c>
      <c r="B39" s="11">
        <v>3320</v>
      </c>
      <c r="C39" s="214">
        <f>(C25+C26+C27+C29+C30+C31+C32)-(C34+C35+C36+C37+C38)</f>
        <v>0</v>
      </c>
      <c r="D39" s="214">
        <f t="shared" ref="D39:I39" si="4">(D25+D26+D27+D29+D30+D31+D32)-(D34+D35+D36+D37+D38)</f>
        <v>0</v>
      </c>
      <c r="E39" s="214">
        <f t="shared" si="4"/>
        <v>0</v>
      </c>
      <c r="F39" s="214">
        <f t="shared" si="4"/>
        <v>0</v>
      </c>
      <c r="G39" s="214">
        <f t="shared" si="4"/>
        <v>0</v>
      </c>
      <c r="H39" s="214">
        <f t="shared" si="4"/>
        <v>0</v>
      </c>
      <c r="I39" s="214">
        <f t="shared" si="4"/>
        <v>0</v>
      </c>
    </row>
    <row r="40" spans="1:9" ht="20.100000000000001" customHeight="1">
      <c r="A40" s="328" t="s">
        <v>168</v>
      </c>
      <c r="B40" s="329"/>
      <c r="C40" s="329"/>
      <c r="D40" s="329"/>
      <c r="E40" s="329"/>
      <c r="F40" s="329"/>
      <c r="G40" s="329"/>
      <c r="H40" s="329"/>
      <c r="I40" s="330"/>
    </row>
    <row r="41" spans="1:9" ht="20.100000000000001" customHeight="1">
      <c r="A41" s="59" t="s">
        <v>285</v>
      </c>
      <c r="B41" s="9"/>
      <c r="C41" s="158"/>
      <c r="D41" s="194"/>
      <c r="E41" s="194"/>
      <c r="F41" s="158"/>
      <c r="G41" s="158"/>
      <c r="H41" s="158"/>
      <c r="I41" s="158"/>
    </row>
    <row r="42" spans="1:9" ht="20.100000000000001" customHeight="1">
      <c r="A42" s="47" t="s">
        <v>174</v>
      </c>
      <c r="B42" s="9">
        <v>3400</v>
      </c>
      <c r="C42" s="158"/>
      <c r="D42" s="194"/>
      <c r="E42" s="194"/>
      <c r="F42" s="158"/>
      <c r="G42" s="158"/>
      <c r="H42" s="158"/>
      <c r="I42" s="158"/>
    </row>
    <row r="43" spans="1:9" ht="37.5">
      <c r="A43" s="8" t="s">
        <v>93</v>
      </c>
      <c r="C43" s="158"/>
      <c r="D43" s="194"/>
      <c r="E43" s="194"/>
      <c r="F43" s="158"/>
      <c r="G43" s="158"/>
      <c r="H43" s="158"/>
      <c r="I43" s="158"/>
    </row>
    <row r="44" spans="1:9" ht="20.100000000000001" customHeight="1">
      <c r="A44" s="8" t="s">
        <v>92</v>
      </c>
      <c r="B44" s="9">
        <v>3410</v>
      </c>
      <c r="C44" s="158"/>
      <c r="D44" s="194"/>
      <c r="E44" s="194"/>
      <c r="F44" s="158"/>
      <c r="G44" s="158"/>
      <c r="H44" s="158"/>
      <c r="I44" s="158"/>
    </row>
    <row r="45" spans="1:9" ht="20.100000000000001" customHeight="1">
      <c r="A45" s="8" t="s">
        <v>97</v>
      </c>
      <c r="B45" s="6">
        <v>3420</v>
      </c>
      <c r="C45" s="158"/>
      <c r="D45" s="194"/>
      <c r="E45" s="194"/>
      <c r="F45" s="158"/>
      <c r="G45" s="158"/>
      <c r="H45" s="158"/>
      <c r="I45" s="158"/>
    </row>
    <row r="46" spans="1:9" ht="20.100000000000001" customHeight="1">
      <c r="A46" s="8" t="s">
        <v>129</v>
      </c>
      <c r="B46" s="9">
        <v>3430</v>
      </c>
      <c r="C46" s="158"/>
      <c r="D46" s="194"/>
      <c r="E46" s="194"/>
      <c r="F46" s="158"/>
      <c r="G46" s="158"/>
      <c r="H46" s="158"/>
      <c r="I46" s="158"/>
    </row>
    <row r="47" spans="1:9" ht="37.5">
      <c r="A47" s="8" t="s">
        <v>95</v>
      </c>
      <c r="B47" s="9"/>
      <c r="C47" s="158"/>
      <c r="D47" s="194"/>
      <c r="E47" s="194"/>
      <c r="F47" s="158"/>
      <c r="G47" s="158"/>
      <c r="H47" s="158"/>
      <c r="I47" s="158"/>
    </row>
    <row r="48" spans="1:9" ht="20.100000000000001" customHeight="1">
      <c r="A48" s="8" t="s">
        <v>92</v>
      </c>
      <c r="B48" s="6">
        <v>3440</v>
      </c>
      <c r="C48" s="158"/>
      <c r="D48" s="194"/>
      <c r="E48" s="194"/>
      <c r="F48" s="158"/>
      <c r="G48" s="158"/>
      <c r="H48" s="158"/>
      <c r="I48" s="158"/>
    </row>
    <row r="49" spans="1:9" ht="20.100000000000001" customHeight="1">
      <c r="A49" s="8" t="s">
        <v>97</v>
      </c>
      <c r="B49" s="6">
        <v>3450</v>
      </c>
      <c r="C49" s="158"/>
      <c r="D49" s="194"/>
      <c r="E49" s="194"/>
      <c r="F49" s="158"/>
      <c r="G49" s="158"/>
      <c r="H49" s="158"/>
      <c r="I49" s="158"/>
    </row>
    <row r="50" spans="1:9" ht="20.100000000000001" customHeight="1">
      <c r="A50" s="8" t="s">
        <v>129</v>
      </c>
      <c r="B50" s="6">
        <v>3460</v>
      </c>
      <c r="C50" s="158"/>
      <c r="D50" s="194"/>
      <c r="E50" s="194"/>
      <c r="F50" s="158"/>
      <c r="G50" s="158"/>
      <c r="H50" s="158"/>
      <c r="I50" s="158"/>
    </row>
    <row r="51" spans="1:9" ht="20.100000000000001" customHeight="1">
      <c r="A51" s="8" t="s">
        <v>124</v>
      </c>
      <c r="B51" s="6">
        <v>3470</v>
      </c>
      <c r="C51" s="158"/>
      <c r="D51" s="194"/>
      <c r="E51" s="194"/>
      <c r="F51" s="158"/>
      <c r="G51" s="158"/>
      <c r="H51" s="158"/>
      <c r="I51" s="158"/>
    </row>
    <row r="52" spans="1:9" ht="20.100000000000001" customHeight="1">
      <c r="A52" s="8" t="s">
        <v>125</v>
      </c>
      <c r="B52" s="6">
        <v>3480</v>
      </c>
      <c r="C52" s="158"/>
      <c r="D52" s="194"/>
      <c r="E52" s="194"/>
      <c r="F52" s="158"/>
      <c r="G52" s="158"/>
      <c r="H52" s="158"/>
      <c r="I52" s="158"/>
    </row>
    <row r="53" spans="1:9" ht="20.100000000000001" customHeight="1">
      <c r="A53" s="59" t="s">
        <v>286</v>
      </c>
      <c r="B53" s="9"/>
      <c r="C53" s="158"/>
      <c r="D53" s="194"/>
      <c r="E53" s="194"/>
      <c r="F53" s="158"/>
      <c r="G53" s="158"/>
      <c r="H53" s="158"/>
      <c r="I53" s="158"/>
    </row>
    <row r="54" spans="1:9" ht="37.5">
      <c r="A54" s="8" t="s">
        <v>370</v>
      </c>
      <c r="B54" s="9">
        <v>3490</v>
      </c>
      <c r="C54" s="159">
        <f>'ІІ. Розр. з бюджетом'!C9</f>
        <v>0</v>
      </c>
      <c r="D54" s="206">
        <f>'ІІ. Розр. з бюджетом'!D9</f>
        <v>0</v>
      </c>
      <c r="E54" s="206">
        <f>'ІІ. Розр. з бюджетом'!E9</f>
        <v>0</v>
      </c>
      <c r="F54" s="159">
        <f>'ІІ. Розр. з бюджетом'!F9</f>
        <v>0</v>
      </c>
      <c r="G54" s="159">
        <f>'ІІ. Розр. з бюджетом'!G9</f>
        <v>0</v>
      </c>
      <c r="H54" s="159">
        <f>'ІІ. Розр. з бюджетом'!H9</f>
        <v>0</v>
      </c>
      <c r="I54" s="159">
        <f>'ІІ. Розр. з бюджетом'!I9</f>
        <v>0</v>
      </c>
    </row>
    <row r="55" spans="1:9" ht="112.5">
      <c r="A55" s="8" t="s">
        <v>371</v>
      </c>
      <c r="B55" s="9">
        <v>3500</v>
      </c>
      <c r="C55" s="159">
        <f>'ІІ. Розр. з бюджетом'!C10</f>
        <v>0</v>
      </c>
      <c r="D55" s="206">
        <f>'ІІ. Розр. з бюджетом'!D10</f>
        <v>1</v>
      </c>
      <c r="E55" s="206">
        <f>'ІІ. Розр. з бюджетом'!E10</f>
        <v>1</v>
      </c>
      <c r="F55" s="159">
        <f>'ІІ. Розр. з бюджетом'!F10</f>
        <v>-1</v>
      </c>
      <c r="G55" s="159">
        <f>'ІІ. Розр. з бюджетом'!G10</f>
        <v>-1</v>
      </c>
      <c r="H55" s="159">
        <f>'ІІ. Розр. з бюджетом'!H10</f>
        <v>-1</v>
      </c>
      <c r="I55" s="159">
        <f>'ІІ. Розр. з бюджетом'!I10</f>
        <v>-1</v>
      </c>
    </row>
    <row r="56" spans="1:9" ht="37.5">
      <c r="A56" s="8" t="s">
        <v>96</v>
      </c>
      <c r="B56" s="9"/>
      <c r="C56" s="158"/>
      <c r="D56" s="194"/>
      <c r="E56" s="194"/>
      <c r="F56" s="158"/>
      <c r="G56" s="158"/>
      <c r="H56" s="158"/>
      <c r="I56" s="158"/>
    </row>
    <row r="57" spans="1:9" ht="20.100000000000001" customHeight="1">
      <c r="A57" s="8" t="s">
        <v>92</v>
      </c>
      <c r="B57" s="6">
        <v>3510</v>
      </c>
      <c r="C57" s="158"/>
      <c r="D57" s="194"/>
      <c r="E57" s="194"/>
      <c r="F57" s="158"/>
      <c r="G57" s="158"/>
      <c r="H57" s="158"/>
      <c r="I57" s="158"/>
    </row>
    <row r="58" spans="1:9" ht="20.100000000000001" customHeight="1">
      <c r="A58" s="8" t="s">
        <v>97</v>
      </c>
      <c r="B58" s="6">
        <v>3520</v>
      </c>
      <c r="C58" s="158"/>
      <c r="D58" s="194"/>
      <c r="E58" s="194"/>
      <c r="F58" s="158"/>
      <c r="G58" s="158"/>
      <c r="H58" s="158"/>
      <c r="I58" s="158"/>
    </row>
    <row r="59" spans="1:9" ht="20.100000000000001" customHeight="1">
      <c r="A59" s="8" t="s">
        <v>129</v>
      </c>
      <c r="B59" s="6">
        <v>3530</v>
      </c>
      <c r="C59" s="158"/>
      <c r="D59" s="194"/>
      <c r="E59" s="194"/>
      <c r="F59" s="158"/>
      <c r="G59" s="158"/>
      <c r="H59" s="158"/>
      <c r="I59" s="158"/>
    </row>
    <row r="60" spans="1:9" ht="37.5">
      <c r="A60" s="8" t="s">
        <v>94</v>
      </c>
      <c r="B60" s="9"/>
      <c r="C60" s="158"/>
      <c r="D60" s="194"/>
      <c r="E60" s="194"/>
      <c r="F60" s="158"/>
      <c r="G60" s="158"/>
      <c r="H60" s="158"/>
      <c r="I60" s="158"/>
    </row>
    <row r="61" spans="1:9" ht="20.100000000000001" customHeight="1">
      <c r="A61" s="8" t="s">
        <v>92</v>
      </c>
      <c r="B61" s="6">
        <v>3540</v>
      </c>
      <c r="C61" s="158"/>
      <c r="D61" s="194"/>
      <c r="E61" s="194"/>
      <c r="F61" s="158"/>
      <c r="G61" s="158"/>
      <c r="H61" s="158"/>
      <c r="I61" s="158"/>
    </row>
    <row r="62" spans="1:9" ht="20.100000000000001" customHeight="1">
      <c r="A62" s="8" t="s">
        <v>97</v>
      </c>
      <c r="B62" s="6">
        <v>3550</v>
      </c>
      <c r="C62" s="158"/>
      <c r="D62" s="194"/>
      <c r="E62" s="194"/>
      <c r="F62" s="158"/>
      <c r="G62" s="158"/>
      <c r="H62" s="158"/>
      <c r="I62" s="158"/>
    </row>
    <row r="63" spans="1:9" ht="20.100000000000001" customHeight="1">
      <c r="A63" s="8" t="s">
        <v>129</v>
      </c>
      <c r="B63" s="6">
        <v>3560</v>
      </c>
      <c r="C63" s="158"/>
      <c r="D63" s="194"/>
      <c r="E63" s="194"/>
      <c r="F63" s="158"/>
      <c r="G63" s="158"/>
      <c r="H63" s="158"/>
      <c r="I63" s="158"/>
    </row>
    <row r="64" spans="1:9" ht="20.100000000000001" customHeight="1">
      <c r="A64" s="8" t="s">
        <v>120</v>
      </c>
      <c r="B64" s="6">
        <v>3570</v>
      </c>
      <c r="C64" s="158"/>
      <c r="D64" s="194"/>
      <c r="E64" s="194"/>
      <c r="F64" s="158"/>
      <c r="G64" s="158"/>
      <c r="H64" s="158"/>
      <c r="I64" s="158"/>
    </row>
    <row r="65" spans="1:9" ht="20.100000000000001" hidden="1" customHeight="1">
      <c r="A65" s="8" t="s">
        <v>405</v>
      </c>
      <c r="B65" s="6" t="s">
        <v>406</v>
      </c>
      <c r="C65" s="158"/>
      <c r="D65" s="194"/>
      <c r="E65" s="194"/>
      <c r="F65" s="158"/>
      <c r="G65" s="158"/>
      <c r="H65" s="158"/>
      <c r="I65" s="158"/>
    </row>
    <row r="66" spans="1:9" ht="37.5">
      <c r="A66" s="59" t="s">
        <v>169</v>
      </c>
      <c r="B66" s="97">
        <v>3580</v>
      </c>
      <c r="C66" s="160">
        <f t="shared" ref="C66:I66" si="5">(C42+C44+C45+C46+C48+C49+C50+C51+C52)-(C54+C55+C57+C58+C59+C61+C62+C63+C64)</f>
        <v>0</v>
      </c>
      <c r="D66" s="207">
        <f t="shared" si="5"/>
        <v>-1</v>
      </c>
      <c r="E66" s="207">
        <f t="shared" si="5"/>
        <v>-1</v>
      </c>
      <c r="F66" s="160">
        <f t="shared" si="5"/>
        <v>1</v>
      </c>
      <c r="G66" s="160">
        <f t="shared" si="5"/>
        <v>1</v>
      </c>
      <c r="H66" s="160">
        <f t="shared" si="5"/>
        <v>1</v>
      </c>
      <c r="I66" s="160">
        <f t="shared" si="5"/>
        <v>1</v>
      </c>
    </row>
    <row r="67" spans="1:9" s="15" customFormat="1" ht="20.100000000000001" customHeight="1">
      <c r="A67" s="8" t="s">
        <v>27</v>
      </c>
      <c r="B67" s="6"/>
      <c r="C67" s="164"/>
      <c r="D67" s="206"/>
      <c r="E67" s="206"/>
      <c r="F67" s="164"/>
      <c r="G67" s="164"/>
      <c r="H67" s="164"/>
      <c r="I67" s="164"/>
    </row>
    <row r="68" spans="1:9" s="15" customFormat="1" ht="20.100000000000001" customHeight="1">
      <c r="A68" s="10" t="s">
        <v>28</v>
      </c>
      <c r="B68" s="6">
        <v>3600</v>
      </c>
      <c r="C68" s="209">
        <v>2</v>
      </c>
      <c r="D68" s="194">
        <v>2</v>
      </c>
      <c r="E68" s="206">
        <v>2</v>
      </c>
      <c r="F68" s="159">
        <f>E70</f>
        <v>11</v>
      </c>
      <c r="G68" s="159">
        <f>E70</f>
        <v>11</v>
      </c>
      <c r="H68" s="159">
        <f>E70</f>
        <v>11</v>
      </c>
      <c r="I68" s="159">
        <f>E70</f>
        <v>11</v>
      </c>
    </row>
    <row r="69" spans="1:9" s="15" customFormat="1" ht="37.5">
      <c r="A69" s="77" t="s">
        <v>178</v>
      </c>
      <c r="B69" s="6">
        <v>3610</v>
      </c>
      <c r="C69" s="194"/>
      <c r="D69" s="194"/>
      <c r="E69" s="194"/>
      <c r="F69" s="158"/>
      <c r="G69" s="158"/>
      <c r="H69" s="158"/>
      <c r="I69" s="158"/>
    </row>
    <row r="70" spans="1:9" s="15" customFormat="1" ht="20.100000000000001" customHeight="1">
      <c r="A70" s="10" t="s">
        <v>51</v>
      </c>
      <c r="B70" s="6">
        <v>3620</v>
      </c>
      <c r="C70" s="229">
        <f t="shared" ref="C70:I70" si="6">C68+C22+C39+C66</f>
        <v>4</v>
      </c>
      <c r="D70" s="207">
        <f t="shared" si="6"/>
        <v>14</v>
      </c>
      <c r="E70" s="207">
        <f t="shared" si="6"/>
        <v>11</v>
      </c>
      <c r="F70" s="229">
        <f t="shared" si="6"/>
        <v>16</v>
      </c>
      <c r="G70" s="229">
        <f t="shared" si="6"/>
        <v>23</v>
      </c>
      <c r="H70" s="229">
        <f t="shared" si="6"/>
        <v>25</v>
      </c>
      <c r="I70" s="229">
        <f t="shared" si="6"/>
        <v>30</v>
      </c>
    </row>
    <row r="71" spans="1:9" s="15" customFormat="1" ht="20.100000000000001" customHeight="1">
      <c r="A71" s="10" t="s">
        <v>29</v>
      </c>
      <c r="B71" s="6">
        <v>3630</v>
      </c>
      <c r="C71" s="160">
        <f t="shared" ref="C71:I71" si="7">SUM(C22,C39,C66)</f>
        <v>2</v>
      </c>
      <c r="D71" s="207">
        <f t="shared" si="7"/>
        <v>12</v>
      </c>
      <c r="E71" s="207">
        <f t="shared" si="7"/>
        <v>9</v>
      </c>
      <c r="F71" s="160">
        <f t="shared" si="7"/>
        <v>5</v>
      </c>
      <c r="G71" s="160">
        <f t="shared" si="7"/>
        <v>12</v>
      </c>
      <c r="H71" s="160">
        <f t="shared" si="7"/>
        <v>14</v>
      </c>
      <c r="I71" s="160">
        <f t="shared" si="7"/>
        <v>19</v>
      </c>
    </row>
    <row r="72" spans="1:9" s="15" customFormat="1" ht="20.100000000000001" customHeight="1">
      <c r="A72" s="131"/>
      <c r="B72" s="138"/>
      <c r="C72" s="139"/>
      <c r="D72" s="238"/>
      <c r="E72" s="238"/>
      <c r="F72" s="140"/>
      <c r="G72" s="140"/>
      <c r="H72" s="140"/>
      <c r="I72" s="140"/>
    </row>
    <row r="73" spans="1:9" s="15" customFormat="1" ht="20.100000000000001" customHeight="1">
      <c r="A73" s="131"/>
      <c r="B73" s="138"/>
      <c r="C73" s="139"/>
      <c r="D73" s="238"/>
      <c r="E73" s="238"/>
      <c r="F73" s="140"/>
      <c r="G73" s="140"/>
      <c r="H73" s="140"/>
      <c r="I73" s="140"/>
    </row>
    <row r="74" spans="1:9" s="15" customFormat="1" ht="20.100000000000001" customHeight="1">
      <c r="A74" s="131"/>
      <c r="B74" s="138"/>
      <c r="C74" s="139"/>
      <c r="D74" s="238"/>
      <c r="E74" s="238"/>
      <c r="F74" s="140"/>
      <c r="G74" s="140"/>
      <c r="H74" s="140"/>
      <c r="I74" s="140"/>
    </row>
    <row r="75" spans="1:9" s="2" customFormat="1">
      <c r="A75" s="124" t="s">
        <v>404</v>
      </c>
      <c r="B75" s="125"/>
      <c r="C75" s="293" t="s">
        <v>112</v>
      </c>
      <c r="D75" s="294"/>
      <c r="E75" s="294"/>
      <c r="F75" s="126"/>
      <c r="G75" s="297" t="s">
        <v>460</v>
      </c>
      <c r="H75" s="281"/>
      <c r="I75" s="281"/>
    </row>
    <row r="76" spans="1:9" ht="20.100000000000001" customHeight="1">
      <c r="A76" s="103" t="s">
        <v>383</v>
      </c>
      <c r="B76" s="118"/>
      <c r="C76" s="281" t="s">
        <v>77</v>
      </c>
      <c r="D76" s="281"/>
      <c r="E76" s="281"/>
      <c r="F76" s="127"/>
      <c r="G76" s="282" t="s">
        <v>108</v>
      </c>
      <c r="H76" s="282"/>
      <c r="I76" s="282"/>
    </row>
    <row r="77" spans="1:9">
      <c r="C77" s="4"/>
    </row>
    <row r="78" spans="1:9">
      <c r="C78" s="4"/>
    </row>
    <row r="79" spans="1:9">
      <c r="C79" s="4"/>
    </row>
    <row r="80" spans="1:9">
      <c r="C80" s="4"/>
    </row>
    <row r="81" spans="3:3">
      <c r="C81" s="4"/>
    </row>
    <row r="82" spans="3:3">
      <c r="C82" s="4"/>
    </row>
    <row r="83" spans="3:3">
      <c r="C83" s="4"/>
    </row>
    <row r="84" spans="3:3">
      <c r="C84" s="4"/>
    </row>
    <row r="85" spans="3:3">
      <c r="C85" s="4"/>
    </row>
    <row r="86" spans="3:3">
      <c r="C86" s="4"/>
    </row>
    <row r="87" spans="3:3">
      <c r="C87" s="4"/>
    </row>
    <row r="88" spans="3:3">
      <c r="C88" s="4"/>
    </row>
    <row r="89" spans="3:3">
      <c r="C89" s="4"/>
    </row>
    <row r="90" spans="3:3">
      <c r="C90" s="4"/>
    </row>
    <row r="91" spans="3:3">
      <c r="C91" s="4"/>
    </row>
    <row r="92" spans="3:3">
      <c r="C92" s="4"/>
    </row>
    <row r="93" spans="3:3">
      <c r="C93" s="4"/>
    </row>
    <row r="94" spans="3:3">
      <c r="C94" s="4"/>
    </row>
    <row r="95" spans="3:3">
      <c r="C95" s="4"/>
    </row>
    <row r="96" spans="3:3">
      <c r="C96" s="4"/>
    </row>
    <row r="97" spans="3:3">
      <c r="C97" s="4"/>
    </row>
    <row r="98" spans="3:3">
      <c r="C98" s="4"/>
    </row>
    <row r="99" spans="3:3">
      <c r="C99" s="4"/>
    </row>
    <row r="100" spans="3:3">
      <c r="C100" s="4"/>
    </row>
    <row r="101" spans="3:3">
      <c r="C101" s="4"/>
    </row>
    <row r="102" spans="3:3">
      <c r="C102" s="4"/>
    </row>
    <row r="103" spans="3:3">
      <c r="C103" s="4"/>
    </row>
    <row r="104" spans="3:3">
      <c r="C104" s="4"/>
    </row>
    <row r="105" spans="3:3">
      <c r="C105" s="4"/>
    </row>
    <row r="106" spans="3:3">
      <c r="C106" s="4"/>
    </row>
    <row r="107" spans="3:3">
      <c r="C107" s="4"/>
    </row>
  </sheetData>
  <sheetProtection formatCells="0" formatColumns="0" formatRows="0" insertRows="0"/>
  <mergeCells count="14">
    <mergeCell ref="A1:I1"/>
    <mergeCell ref="A3:A4"/>
    <mergeCell ref="B3:B4"/>
    <mergeCell ref="C3:C4"/>
    <mergeCell ref="D3:D4"/>
    <mergeCell ref="E3:E4"/>
    <mergeCell ref="F3:I3"/>
    <mergeCell ref="C76:E76"/>
    <mergeCell ref="G76:I76"/>
    <mergeCell ref="A23:I23"/>
    <mergeCell ref="A6:I6"/>
    <mergeCell ref="A40:I40"/>
    <mergeCell ref="C75:E75"/>
    <mergeCell ref="G75:I75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50" orientation="portrait" r:id="rId1"/>
  <headerFooter alignWithMargins="0">
    <oddHeader xml:space="preserve">&amp;C&amp;"Times New Roman,обычный"&amp;14 
9&amp;R&amp;"Times New Roman,обычный"&amp;14
Продовження додатка 1
</oddHeader>
  </headerFooter>
  <rowBreaks count="1" manualBreakCount="1">
    <brk id="55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P182"/>
  <sheetViews>
    <sheetView view="pageBreakPreview" zoomScale="70" zoomScaleNormal="75" zoomScaleSheetLayoutView="70" workbookViewId="0">
      <selection activeCell="G15" sqref="G15:I15"/>
    </sheetView>
  </sheetViews>
  <sheetFormatPr defaultRowHeight="18.75"/>
  <cols>
    <col min="1" max="1" width="45" style="2" customWidth="1"/>
    <col min="2" max="2" width="11.7109375" style="25" customWidth="1"/>
    <col min="3" max="4" width="16" style="25" customWidth="1"/>
    <col min="5" max="5" width="15.28515625" style="25" customWidth="1"/>
    <col min="6" max="7" width="16.28515625" style="2" customWidth="1"/>
    <col min="8" max="8" width="15.85546875" style="2" customWidth="1"/>
    <col min="9" max="9" width="15.28515625" style="2" customWidth="1"/>
    <col min="10" max="10" width="9.5703125" style="2" customWidth="1"/>
    <col min="11" max="11" width="9.85546875" style="2" customWidth="1"/>
    <col min="12" max="16384" width="9.140625" style="2"/>
  </cols>
  <sheetData>
    <row r="1" spans="1:16">
      <c r="A1" s="310" t="s">
        <v>223</v>
      </c>
      <c r="B1" s="310"/>
      <c r="C1" s="310"/>
      <c r="D1" s="310"/>
      <c r="E1" s="310"/>
      <c r="F1" s="310"/>
      <c r="G1" s="310"/>
      <c r="H1" s="310"/>
      <c r="I1" s="310"/>
    </row>
    <row r="2" spans="1:16">
      <c r="A2" s="338"/>
      <c r="B2" s="338"/>
      <c r="C2" s="338"/>
      <c r="D2" s="338"/>
      <c r="E2" s="338"/>
      <c r="F2" s="338"/>
      <c r="G2" s="338"/>
      <c r="H2" s="338"/>
      <c r="I2" s="338"/>
    </row>
    <row r="3" spans="1:16" ht="43.5" customHeight="1">
      <c r="A3" s="323" t="s">
        <v>269</v>
      </c>
      <c r="B3" s="319" t="s">
        <v>12</v>
      </c>
      <c r="C3" s="319" t="s">
        <v>24</v>
      </c>
      <c r="D3" s="319" t="s">
        <v>32</v>
      </c>
      <c r="E3" s="337" t="s">
        <v>175</v>
      </c>
      <c r="F3" s="319" t="s">
        <v>364</v>
      </c>
      <c r="G3" s="319"/>
      <c r="H3" s="319"/>
      <c r="I3" s="319"/>
    </row>
    <row r="4" spans="1:16" ht="56.25" customHeight="1">
      <c r="A4" s="323"/>
      <c r="B4" s="319"/>
      <c r="C4" s="319"/>
      <c r="D4" s="319"/>
      <c r="E4" s="337"/>
      <c r="F4" s="13" t="s">
        <v>373</v>
      </c>
      <c r="G4" s="13" t="s">
        <v>366</v>
      </c>
      <c r="H4" s="13" t="s">
        <v>367</v>
      </c>
      <c r="I4" s="13" t="s">
        <v>79</v>
      </c>
    </row>
    <row r="5" spans="1:16" ht="18" customHeight="1">
      <c r="A5" s="6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16" s="5" customFormat="1" ht="42.75" customHeight="1">
      <c r="A6" s="8" t="s">
        <v>81</v>
      </c>
      <c r="B6" s="80">
        <v>4000</v>
      </c>
      <c r="C6" s="213">
        <f t="shared" ref="C6:I6" si="0">SUM(C7:C11)</f>
        <v>0</v>
      </c>
      <c r="D6" s="213">
        <f t="shared" si="0"/>
        <v>0</v>
      </c>
      <c r="E6" s="213">
        <f t="shared" si="0"/>
        <v>0</v>
      </c>
      <c r="F6" s="213">
        <f t="shared" si="0"/>
        <v>0</v>
      </c>
      <c r="G6" s="213">
        <f t="shared" si="0"/>
        <v>0</v>
      </c>
      <c r="H6" s="213">
        <f t="shared" si="0"/>
        <v>0</v>
      </c>
      <c r="I6" s="213">
        <f t="shared" si="0"/>
        <v>0</v>
      </c>
    </row>
    <row r="7" spans="1:16" ht="20.100000000000001" customHeight="1">
      <c r="A7" s="8" t="s">
        <v>1</v>
      </c>
      <c r="B7" s="81" t="s">
        <v>233</v>
      </c>
      <c r="C7" s="117"/>
      <c r="D7" s="117"/>
      <c r="E7" s="117"/>
      <c r="F7" s="117"/>
      <c r="G7" s="117"/>
      <c r="H7" s="117"/>
      <c r="I7" s="117"/>
    </row>
    <row r="8" spans="1:16" ht="37.5">
      <c r="A8" s="8" t="s">
        <v>2</v>
      </c>
      <c r="B8" s="80">
        <v>4020</v>
      </c>
      <c r="C8" s="117"/>
      <c r="D8" s="117"/>
      <c r="E8" s="117"/>
      <c r="F8" s="117"/>
      <c r="G8" s="117"/>
      <c r="H8" s="117"/>
      <c r="I8" s="117"/>
      <c r="P8" s="21"/>
    </row>
    <row r="9" spans="1:16" ht="37.5">
      <c r="A9" s="8" t="s">
        <v>23</v>
      </c>
      <c r="B9" s="81">
        <v>4030</v>
      </c>
      <c r="C9" s="117"/>
      <c r="D9" s="117"/>
      <c r="E9" s="117"/>
      <c r="F9" s="117"/>
      <c r="G9" s="117"/>
      <c r="H9" s="117"/>
      <c r="I9" s="117"/>
      <c r="O9" s="21"/>
    </row>
    <row r="10" spans="1:16" ht="37.5">
      <c r="A10" s="8" t="s">
        <v>3</v>
      </c>
      <c r="B10" s="80">
        <v>4040</v>
      </c>
      <c r="C10" s="117"/>
      <c r="D10" s="117"/>
      <c r="E10" s="117"/>
      <c r="F10" s="117"/>
      <c r="G10" s="117"/>
      <c r="H10" s="117"/>
      <c r="I10" s="117"/>
    </row>
    <row r="11" spans="1:16" ht="56.25">
      <c r="A11" s="8" t="s">
        <v>67</v>
      </c>
      <c r="B11" s="81">
        <v>4050</v>
      </c>
      <c r="C11" s="117"/>
      <c r="D11" s="117"/>
      <c r="E11" s="117"/>
      <c r="F11" s="117"/>
      <c r="G11" s="117"/>
      <c r="H11" s="117"/>
      <c r="I11" s="117"/>
    </row>
    <row r="12" spans="1:16" ht="20.100000000000001" customHeight="1">
      <c r="A12" s="118"/>
      <c r="B12" s="118"/>
      <c r="C12" s="118"/>
      <c r="D12" s="118"/>
      <c r="E12" s="118"/>
      <c r="F12" s="141"/>
      <c r="G12" s="141"/>
      <c r="H12" s="141"/>
      <c r="I12" s="141"/>
    </row>
    <row r="13" spans="1:16" ht="20.100000000000001" customHeight="1">
      <c r="A13" s="118"/>
      <c r="B13" s="118"/>
      <c r="C13" s="118"/>
      <c r="D13" s="118"/>
      <c r="E13" s="118"/>
      <c r="F13" s="141"/>
      <c r="G13" s="141"/>
      <c r="H13" s="141"/>
      <c r="I13" s="141"/>
    </row>
    <row r="14" spans="1:16" s="1" customFormat="1">
      <c r="A14" s="121"/>
      <c r="B14" s="131"/>
      <c r="C14" s="118"/>
      <c r="D14" s="118"/>
      <c r="E14" s="118"/>
      <c r="F14" s="118"/>
      <c r="G14" s="118"/>
      <c r="H14" s="118"/>
      <c r="I14" s="118"/>
      <c r="J14" s="2"/>
    </row>
    <row r="15" spans="1:16">
      <c r="A15" s="124" t="s">
        <v>401</v>
      </c>
      <c r="B15" s="125"/>
      <c r="C15" s="293" t="s">
        <v>112</v>
      </c>
      <c r="D15" s="294"/>
      <c r="E15" s="294"/>
      <c r="F15" s="126"/>
      <c r="G15" s="297" t="s">
        <v>460</v>
      </c>
      <c r="H15" s="297"/>
      <c r="I15" s="297"/>
    </row>
    <row r="16" spans="1:16" s="1" customFormat="1" ht="20.100000000000001" customHeight="1">
      <c r="A16" s="119" t="s">
        <v>76</v>
      </c>
      <c r="B16" s="118"/>
      <c r="C16" s="281" t="s">
        <v>77</v>
      </c>
      <c r="D16" s="281"/>
      <c r="E16" s="281"/>
      <c r="F16" s="127"/>
      <c r="G16" s="282" t="s">
        <v>108</v>
      </c>
      <c r="H16" s="282"/>
      <c r="I16" s="282"/>
    </row>
    <row r="17" spans="1:9">
      <c r="A17" s="142"/>
      <c r="B17" s="119"/>
      <c r="C17" s="119"/>
      <c r="D17" s="119"/>
      <c r="E17" s="119"/>
      <c r="F17" s="118"/>
      <c r="G17" s="118"/>
      <c r="H17" s="118"/>
      <c r="I17" s="118"/>
    </row>
    <row r="18" spans="1:9">
      <c r="A18" s="142"/>
      <c r="B18" s="119"/>
      <c r="C18" s="119"/>
      <c r="D18" s="119"/>
      <c r="E18" s="119"/>
      <c r="F18" s="118"/>
      <c r="G18" s="118"/>
      <c r="H18" s="118"/>
      <c r="I18" s="118"/>
    </row>
    <row r="19" spans="1:9">
      <c r="A19" s="51"/>
    </row>
    <row r="20" spans="1:9">
      <c r="A20" s="51"/>
    </row>
    <row r="21" spans="1:9">
      <c r="A21" s="51"/>
    </row>
    <row r="22" spans="1:9">
      <c r="A22" s="51"/>
    </row>
    <row r="23" spans="1:9">
      <c r="A23" s="51"/>
    </row>
    <row r="24" spans="1:9">
      <c r="A24" s="51"/>
    </row>
    <row r="25" spans="1:9">
      <c r="A25" s="51"/>
    </row>
    <row r="26" spans="1:9">
      <c r="A26" s="51"/>
    </row>
    <row r="27" spans="1:9">
      <c r="A27" s="51"/>
    </row>
    <row r="28" spans="1:9">
      <c r="A28" s="51"/>
    </row>
    <row r="29" spans="1:9">
      <c r="A29" s="51"/>
    </row>
    <row r="30" spans="1:9">
      <c r="A30" s="51"/>
    </row>
    <row r="31" spans="1:9">
      <c r="A31" s="51"/>
    </row>
    <row r="32" spans="1:9">
      <c r="A32" s="51"/>
    </row>
    <row r="33" spans="1:1">
      <c r="A33" s="51"/>
    </row>
    <row r="34" spans="1:1">
      <c r="A34" s="51"/>
    </row>
    <row r="35" spans="1:1">
      <c r="A35" s="51"/>
    </row>
    <row r="36" spans="1:1">
      <c r="A36" s="51"/>
    </row>
    <row r="37" spans="1:1">
      <c r="A37" s="51"/>
    </row>
    <row r="38" spans="1:1">
      <c r="A38" s="51"/>
    </row>
    <row r="39" spans="1:1">
      <c r="A39" s="51"/>
    </row>
    <row r="40" spans="1:1">
      <c r="A40" s="51"/>
    </row>
    <row r="41" spans="1:1">
      <c r="A41" s="51"/>
    </row>
    <row r="42" spans="1:1">
      <c r="A42" s="51"/>
    </row>
    <row r="43" spans="1:1">
      <c r="A43" s="51"/>
    </row>
    <row r="44" spans="1:1">
      <c r="A44" s="51"/>
    </row>
    <row r="45" spans="1:1">
      <c r="A45" s="51"/>
    </row>
    <row r="46" spans="1:1">
      <c r="A46" s="51"/>
    </row>
    <row r="47" spans="1:1">
      <c r="A47" s="51"/>
    </row>
    <row r="48" spans="1:1">
      <c r="A48" s="51"/>
    </row>
    <row r="49" spans="1:1">
      <c r="A49" s="51"/>
    </row>
    <row r="50" spans="1:1">
      <c r="A50" s="51"/>
    </row>
    <row r="51" spans="1:1">
      <c r="A51" s="51"/>
    </row>
    <row r="52" spans="1:1">
      <c r="A52" s="51"/>
    </row>
    <row r="53" spans="1:1">
      <c r="A53" s="51"/>
    </row>
    <row r="54" spans="1:1">
      <c r="A54" s="51"/>
    </row>
    <row r="55" spans="1:1">
      <c r="A55" s="51"/>
    </row>
    <row r="56" spans="1:1">
      <c r="A56" s="51"/>
    </row>
    <row r="57" spans="1:1">
      <c r="A57" s="51"/>
    </row>
    <row r="58" spans="1:1">
      <c r="A58" s="51"/>
    </row>
    <row r="59" spans="1:1">
      <c r="A59" s="51"/>
    </row>
    <row r="60" spans="1:1">
      <c r="A60" s="51"/>
    </row>
    <row r="61" spans="1:1">
      <c r="A61" s="51"/>
    </row>
    <row r="62" spans="1:1">
      <c r="A62" s="51"/>
    </row>
    <row r="63" spans="1:1">
      <c r="A63" s="51"/>
    </row>
    <row r="64" spans="1:1">
      <c r="A64" s="51"/>
    </row>
    <row r="65" spans="1:1">
      <c r="A65" s="51"/>
    </row>
    <row r="66" spans="1:1">
      <c r="A66" s="51"/>
    </row>
    <row r="67" spans="1:1">
      <c r="A67" s="51"/>
    </row>
    <row r="68" spans="1:1">
      <c r="A68" s="51"/>
    </row>
    <row r="69" spans="1:1">
      <c r="A69" s="51"/>
    </row>
    <row r="70" spans="1:1">
      <c r="A70" s="51"/>
    </row>
    <row r="71" spans="1:1">
      <c r="A71" s="51"/>
    </row>
    <row r="72" spans="1:1">
      <c r="A72" s="51"/>
    </row>
    <row r="73" spans="1:1">
      <c r="A73" s="51"/>
    </row>
    <row r="74" spans="1:1">
      <c r="A74" s="51"/>
    </row>
    <row r="75" spans="1:1">
      <c r="A75" s="51"/>
    </row>
    <row r="76" spans="1:1">
      <c r="A76" s="51"/>
    </row>
    <row r="77" spans="1:1">
      <c r="A77" s="51"/>
    </row>
    <row r="78" spans="1:1">
      <c r="A78" s="51"/>
    </row>
    <row r="79" spans="1:1">
      <c r="A79" s="51"/>
    </row>
    <row r="80" spans="1:1">
      <c r="A80" s="51"/>
    </row>
    <row r="81" spans="1:1">
      <c r="A81" s="51"/>
    </row>
    <row r="82" spans="1:1">
      <c r="A82" s="51"/>
    </row>
    <row r="83" spans="1:1">
      <c r="A83" s="51"/>
    </row>
    <row r="84" spans="1:1">
      <c r="A84" s="51"/>
    </row>
    <row r="85" spans="1:1">
      <c r="A85" s="51"/>
    </row>
    <row r="86" spans="1:1">
      <c r="A86" s="51"/>
    </row>
    <row r="87" spans="1:1">
      <c r="A87" s="51"/>
    </row>
    <row r="88" spans="1:1">
      <c r="A88" s="51"/>
    </row>
    <row r="89" spans="1:1">
      <c r="A89" s="51"/>
    </row>
    <row r="90" spans="1:1">
      <c r="A90" s="51"/>
    </row>
    <row r="91" spans="1:1">
      <c r="A91" s="51"/>
    </row>
    <row r="92" spans="1:1">
      <c r="A92" s="51"/>
    </row>
    <row r="93" spans="1:1">
      <c r="A93" s="51"/>
    </row>
    <row r="94" spans="1:1">
      <c r="A94" s="51"/>
    </row>
    <row r="95" spans="1:1">
      <c r="A95" s="51"/>
    </row>
    <row r="96" spans="1:1">
      <c r="A96" s="51"/>
    </row>
    <row r="97" spans="1:1">
      <c r="A97" s="51"/>
    </row>
    <row r="98" spans="1:1">
      <c r="A98" s="51"/>
    </row>
    <row r="99" spans="1:1">
      <c r="A99" s="51"/>
    </row>
    <row r="100" spans="1:1">
      <c r="A100" s="51"/>
    </row>
    <row r="101" spans="1:1">
      <c r="A101" s="51"/>
    </row>
    <row r="102" spans="1:1">
      <c r="A102" s="51"/>
    </row>
    <row r="103" spans="1:1">
      <c r="A103" s="51"/>
    </row>
    <row r="104" spans="1:1">
      <c r="A104" s="51"/>
    </row>
    <row r="105" spans="1:1">
      <c r="A105" s="51"/>
    </row>
    <row r="106" spans="1:1">
      <c r="A106" s="51"/>
    </row>
    <row r="107" spans="1:1">
      <c r="A107" s="51"/>
    </row>
    <row r="108" spans="1:1">
      <c r="A108" s="51"/>
    </row>
    <row r="109" spans="1:1">
      <c r="A109" s="51"/>
    </row>
    <row r="110" spans="1:1">
      <c r="A110" s="51"/>
    </row>
    <row r="111" spans="1:1">
      <c r="A111" s="51"/>
    </row>
    <row r="112" spans="1:1">
      <c r="A112" s="51"/>
    </row>
    <row r="113" spans="1:1">
      <c r="A113" s="51"/>
    </row>
    <row r="114" spans="1:1">
      <c r="A114" s="51"/>
    </row>
    <row r="115" spans="1:1">
      <c r="A115" s="51"/>
    </row>
    <row r="116" spans="1:1">
      <c r="A116" s="51"/>
    </row>
    <row r="117" spans="1:1">
      <c r="A117" s="51"/>
    </row>
    <row r="118" spans="1:1">
      <c r="A118" s="51"/>
    </row>
    <row r="119" spans="1:1">
      <c r="A119" s="51"/>
    </row>
    <row r="120" spans="1:1">
      <c r="A120" s="51"/>
    </row>
    <row r="121" spans="1:1">
      <c r="A121" s="51"/>
    </row>
    <row r="122" spans="1:1">
      <c r="A122" s="51"/>
    </row>
    <row r="123" spans="1:1">
      <c r="A123" s="51"/>
    </row>
    <row r="124" spans="1:1">
      <c r="A124" s="51"/>
    </row>
    <row r="125" spans="1:1">
      <c r="A125" s="51"/>
    </row>
    <row r="126" spans="1:1">
      <c r="A126" s="51"/>
    </row>
    <row r="127" spans="1:1">
      <c r="A127" s="51"/>
    </row>
    <row r="128" spans="1:1">
      <c r="A128" s="51"/>
    </row>
    <row r="129" spans="1:1">
      <c r="A129" s="51"/>
    </row>
    <row r="130" spans="1:1">
      <c r="A130" s="51"/>
    </row>
    <row r="131" spans="1:1">
      <c r="A131" s="51"/>
    </row>
    <row r="132" spans="1:1">
      <c r="A132" s="51"/>
    </row>
    <row r="133" spans="1:1">
      <c r="A133" s="51"/>
    </row>
    <row r="134" spans="1:1">
      <c r="A134" s="51"/>
    </row>
    <row r="135" spans="1:1">
      <c r="A135" s="51"/>
    </row>
    <row r="136" spans="1:1">
      <c r="A136" s="51"/>
    </row>
    <row r="137" spans="1:1">
      <c r="A137" s="51"/>
    </row>
    <row r="138" spans="1:1">
      <c r="A138" s="51"/>
    </row>
    <row r="139" spans="1:1">
      <c r="A139" s="51"/>
    </row>
    <row r="140" spans="1:1">
      <c r="A140" s="51"/>
    </row>
    <row r="141" spans="1:1">
      <c r="A141" s="51"/>
    </row>
    <row r="142" spans="1:1">
      <c r="A142" s="51"/>
    </row>
    <row r="143" spans="1:1">
      <c r="A143" s="51"/>
    </row>
    <row r="144" spans="1:1">
      <c r="A144" s="51"/>
    </row>
    <row r="145" spans="1:1">
      <c r="A145" s="51"/>
    </row>
    <row r="146" spans="1:1">
      <c r="A146" s="51"/>
    </row>
    <row r="147" spans="1:1">
      <c r="A147" s="51"/>
    </row>
    <row r="148" spans="1:1">
      <c r="A148" s="51"/>
    </row>
    <row r="149" spans="1:1">
      <c r="A149" s="51"/>
    </row>
    <row r="150" spans="1:1">
      <c r="A150" s="51"/>
    </row>
    <row r="151" spans="1:1">
      <c r="A151" s="51"/>
    </row>
    <row r="152" spans="1:1">
      <c r="A152" s="51"/>
    </row>
    <row r="153" spans="1:1">
      <c r="A153" s="51"/>
    </row>
    <row r="154" spans="1:1">
      <c r="A154" s="51"/>
    </row>
    <row r="155" spans="1:1">
      <c r="A155" s="51"/>
    </row>
    <row r="156" spans="1:1">
      <c r="A156" s="51"/>
    </row>
    <row r="157" spans="1:1">
      <c r="A157" s="51"/>
    </row>
    <row r="158" spans="1:1">
      <c r="A158" s="51"/>
    </row>
    <row r="159" spans="1:1">
      <c r="A159" s="51"/>
    </row>
    <row r="160" spans="1:1">
      <c r="A160" s="51"/>
    </row>
    <row r="161" spans="1:1">
      <c r="A161" s="51"/>
    </row>
    <row r="162" spans="1:1">
      <c r="A162" s="51"/>
    </row>
    <row r="163" spans="1:1">
      <c r="A163" s="51"/>
    </row>
    <row r="164" spans="1:1">
      <c r="A164" s="51"/>
    </row>
    <row r="165" spans="1:1">
      <c r="A165" s="51"/>
    </row>
    <row r="166" spans="1:1">
      <c r="A166" s="51"/>
    </row>
    <row r="167" spans="1:1">
      <c r="A167" s="51"/>
    </row>
    <row r="168" spans="1:1">
      <c r="A168" s="51"/>
    </row>
    <row r="169" spans="1:1">
      <c r="A169" s="51"/>
    </row>
    <row r="170" spans="1:1">
      <c r="A170" s="51"/>
    </row>
    <row r="171" spans="1:1">
      <c r="A171" s="51"/>
    </row>
    <row r="172" spans="1:1">
      <c r="A172" s="51"/>
    </row>
    <row r="173" spans="1:1">
      <c r="A173" s="51"/>
    </row>
    <row r="174" spans="1:1">
      <c r="A174" s="51"/>
    </row>
    <row r="175" spans="1:1">
      <c r="A175" s="51"/>
    </row>
    <row r="176" spans="1:1">
      <c r="A176" s="51"/>
    </row>
    <row r="177" spans="1:1">
      <c r="A177" s="51"/>
    </row>
    <row r="178" spans="1:1">
      <c r="A178" s="51"/>
    </row>
    <row r="179" spans="1:1">
      <c r="A179" s="51"/>
    </row>
    <row r="180" spans="1:1">
      <c r="A180" s="51"/>
    </row>
    <row r="181" spans="1:1">
      <c r="A181" s="51"/>
    </row>
    <row r="182" spans="1:1">
      <c r="A182" s="51"/>
    </row>
  </sheetData>
  <sheetProtection password="C6FB" sheet="1" formatCells="0" formatColumns="0" formatRows="0"/>
  <mergeCells count="12">
    <mergeCell ref="C15:E15"/>
    <mergeCell ref="G15:I15"/>
    <mergeCell ref="C16:E16"/>
    <mergeCell ref="G16:I16"/>
    <mergeCell ref="A3:A4"/>
    <mergeCell ref="A1:I1"/>
    <mergeCell ref="B3:B4"/>
    <mergeCell ref="C3:C4"/>
    <mergeCell ref="D3:D4"/>
    <mergeCell ref="A2:I2"/>
    <mergeCell ref="F3:I3"/>
    <mergeCell ref="E3:E4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>
    <oddHeader>&amp;C&amp;"Times New Roman,обычный"&amp;14 10&amp;R&amp;"Times New Roman,обычный"&amp;14
Продовження додатка 1 
Таблиця 4</oddHeader>
  </headerFooter>
  <ignoredErrors>
    <ignoredError sqref="B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31"/>
  <sheetViews>
    <sheetView view="pageBreakPreview" zoomScale="75" zoomScaleNormal="75" zoomScaleSheetLayoutView="75" workbookViewId="0">
      <pane ySplit="5" topLeftCell="A6" activePane="bottomLeft" state="frozen"/>
      <selection pane="bottomLeft" activeCell="G8" sqref="G8"/>
    </sheetView>
  </sheetViews>
  <sheetFormatPr defaultRowHeight="12.75"/>
  <cols>
    <col min="1" max="1" width="61" style="32" customWidth="1"/>
    <col min="2" max="2" width="9.85546875" style="32" customWidth="1"/>
    <col min="3" max="3" width="15.42578125" style="32" customWidth="1"/>
    <col min="4" max="4" width="18.28515625" style="32" customWidth="1"/>
    <col min="5" max="5" width="19.7109375" style="32" customWidth="1"/>
    <col min="6" max="6" width="18.5703125" style="32" customWidth="1"/>
    <col min="7" max="7" width="18.85546875" style="32" customWidth="1"/>
    <col min="8" max="8" width="37.42578125" style="32" customWidth="1"/>
    <col min="9" max="9" width="9.5703125" style="32" customWidth="1"/>
    <col min="10" max="16384" width="9.140625" style="32"/>
  </cols>
  <sheetData>
    <row r="1" spans="1:8" ht="25.5" customHeight="1">
      <c r="A1" s="339" t="s">
        <v>225</v>
      </c>
      <c r="B1" s="339"/>
      <c r="C1" s="339"/>
      <c r="D1" s="339"/>
      <c r="E1" s="339"/>
      <c r="F1" s="339"/>
      <c r="G1" s="339"/>
      <c r="H1" s="339"/>
    </row>
    <row r="2" spans="1:8" ht="16.5" customHeight="1"/>
    <row r="3" spans="1:8" ht="45" customHeight="1">
      <c r="A3" s="340" t="s">
        <v>269</v>
      </c>
      <c r="B3" s="340" t="s">
        <v>0</v>
      </c>
      <c r="C3" s="340" t="s">
        <v>103</v>
      </c>
      <c r="D3" s="340" t="s">
        <v>24</v>
      </c>
      <c r="E3" s="340" t="s">
        <v>104</v>
      </c>
      <c r="F3" s="342" t="s">
        <v>175</v>
      </c>
      <c r="G3" s="340" t="s">
        <v>105</v>
      </c>
      <c r="H3" s="340" t="s">
        <v>106</v>
      </c>
    </row>
    <row r="4" spans="1:8" ht="52.5" customHeight="1">
      <c r="A4" s="341"/>
      <c r="B4" s="341"/>
      <c r="C4" s="341"/>
      <c r="D4" s="341"/>
      <c r="E4" s="341"/>
      <c r="F4" s="343"/>
      <c r="G4" s="341"/>
      <c r="H4" s="341"/>
    </row>
    <row r="5" spans="1:8" s="64" customFormat="1" ht="18" customHeight="1">
      <c r="A5" s="41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41">
        <v>8</v>
      </c>
    </row>
    <row r="6" spans="1:8" s="64" customFormat="1" ht="20.100000000000001" customHeight="1">
      <c r="A6" s="82" t="s">
        <v>197</v>
      </c>
      <c r="B6" s="63"/>
      <c r="C6" s="41"/>
      <c r="D6" s="41"/>
      <c r="E6" s="41"/>
      <c r="F6" s="41"/>
      <c r="G6" s="41"/>
      <c r="H6" s="41"/>
    </row>
    <row r="7" spans="1:8" ht="75">
      <c r="A7" s="8" t="s">
        <v>349</v>
      </c>
      <c r="B7" s="7">
        <v>5000</v>
      </c>
      <c r="C7" s="84" t="s">
        <v>337</v>
      </c>
      <c r="D7" s="215">
        <f>'Осн. фін. пок.'!C40/'Осн. фін. пок.'!C38</f>
        <v>1</v>
      </c>
      <c r="E7" s="216">
        <f>F7</f>
        <v>1</v>
      </c>
      <c r="F7" s="215">
        <f>'Осн. фін. пок.'!F40/'Осн. фін. пок.'!F38</f>
        <v>1</v>
      </c>
      <c r="G7" s="215">
        <f>'Осн. фін. пок.'!E40/'Осн. фін. пок.'!E38</f>
        <v>1</v>
      </c>
      <c r="H7" s="93"/>
    </row>
    <row r="8" spans="1:8" ht="63.95" customHeight="1">
      <c r="A8" s="8" t="s">
        <v>350</v>
      </c>
      <c r="B8" s="7">
        <v>5010</v>
      </c>
      <c r="C8" s="84" t="s">
        <v>337</v>
      </c>
      <c r="D8" s="215">
        <f>'Осн. фін. пок.'!C45/'Осн. фін. пок.'!C38</f>
        <v>-39.07692307692308</v>
      </c>
      <c r="E8" s="216">
        <f t="shared" ref="E8:E11" si="0">F8</f>
        <v>-31.608695652173914</v>
      </c>
      <c r="F8" s="215">
        <f>'Осн. фін. пок.'!F45/'Осн. фін. пок.'!F38</f>
        <v>-31.608695652173914</v>
      </c>
      <c r="G8" s="215">
        <f>'Осн. фін. пок.'!E45/'Осн. фін. пок.'!E38</f>
        <v>-31.304347826086957</v>
      </c>
      <c r="H8" s="93"/>
    </row>
    <row r="9" spans="1:8" ht="56.25">
      <c r="A9" s="95" t="s">
        <v>356</v>
      </c>
      <c r="B9" s="7">
        <v>5020</v>
      </c>
      <c r="C9" s="84" t="s">
        <v>337</v>
      </c>
      <c r="D9" s="210">
        <f>'Осн. фін. пок.'!C51/'Осн. фін. пок.'!C77</f>
        <v>-1.9746121297602257E-2</v>
      </c>
      <c r="E9" s="211">
        <f t="shared" si="0"/>
        <v>0</v>
      </c>
      <c r="F9" s="210">
        <f>'Осн. фін. пок.'!F51/'Осн. фін. пок.'!F77</f>
        <v>0</v>
      </c>
      <c r="G9" s="210">
        <f>'Осн. фін. пок.'!E51/'Осн. фін. пок.'!E77</f>
        <v>1.3458950201884253E-3</v>
      </c>
      <c r="H9" s="93" t="s">
        <v>338</v>
      </c>
    </row>
    <row r="10" spans="1:8" ht="56.25">
      <c r="A10" s="95" t="s">
        <v>357</v>
      </c>
      <c r="B10" s="7">
        <v>5030</v>
      </c>
      <c r="C10" s="84" t="s">
        <v>337</v>
      </c>
      <c r="D10" s="210">
        <f>'Осн. фін. пок.'!C51/'Осн. фін. пок.'!C83</f>
        <v>-1.9793581224374381E-2</v>
      </c>
      <c r="E10" s="211">
        <f t="shared" si="0"/>
        <v>0</v>
      </c>
      <c r="F10" s="210">
        <f>'Осн. фін. пок.'!F51/'Осн. фін. пок.'!F83</f>
        <v>0</v>
      </c>
      <c r="G10" s="210">
        <f>'Осн. фін. пок.'!E51/'Осн. фін. пок.'!E83</f>
        <v>1.3458950201884253E-3</v>
      </c>
      <c r="H10" s="93"/>
    </row>
    <row r="11" spans="1:8" ht="75">
      <c r="A11" s="95" t="s">
        <v>358</v>
      </c>
      <c r="B11" s="7">
        <v>5040</v>
      </c>
      <c r="C11" s="84" t="s">
        <v>107</v>
      </c>
      <c r="D11" s="210">
        <f>'Осн. фін. пок.'!C51/'Осн. фін. пок.'!C38</f>
        <v>-1.0769230769230769</v>
      </c>
      <c r="E11" s="211">
        <f t="shared" si="0"/>
        <v>0</v>
      </c>
      <c r="F11" s="210">
        <f>'Осн. фін. пок.'!F51/'Осн. фін. пок.'!F38</f>
        <v>0</v>
      </c>
      <c r="G11" s="210">
        <f>'Осн. фін. пок.'!E51/'Осн. фін. пок.'!E38</f>
        <v>4.3478260869565216E-2</v>
      </c>
      <c r="H11" s="93" t="s">
        <v>339</v>
      </c>
    </row>
    <row r="12" spans="1:8" ht="20.100000000000001" customHeight="1">
      <c r="A12" s="82" t="s">
        <v>199</v>
      </c>
      <c r="B12" s="7"/>
      <c r="C12" s="85"/>
      <c r="D12" s="168"/>
      <c r="E12" s="167"/>
      <c r="F12" s="168"/>
      <c r="G12" s="168"/>
      <c r="H12" s="93"/>
    </row>
    <row r="13" spans="1:8" ht="63.95" customHeight="1">
      <c r="A13" s="83" t="s">
        <v>307</v>
      </c>
      <c r="B13" s="7">
        <v>5100</v>
      </c>
      <c r="C13" s="84"/>
      <c r="D13" s="210">
        <f>('Осн. фін. пок.'!C78+'Осн. фін. пок.'!C79)/'Осн. фін. пок.'!C45</f>
        <v>-3.937007874015748E-3</v>
      </c>
      <c r="E13" s="211">
        <f>F13</f>
        <v>0</v>
      </c>
      <c r="F13" s="210">
        <f>('Осн. фін. пок.'!F78+'Осн. фін. пок.'!F79)/'Осн. фін. пок.'!F45</f>
        <v>0</v>
      </c>
      <c r="G13" s="210">
        <f>('Осн. фін. пок.'!E78+'Осн. фін. пок.'!E79)/'Осн. фін. пок.'!E45</f>
        <v>0</v>
      </c>
      <c r="H13" s="93"/>
    </row>
    <row r="14" spans="1:8" s="64" customFormat="1" ht="75">
      <c r="A14" s="83" t="s">
        <v>308</v>
      </c>
      <c r="B14" s="7">
        <v>5110</v>
      </c>
      <c r="C14" s="84" t="s">
        <v>184</v>
      </c>
      <c r="D14" s="210">
        <f>'Осн. фін. пок.'!C83/('Осн. фін. пок.'!C78+'Осн. фін. пок.'!C79)</f>
        <v>353.65</v>
      </c>
      <c r="E14" s="211" t="str">
        <f t="shared" ref="E14:E15" si="1">F14</f>
        <v>Х</v>
      </c>
      <c r="F14" s="210" t="s">
        <v>411</v>
      </c>
      <c r="G14" s="210" t="s">
        <v>411</v>
      </c>
      <c r="H14" s="93" t="s">
        <v>340</v>
      </c>
    </row>
    <row r="15" spans="1:8" s="64" customFormat="1" ht="112.5">
      <c r="A15" s="83" t="s">
        <v>309</v>
      </c>
      <c r="B15" s="7">
        <v>5120</v>
      </c>
      <c r="C15" s="84" t="s">
        <v>184</v>
      </c>
      <c r="D15" s="210">
        <f>'Осн. фін. пок.'!C75/'Осн. фін. пок.'!C79</f>
        <v>3.5</v>
      </c>
      <c r="E15" s="211" t="str">
        <f t="shared" si="1"/>
        <v>Х</v>
      </c>
      <c r="F15" s="210" t="s">
        <v>411</v>
      </c>
      <c r="G15" s="210" t="s">
        <v>411</v>
      </c>
      <c r="H15" s="93" t="s">
        <v>342</v>
      </c>
    </row>
    <row r="16" spans="1:8" ht="20.100000000000001" customHeight="1">
      <c r="A16" s="82" t="s">
        <v>198</v>
      </c>
      <c r="B16" s="7"/>
      <c r="C16" s="84"/>
      <c r="D16" s="94"/>
      <c r="E16" s="143"/>
      <c r="F16" s="94"/>
      <c r="G16" s="94"/>
      <c r="H16" s="93"/>
    </row>
    <row r="17" spans="1:10" ht="56.25">
      <c r="A17" s="83" t="s">
        <v>310</v>
      </c>
      <c r="B17" s="7">
        <v>5200</v>
      </c>
      <c r="C17" s="84"/>
      <c r="D17" s="210">
        <f>'Осн. фін. пок.'!C68/'I. Фін результат'!C99</f>
        <v>0</v>
      </c>
      <c r="E17" s="211">
        <f>F17</f>
        <v>0</v>
      </c>
      <c r="F17" s="210">
        <v>0</v>
      </c>
      <c r="G17" s="210">
        <f>'Осн. фін. пок.'!E68/'I. Фін результат'!I99</f>
        <v>0</v>
      </c>
      <c r="H17" s="93"/>
    </row>
    <row r="18" spans="1:10" ht="75">
      <c r="A18" s="83" t="s">
        <v>311</v>
      </c>
      <c r="B18" s="7">
        <v>5210</v>
      </c>
      <c r="C18" s="84"/>
      <c r="D18" s="210">
        <f>'Осн. фін. пок.'!C68/'Осн. фін. пок.'!C38</f>
        <v>0</v>
      </c>
      <c r="E18" s="211">
        <f t="shared" ref="E18" si="2">F18</f>
        <v>0</v>
      </c>
      <c r="F18" s="210">
        <f>'Осн. фін. пок.'!F68/'Осн. фін. пок.'!F38</f>
        <v>0</v>
      </c>
      <c r="G18" s="210">
        <f>'Осн. фін. пок.'!E68/'Осн. фін. пок.'!E38</f>
        <v>0</v>
      </c>
      <c r="H18" s="93"/>
    </row>
    <row r="19" spans="1:10" ht="63.95" customHeight="1">
      <c r="A19" s="83" t="s">
        <v>351</v>
      </c>
      <c r="B19" s="7">
        <v>5220</v>
      </c>
      <c r="C19" s="84" t="s">
        <v>337</v>
      </c>
      <c r="D19" s="210">
        <f>331/1052.9</f>
        <v>0.31436983569189852</v>
      </c>
      <c r="E19" s="210">
        <f>341/1048.3</f>
        <v>0.32528856243441762</v>
      </c>
      <c r="F19" s="210">
        <v>0.33</v>
      </c>
      <c r="G19" s="210">
        <v>0.33</v>
      </c>
      <c r="H19" s="93" t="s">
        <v>341</v>
      </c>
    </row>
    <row r="20" spans="1:10" ht="20.100000000000001" customHeight="1">
      <c r="A20" s="63" t="s">
        <v>287</v>
      </c>
      <c r="B20" s="7"/>
      <c r="C20" s="84"/>
      <c r="D20" s="94"/>
      <c r="E20" s="143"/>
      <c r="F20" s="94"/>
      <c r="G20" s="94"/>
      <c r="H20" s="93"/>
    </row>
    <row r="21" spans="1:10" ht="112.5">
      <c r="A21" s="95" t="s">
        <v>352</v>
      </c>
      <c r="B21" s="7">
        <v>5300</v>
      </c>
      <c r="C21" s="84"/>
      <c r="D21" s="143"/>
      <c r="E21" s="143"/>
      <c r="F21" s="143"/>
      <c r="G21" s="143"/>
      <c r="H21" s="144"/>
    </row>
    <row r="22" spans="1:10" ht="20.100000000000001" customHeight="1">
      <c r="A22" s="145"/>
      <c r="B22" s="145"/>
      <c r="C22" s="145"/>
      <c r="D22" s="145"/>
      <c r="E22" s="145"/>
      <c r="F22" s="145"/>
      <c r="G22" s="145"/>
      <c r="H22" s="145"/>
    </row>
    <row r="23" spans="1:10" ht="20.100000000000001" customHeight="1">
      <c r="A23" s="145"/>
      <c r="B23" s="145"/>
      <c r="C23" s="145"/>
      <c r="D23" s="145"/>
      <c r="E23" s="145"/>
      <c r="F23" s="145"/>
      <c r="G23" s="145"/>
      <c r="H23" s="145"/>
    </row>
    <row r="24" spans="1:10" ht="20.100000000000001" customHeight="1">
      <c r="A24" s="145"/>
      <c r="B24" s="145"/>
      <c r="C24" s="145"/>
      <c r="D24" s="145"/>
      <c r="E24" s="145"/>
      <c r="F24" s="145"/>
      <c r="G24" s="145"/>
      <c r="H24" s="145"/>
    </row>
    <row r="25" spans="1:10" s="2" customFormat="1" ht="20.100000000000001" customHeight="1">
      <c r="A25" s="124" t="s">
        <v>407</v>
      </c>
      <c r="B25" s="124"/>
      <c r="C25" s="125"/>
      <c r="D25" s="293" t="s">
        <v>112</v>
      </c>
      <c r="E25" s="294"/>
      <c r="F25" s="294"/>
      <c r="G25" s="294"/>
      <c r="H25" s="251" t="s">
        <v>460</v>
      </c>
    </row>
    <row r="26" spans="1:10" s="1" customFormat="1" ht="20.100000000000001" customHeight="1">
      <c r="A26" s="103" t="s">
        <v>265</v>
      </c>
      <c r="B26" s="146"/>
      <c r="C26" s="118"/>
      <c r="D26" s="281" t="s">
        <v>77</v>
      </c>
      <c r="E26" s="281"/>
      <c r="F26" s="281"/>
      <c r="G26" s="281"/>
      <c r="H26" s="131" t="s">
        <v>266</v>
      </c>
      <c r="I26" s="61"/>
      <c r="J26" s="61"/>
    </row>
    <row r="27" spans="1:10">
      <c r="A27" s="145"/>
      <c r="B27" s="145"/>
      <c r="C27" s="145"/>
      <c r="D27" s="145"/>
      <c r="E27" s="145"/>
      <c r="F27" s="145"/>
      <c r="G27" s="145"/>
      <c r="H27" s="145"/>
    </row>
    <row r="28" spans="1:10">
      <c r="A28" s="145"/>
      <c r="B28" s="145"/>
      <c r="C28" s="145"/>
      <c r="D28" s="145"/>
      <c r="E28" s="145"/>
      <c r="F28" s="145"/>
      <c r="G28" s="145"/>
      <c r="H28" s="145"/>
    </row>
    <row r="29" spans="1:10">
      <c r="A29" s="145"/>
      <c r="B29" s="145"/>
      <c r="C29" s="145"/>
      <c r="D29" s="145"/>
      <c r="E29" s="145"/>
      <c r="F29" s="145"/>
      <c r="G29" s="145"/>
      <c r="H29" s="145"/>
    </row>
    <row r="30" spans="1:10">
      <c r="A30" s="145"/>
      <c r="B30" s="145"/>
      <c r="C30" s="145"/>
      <c r="D30" s="145"/>
      <c r="E30" s="145"/>
      <c r="F30" s="145"/>
      <c r="G30" s="145"/>
      <c r="H30" s="145"/>
    </row>
    <row r="31" spans="1:10">
      <c r="A31" s="145"/>
      <c r="B31" s="145"/>
      <c r="C31" s="145"/>
      <c r="D31" s="145"/>
      <c r="E31" s="145"/>
      <c r="F31" s="145"/>
      <c r="G31" s="145"/>
      <c r="H31" s="145"/>
    </row>
  </sheetData>
  <sheetProtection formatCells="0" formatColumns="0" formatRows="0"/>
  <mergeCells count="11">
    <mergeCell ref="A1:H1"/>
    <mergeCell ref="H3:H4"/>
    <mergeCell ref="D25:G25"/>
    <mergeCell ref="D26:G26"/>
    <mergeCell ref="A3:A4"/>
    <mergeCell ref="B3:B4"/>
    <mergeCell ref="C3:C4"/>
    <mergeCell ref="D3:D4"/>
    <mergeCell ref="E3:E4"/>
    <mergeCell ref="F3:F4"/>
    <mergeCell ref="G3:G4"/>
  </mergeCells>
  <phoneticPr fontId="3" type="noConversion"/>
  <pageMargins left="0.78740157480314965" right="0.39370078740157483" top="0.59055118110236227" bottom="0.59055118110236227" header="0.27559055118110237" footer="0.31496062992125984"/>
  <pageSetup paperSize="9" scale="45" orientation="portrait" r:id="rId1"/>
  <headerFooter alignWithMargins="0">
    <oddHeader>&amp;C&amp;"Times New Roman,обычный"&amp;14
&amp;18 11&amp;R
&amp;"Times New Roman,обычный"&amp;14Продовження  додатка 1
Таблиця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O95"/>
  <sheetViews>
    <sheetView view="pageBreakPreview" zoomScale="70" zoomScaleNormal="60" zoomScaleSheetLayoutView="70" workbookViewId="0">
      <selection activeCell="A3" sqref="A3:O3"/>
    </sheetView>
  </sheetViews>
  <sheetFormatPr defaultRowHeight="18.75"/>
  <cols>
    <col min="1" max="1" width="44.85546875" style="1" customWidth="1"/>
    <col min="2" max="2" width="13.5703125" style="20" customWidth="1"/>
    <col min="3" max="3" width="12.7109375" style="1" customWidth="1"/>
    <col min="4" max="4" width="16.140625" style="1" customWidth="1"/>
    <col min="5" max="5" width="17.85546875" style="1" customWidth="1"/>
    <col min="6" max="6" width="16.5703125" style="1" customWidth="1"/>
    <col min="7" max="7" width="15.28515625" style="1" customWidth="1"/>
    <col min="8" max="8" width="16.5703125" style="1" customWidth="1"/>
    <col min="9" max="9" width="16.140625" style="1" customWidth="1"/>
    <col min="10" max="10" width="16.42578125" style="1" customWidth="1"/>
    <col min="11" max="11" width="16.5703125" style="1" customWidth="1"/>
    <col min="12" max="12" width="16.85546875" style="1" customWidth="1"/>
    <col min="13" max="15" width="16.7109375" style="1" customWidth="1"/>
    <col min="16" max="16384" width="9.140625" style="1"/>
  </cols>
  <sheetData>
    <row r="1" spans="1:15">
      <c r="A1" s="403" t="s">
        <v>130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</row>
    <row r="2" spans="1:15">
      <c r="A2" s="404" t="s">
        <v>475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</row>
    <row r="3" spans="1:15">
      <c r="A3" s="405" t="s">
        <v>420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</row>
    <row r="4" spans="1:15" ht="20.100000000000001" customHeight="1">
      <c r="A4" s="406" t="s">
        <v>140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/>
      <c r="O4" s="406"/>
    </row>
    <row r="5" spans="1:15" ht="21.95" customHeight="1">
      <c r="A5" s="402" t="s">
        <v>91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</row>
    <row r="6" spans="1:15" ht="10.5" customHeight="1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</row>
    <row r="7" spans="1:15" ht="120.75" customHeight="1">
      <c r="A7" s="407" t="s">
        <v>421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</row>
    <row r="8" spans="1:15" ht="10.5" customHeigh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5" s="2" customFormat="1" ht="40.5" customHeight="1">
      <c r="A9" s="283" t="s">
        <v>269</v>
      </c>
      <c r="B9" s="283"/>
      <c r="C9" s="283"/>
      <c r="D9" s="284" t="s">
        <v>142</v>
      </c>
      <c r="E9" s="284"/>
      <c r="F9" s="284" t="s">
        <v>24</v>
      </c>
      <c r="G9" s="284"/>
      <c r="H9" s="284" t="s">
        <v>63</v>
      </c>
      <c r="I9" s="284"/>
      <c r="J9" s="284" t="s">
        <v>143</v>
      </c>
      <c r="K9" s="284"/>
      <c r="L9" s="284" t="s">
        <v>290</v>
      </c>
      <c r="M9" s="284"/>
      <c r="N9" s="284" t="s">
        <v>291</v>
      </c>
      <c r="O9" s="284"/>
    </row>
    <row r="10" spans="1:15" s="2" customFormat="1" ht="18" customHeight="1">
      <c r="A10" s="283">
        <v>1</v>
      </c>
      <c r="B10" s="283"/>
      <c r="C10" s="283"/>
      <c r="D10" s="284">
        <v>2</v>
      </c>
      <c r="E10" s="284"/>
      <c r="F10" s="284">
        <v>3</v>
      </c>
      <c r="G10" s="284"/>
      <c r="H10" s="284">
        <v>4</v>
      </c>
      <c r="I10" s="284"/>
      <c r="J10" s="284">
        <v>5</v>
      </c>
      <c r="K10" s="284"/>
      <c r="L10" s="284">
        <v>6</v>
      </c>
      <c r="M10" s="284"/>
      <c r="N10" s="284">
        <v>7</v>
      </c>
      <c r="O10" s="284"/>
    </row>
    <row r="11" spans="1:15" s="2" customFormat="1" ht="20.100000000000001" customHeight="1">
      <c r="A11" s="398" t="s">
        <v>141</v>
      </c>
      <c r="B11" s="399"/>
      <c r="C11" s="400"/>
      <c r="D11" s="367"/>
      <c r="E11" s="368"/>
      <c r="F11" s="367"/>
      <c r="G11" s="368"/>
      <c r="H11" s="367"/>
      <c r="I11" s="368"/>
      <c r="J11" s="367"/>
      <c r="K11" s="368"/>
      <c r="L11" s="408"/>
      <c r="M11" s="409"/>
      <c r="N11" s="408"/>
      <c r="O11" s="409"/>
    </row>
    <row r="12" spans="1:15" s="2" customFormat="1" ht="20.100000000000001" customHeight="1">
      <c r="A12" s="397" t="s">
        <v>312</v>
      </c>
      <c r="B12" s="397"/>
      <c r="C12" s="397"/>
      <c r="D12" s="367">
        <v>1</v>
      </c>
      <c r="E12" s="368"/>
      <c r="F12" s="367">
        <v>1</v>
      </c>
      <c r="G12" s="368"/>
      <c r="H12" s="367">
        <v>1</v>
      </c>
      <c r="I12" s="368"/>
      <c r="J12" s="367">
        <v>1</v>
      </c>
      <c r="K12" s="368"/>
      <c r="L12" s="350">
        <f>J12/H12*100</f>
        <v>100</v>
      </c>
      <c r="M12" s="351"/>
      <c r="N12" s="350">
        <f>J12/F12*100</f>
        <v>100</v>
      </c>
      <c r="O12" s="351"/>
    </row>
    <row r="13" spans="1:15" s="2" customFormat="1" ht="20.100000000000001" customHeight="1">
      <c r="A13" s="397" t="s">
        <v>313</v>
      </c>
      <c r="B13" s="397"/>
      <c r="C13" s="397"/>
      <c r="D13" s="367">
        <v>1</v>
      </c>
      <c r="E13" s="368"/>
      <c r="F13" s="367">
        <v>1</v>
      </c>
      <c r="G13" s="368"/>
      <c r="H13" s="367">
        <v>1</v>
      </c>
      <c r="I13" s="368"/>
      <c r="J13" s="367">
        <v>1</v>
      </c>
      <c r="K13" s="368"/>
      <c r="L13" s="350">
        <f t="shared" ref="L13:L15" si="0">J13/H13*100</f>
        <v>100</v>
      </c>
      <c r="M13" s="351"/>
      <c r="N13" s="350">
        <f t="shared" ref="N13:N15" si="1">J13/F13*100</f>
        <v>100</v>
      </c>
      <c r="O13" s="351"/>
    </row>
    <row r="14" spans="1:15" s="2" customFormat="1" ht="20.100000000000001" customHeight="1">
      <c r="A14" s="397" t="s">
        <v>314</v>
      </c>
      <c r="B14" s="397"/>
      <c r="C14" s="397"/>
      <c r="D14" s="367">
        <v>1</v>
      </c>
      <c r="E14" s="368"/>
      <c r="F14" s="367">
        <v>1</v>
      </c>
      <c r="G14" s="368"/>
      <c r="H14" s="367">
        <v>1</v>
      </c>
      <c r="I14" s="368"/>
      <c r="J14" s="367">
        <v>1</v>
      </c>
      <c r="K14" s="368"/>
      <c r="L14" s="350">
        <f t="shared" si="0"/>
        <v>100</v>
      </c>
      <c r="M14" s="351"/>
      <c r="N14" s="350">
        <f t="shared" si="1"/>
        <v>100</v>
      </c>
      <c r="O14" s="351"/>
    </row>
    <row r="15" spans="1:15" s="2" customFormat="1" ht="20.100000000000001" customHeight="1">
      <c r="A15" s="397" t="s">
        <v>315</v>
      </c>
      <c r="B15" s="397"/>
      <c r="C15" s="397"/>
      <c r="D15" s="367">
        <v>4</v>
      </c>
      <c r="E15" s="368"/>
      <c r="F15" s="367">
        <v>4</v>
      </c>
      <c r="G15" s="368"/>
      <c r="H15" s="367">
        <v>4</v>
      </c>
      <c r="I15" s="368"/>
      <c r="J15" s="367">
        <v>3</v>
      </c>
      <c r="K15" s="368"/>
      <c r="L15" s="350">
        <f t="shared" si="0"/>
        <v>75</v>
      </c>
      <c r="M15" s="351"/>
      <c r="N15" s="350">
        <f t="shared" si="1"/>
        <v>75</v>
      </c>
      <c r="O15" s="351"/>
    </row>
    <row r="16" spans="1:15" s="2" customFormat="1" ht="20.100000000000001" customHeight="1">
      <c r="A16" s="397" t="s">
        <v>316</v>
      </c>
      <c r="B16" s="397"/>
      <c r="C16" s="397"/>
      <c r="D16" s="367"/>
      <c r="E16" s="368"/>
      <c r="F16" s="367"/>
      <c r="G16" s="368"/>
      <c r="H16" s="367"/>
      <c r="I16" s="368"/>
      <c r="J16" s="367"/>
      <c r="K16" s="368"/>
      <c r="L16" s="350"/>
      <c r="M16" s="351"/>
      <c r="N16" s="350"/>
      <c r="O16" s="351"/>
    </row>
    <row r="17" spans="1:15" s="2" customFormat="1" ht="20.100000000000001" customHeight="1">
      <c r="A17" s="397" t="s">
        <v>317</v>
      </c>
      <c r="B17" s="397"/>
      <c r="C17" s="397"/>
      <c r="D17" s="367"/>
      <c r="E17" s="368"/>
      <c r="F17" s="367"/>
      <c r="G17" s="368"/>
      <c r="H17" s="367"/>
      <c r="I17" s="368"/>
      <c r="J17" s="367"/>
      <c r="K17" s="368"/>
      <c r="L17" s="350"/>
      <c r="M17" s="351"/>
      <c r="N17" s="350"/>
      <c r="O17" s="351"/>
    </row>
    <row r="18" spans="1:15" s="2" customFormat="1" ht="20.100000000000001" customHeight="1">
      <c r="A18" s="344" t="s">
        <v>288</v>
      </c>
      <c r="B18" s="345"/>
      <c r="C18" s="345"/>
      <c r="D18" s="345"/>
      <c r="E18" s="345"/>
      <c r="F18" s="345"/>
      <c r="G18" s="345"/>
      <c r="H18" s="345"/>
      <c r="I18" s="345"/>
      <c r="J18" s="345"/>
      <c r="K18" s="346"/>
      <c r="L18" s="350"/>
      <c r="M18" s="351"/>
      <c r="N18" s="350"/>
      <c r="O18" s="351"/>
    </row>
    <row r="19" spans="1:15" s="2" customFormat="1" ht="20.100000000000001" customHeight="1">
      <c r="A19" s="352" t="s">
        <v>267</v>
      </c>
      <c r="B19" s="352"/>
      <c r="C19" s="352"/>
      <c r="D19" s="353">
        <v>77</v>
      </c>
      <c r="E19" s="354"/>
      <c r="F19" s="353">
        <v>78</v>
      </c>
      <c r="G19" s="354"/>
      <c r="H19" s="353">
        <f>штатка!N24/1000</f>
        <v>158.56907999999999</v>
      </c>
      <c r="I19" s="354"/>
      <c r="J19" s="353">
        <f>штатка!N24/1000</f>
        <v>158.56907999999999</v>
      </c>
      <c r="K19" s="354"/>
      <c r="L19" s="350">
        <f t="shared" ref="L19:L33" si="2">J19/H19*100</f>
        <v>100</v>
      </c>
      <c r="M19" s="351"/>
      <c r="N19" s="350">
        <f t="shared" ref="N19:N33" si="3">J19/F19*100</f>
        <v>203.29369230769228</v>
      </c>
      <c r="O19" s="351"/>
    </row>
    <row r="20" spans="1:15" s="2" customFormat="1" ht="20.100000000000001" customHeight="1">
      <c r="A20" s="352" t="s">
        <v>292</v>
      </c>
      <c r="B20" s="352"/>
      <c r="C20" s="352"/>
      <c r="D20" s="353">
        <v>238</v>
      </c>
      <c r="E20" s="354"/>
      <c r="F20" s="353">
        <v>266</v>
      </c>
      <c r="G20" s="354"/>
      <c r="H20" s="353">
        <f>штатка!N25/1000</f>
        <v>353.14386999999999</v>
      </c>
      <c r="I20" s="354"/>
      <c r="J20" s="353">
        <f>штатка!N25/1000</f>
        <v>353.14386999999999</v>
      </c>
      <c r="K20" s="354"/>
      <c r="L20" s="350">
        <f t="shared" ref="L20" si="4">J20/H20*100</f>
        <v>100</v>
      </c>
      <c r="M20" s="351"/>
      <c r="N20" s="350">
        <f t="shared" ref="N20" si="5">J20/F20*100</f>
        <v>132.76085338345865</v>
      </c>
      <c r="O20" s="351"/>
    </row>
    <row r="21" spans="1:15" s="2" customFormat="1" ht="20.100000000000001" customHeight="1">
      <c r="A21" s="352" t="s">
        <v>268</v>
      </c>
      <c r="B21" s="352"/>
      <c r="C21" s="352"/>
      <c r="D21" s="353"/>
      <c r="E21" s="354"/>
      <c r="F21" s="353"/>
      <c r="G21" s="354"/>
      <c r="H21" s="353"/>
      <c r="I21" s="354"/>
      <c r="J21" s="353"/>
      <c r="K21" s="354"/>
      <c r="L21" s="355" t="e">
        <f t="shared" si="2"/>
        <v>#DIV/0!</v>
      </c>
      <c r="M21" s="356"/>
      <c r="N21" s="350"/>
      <c r="O21" s="351"/>
    </row>
    <row r="22" spans="1:15" s="2" customFormat="1" ht="20.100000000000001" customHeight="1">
      <c r="A22" s="347" t="s">
        <v>289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9"/>
      <c r="L22" s="350"/>
      <c r="M22" s="351"/>
      <c r="N22" s="350"/>
      <c r="O22" s="351"/>
    </row>
    <row r="23" spans="1:15" s="2" customFormat="1" ht="20.100000000000001" customHeight="1">
      <c r="A23" s="352" t="s">
        <v>267</v>
      </c>
      <c r="B23" s="352"/>
      <c r="C23" s="352"/>
      <c r="D23" s="353">
        <f>D19</f>
        <v>77</v>
      </c>
      <c r="E23" s="354"/>
      <c r="F23" s="353">
        <f>F19</f>
        <v>78</v>
      </c>
      <c r="G23" s="354"/>
      <c r="H23" s="353">
        <f>штатка!N29/1000</f>
        <v>193.45427759999998</v>
      </c>
      <c r="I23" s="354"/>
      <c r="J23" s="353">
        <f>штатка!N29/1000</f>
        <v>193.45427759999998</v>
      </c>
      <c r="K23" s="354"/>
      <c r="L23" s="350">
        <f t="shared" si="2"/>
        <v>100</v>
      </c>
      <c r="M23" s="351"/>
      <c r="N23" s="350">
        <f t="shared" si="3"/>
        <v>248.01830461538458</v>
      </c>
      <c r="O23" s="351"/>
    </row>
    <row r="24" spans="1:15" s="2" customFormat="1" ht="20.100000000000001" customHeight="1">
      <c r="A24" s="352" t="s">
        <v>292</v>
      </c>
      <c r="B24" s="352"/>
      <c r="C24" s="352"/>
      <c r="D24" s="353">
        <f>D20</f>
        <v>238</v>
      </c>
      <c r="E24" s="354"/>
      <c r="F24" s="353">
        <f>F20</f>
        <v>266</v>
      </c>
      <c r="G24" s="354"/>
      <c r="H24" s="353">
        <f>штатка!N30/1000</f>
        <v>430.83552139999995</v>
      </c>
      <c r="I24" s="354"/>
      <c r="J24" s="353">
        <f>штатка!N30/1000</f>
        <v>430.83552139999995</v>
      </c>
      <c r="K24" s="354"/>
      <c r="L24" s="350">
        <f t="shared" ref="L24" si="6">J24/H24*100</f>
        <v>100</v>
      </c>
      <c r="M24" s="351"/>
      <c r="N24" s="350">
        <f t="shared" ref="N24" si="7">J24/F24*100</f>
        <v>161.96824112781954</v>
      </c>
      <c r="O24" s="351"/>
    </row>
    <row r="25" spans="1:15" s="2" customFormat="1" ht="20.100000000000001" customHeight="1">
      <c r="A25" s="352" t="s">
        <v>268</v>
      </c>
      <c r="B25" s="352"/>
      <c r="C25" s="352"/>
      <c r="D25" s="353"/>
      <c r="E25" s="354"/>
      <c r="F25" s="353"/>
      <c r="G25" s="354"/>
      <c r="H25" s="353"/>
      <c r="I25" s="354"/>
      <c r="J25" s="353"/>
      <c r="K25" s="354"/>
      <c r="L25" s="355" t="e">
        <f t="shared" si="2"/>
        <v>#DIV/0!</v>
      </c>
      <c r="M25" s="356"/>
      <c r="N25" s="359" t="e">
        <f t="shared" si="3"/>
        <v>#DIV/0!</v>
      </c>
      <c r="O25" s="360"/>
    </row>
    <row r="26" spans="1:15" s="2" customFormat="1" ht="38.25" customHeight="1">
      <c r="A26" s="347" t="s">
        <v>318</v>
      </c>
      <c r="B26" s="348"/>
      <c r="C26" s="348"/>
      <c r="D26" s="348"/>
      <c r="E26" s="348"/>
      <c r="F26" s="348"/>
      <c r="G26" s="348"/>
      <c r="H26" s="348"/>
      <c r="I26" s="348"/>
      <c r="J26" s="348"/>
      <c r="K26" s="349"/>
      <c r="L26" s="350"/>
      <c r="M26" s="351"/>
      <c r="N26" s="350"/>
      <c r="O26" s="351"/>
    </row>
    <row r="27" spans="1:15" s="2" customFormat="1" ht="20.100000000000001" customHeight="1">
      <c r="A27" s="352" t="s">
        <v>267</v>
      </c>
      <c r="B27" s="352"/>
      <c r="C27" s="352"/>
      <c r="D27" s="353">
        <v>8555.5555555555547</v>
      </c>
      <c r="E27" s="354"/>
      <c r="F27" s="353">
        <v>6500</v>
      </c>
      <c r="G27" s="354"/>
      <c r="H27" s="353">
        <f>H19/12*1000</f>
        <v>13214.089999999998</v>
      </c>
      <c r="I27" s="354"/>
      <c r="J27" s="353">
        <f>штатка!N34</f>
        <v>13099</v>
      </c>
      <c r="K27" s="354"/>
      <c r="L27" s="350">
        <f t="shared" si="2"/>
        <v>99.129035748961911</v>
      </c>
      <c r="M27" s="351"/>
      <c r="N27" s="350">
        <f t="shared" si="3"/>
        <v>201.52307692307693</v>
      </c>
      <c r="O27" s="351"/>
    </row>
    <row r="28" spans="1:15" s="2" customFormat="1" ht="20.100000000000001" customHeight="1">
      <c r="A28" s="352" t="s">
        <v>292</v>
      </c>
      <c r="B28" s="352"/>
      <c r="C28" s="352"/>
      <c r="D28" s="353">
        <v>5055.5555555555557</v>
      </c>
      <c r="E28" s="354"/>
      <c r="F28" s="353">
        <v>4433.3333333333339</v>
      </c>
      <c r="G28" s="354"/>
      <c r="H28" s="353">
        <f>H20/12/6*1000</f>
        <v>4904.7759722222227</v>
      </c>
      <c r="I28" s="354"/>
      <c r="J28" s="357">
        <f>штатка!N35</f>
        <v>4904.7759722222227</v>
      </c>
      <c r="K28" s="358"/>
      <c r="L28" s="350">
        <f t="shared" ref="L28" si="8">J28/H28*100</f>
        <v>100</v>
      </c>
      <c r="M28" s="351"/>
      <c r="N28" s="355">
        <f t="shared" ref="N28" si="9">J28/F28*100</f>
        <v>110.63404448621554</v>
      </c>
      <c r="O28" s="356"/>
    </row>
    <row r="29" spans="1:15" s="2" customFormat="1" ht="20.100000000000001" customHeight="1">
      <c r="A29" s="352" t="s">
        <v>268</v>
      </c>
      <c r="B29" s="352"/>
      <c r="C29" s="352"/>
      <c r="D29" s="353"/>
      <c r="E29" s="354"/>
      <c r="F29" s="353"/>
      <c r="G29" s="354"/>
      <c r="H29" s="353"/>
      <c r="I29" s="354"/>
      <c r="J29" s="353">
        <f>штатка!N36</f>
        <v>0</v>
      </c>
      <c r="K29" s="354"/>
      <c r="L29" s="355" t="e">
        <f t="shared" si="2"/>
        <v>#DIV/0!</v>
      </c>
      <c r="M29" s="356"/>
      <c r="N29" s="350" t="e">
        <f t="shared" si="3"/>
        <v>#DIV/0!</v>
      </c>
      <c r="O29" s="351"/>
    </row>
    <row r="30" spans="1:15" s="2" customFormat="1" ht="20.100000000000001" customHeight="1">
      <c r="A30" s="347" t="s">
        <v>319</v>
      </c>
      <c r="B30" s="348"/>
      <c r="C30" s="348"/>
      <c r="D30" s="348"/>
      <c r="E30" s="348"/>
      <c r="F30" s="348"/>
      <c r="G30" s="348"/>
      <c r="H30" s="348"/>
      <c r="I30" s="348"/>
      <c r="J30" s="348"/>
      <c r="K30" s="349"/>
      <c r="L30" s="350"/>
      <c r="M30" s="351"/>
      <c r="N30" s="350"/>
      <c r="O30" s="351"/>
    </row>
    <row r="31" spans="1:15" s="2" customFormat="1" ht="20.100000000000001" customHeight="1">
      <c r="A31" s="352" t="s">
        <v>267</v>
      </c>
      <c r="B31" s="352"/>
      <c r="C31" s="352"/>
      <c r="D31" s="353">
        <f>D27</f>
        <v>8555.5555555555547</v>
      </c>
      <c r="E31" s="354"/>
      <c r="F31" s="353">
        <f>F27</f>
        <v>6500</v>
      </c>
      <c r="G31" s="354"/>
      <c r="H31" s="353">
        <f>H27</f>
        <v>13214.089999999998</v>
      </c>
      <c r="I31" s="354"/>
      <c r="J31" s="353">
        <f>штатка!N39</f>
        <v>13214.09</v>
      </c>
      <c r="K31" s="354"/>
      <c r="L31" s="350">
        <f t="shared" si="2"/>
        <v>100.00000000000003</v>
      </c>
      <c r="M31" s="351"/>
      <c r="N31" s="350">
        <f t="shared" si="3"/>
        <v>203.29369230769231</v>
      </c>
      <c r="O31" s="351"/>
    </row>
    <row r="32" spans="1:15" s="2" customFormat="1" ht="20.100000000000001" customHeight="1">
      <c r="A32" s="352" t="s">
        <v>292</v>
      </c>
      <c r="B32" s="352"/>
      <c r="C32" s="352"/>
      <c r="D32" s="353">
        <f>D28</f>
        <v>5055.5555555555557</v>
      </c>
      <c r="E32" s="354"/>
      <c r="F32" s="353">
        <f>F28</f>
        <v>4433.3333333333339</v>
      </c>
      <c r="G32" s="354"/>
      <c r="H32" s="353">
        <f>H28</f>
        <v>4904.7759722222227</v>
      </c>
      <c r="I32" s="354"/>
      <c r="J32" s="357">
        <f>штатка!N40</f>
        <v>4904.7759722222227</v>
      </c>
      <c r="K32" s="358"/>
      <c r="L32" s="350">
        <f t="shared" ref="L32" si="10">J32/H32*100</f>
        <v>100</v>
      </c>
      <c r="M32" s="351"/>
      <c r="N32" s="355">
        <f t="shared" ref="N32" si="11">J32/F32*100</f>
        <v>110.63404448621554</v>
      </c>
      <c r="O32" s="356"/>
    </row>
    <row r="33" spans="1:15" s="2" customFormat="1" ht="20.100000000000001" customHeight="1">
      <c r="A33" s="352" t="s">
        <v>268</v>
      </c>
      <c r="B33" s="352"/>
      <c r="C33" s="352"/>
      <c r="D33" s="353">
        <f>D29</f>
        <v>0</v>
      </c>
      <c r="E33" s="354"/>
      <c r="F33" s="353">
        <f>F29</f>
        <v>0</v>
      </c>
      <c r="G33" s="354"/>
      <c r="H33" s="353">
        <f>H29</f>
        <v>0</v>
      </c>
      <c r="I33" s="354"/>
      <c r="J33" s="353">
        <f>штатка!N41</f>
        <v>0</v>
      </c>
      <c r="K33" s="354"/>
      <c r="L33" s="355" t="e">
        <f t="shared" si="2"/>
        <v>#DIV/0!</v>
      </c>
      <c r="M33" s="356"/>
      <c r="N33" s="350" t="e">
        <f t="shared" si="3"/>
        <v>#DIV/0!</v>
      </c>
      <c r="O33" s="351"/>
    </row>
    <row r="34" spans="1:15" ht="10.5" customHeight="1">
      <c r="A34" s="23"/>
      <c r="B34" s="23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 ht="20.100000000000001" customHeight="1">
      <c r="A35" s="401" t="s">
        <v>320</v>
      </c>
      <c r="B35" s="401"/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</row>
    <row r="36" spans="1:15" ht="15" customHeight="1">
      <c r="A36" s="24"/>
      <c r="B36" s="24"/>
      <c r="C36" s="24"/>
      <c r="D36" s="24"/>
      <c r="E36" s="24"/>
      <c r="F36" s="24"/>
      <c r="G36" s="24"/>
      <c r="H36" s="24"/>
      <c r="I36" s="24"/>
    </row>
    <row r="37" spans="1:15" ht="21.95" customHeight="1">
      <c r="A37" s="380" t="s">
        <v>321</v>
      </c>
      <c r="B37" s="380"/>
      <c r="C37" s="380"/>
      <c r="D37" s="380"/>
      <c r="E37" s="380"/>
      <c r="F37" s="380"/>
      <c r="G37" s="380"/>
      <c r="H37" s="380"/>
      <c r="I37" s="380"/>
      <c r="J37" s="380"/>
      <c r="K37" s="380"/>
      <c r="L37" s="380"/>
      <c r="M37" s="380"/>
      <c r="N37" s="380"/>
      <c r="O37" s="380"/>
    </row>
    <row r="38" spans="1:15" ht="10.5" customHeight="1"/>
    <row r="39" spans="1:15" ht="60" customHeight="1">
      <c r="A39" s="39" t="s">
        <v>144</v>
      </c>
      <c r="B39" s="386" t="s">
        <v>322</v>
      </c>
      <c r="C39" s="387"/>
      <c r="D39" s="387"/>
      <c r="E39" s="387"/>
      <c r="F39" s="323" t="s">
        <v>85</v>
      </c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ht="18" customHeight="1">
      <c r="A40" s="39">
        <v>1</v>
      </c>
      <c r="B40" s="386">
        <v>2</v>
      </c>
      <c r="C40" s="387"/>
      <c r="D40" s="387"/>
      <c r="E40" s="387"/>
      <c r="F40" s="323">
        <v>3</v>
      </c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ht="20.100000000000001" customHeight="1">
      <c r="A41" s="147"/>
      <c r="B41" s="390"/>
      <c r="C41" s="391"/>
      <c r="D41" s="391"/>
      <c r="E41" s="391"/>
      <c r="F41" s="396"/>
      <c r="G41" s="396"/>
      <c r="H41" s="396"/>
      <c r="I41" s="396"/>
      <c r="J41" s="396"/>
      <c r="K41" s="396"/>
      <c r="L41" s="396"/>
      <c r="M41" s="396"/>
      <c r="N41" s="396"/>
      <c r="O41" s="396"/>
    </row>
    <row r="42" spans="1:15" ht="20.100000000000001" customHeight="1">
      <c r="A42" s="147"/>
      <c r="B42" s="390"/>
      <c r="C42" s="391"/>
      <c r="D42" s="391"/>
      <c r="E42" s="391"/>
      <c r="F42" s="396"/>
      <c r="G42" s="396"/>
      <c r="H42" s="396"/>
      <c r="I42" s="396"/>
      <c r="J42" s="396"/>
      <c r="K42" s="396"/>
      <c r="L42" s="396"/>
      <c r="M42" s="396"/>
      <c r="N42" s="396"/>
      <c r="O42" s="396"/>
    </row>
    <row r="43" spans="1:15" ht="20.100000000000001" customHeight="1">
      <c r="A43" s="147"/>
      <c r="B43" s="390"/>
      <c r="C43" s="391"/>
      <c r="D43" s="391"/>
      <c r="E43" s="391"/>
      <c r="F43" s="396"/>
      <c r="G43" s="396"/>
      <c r="H43" s="396"/>
      <c r="I43" s="396"/>
      <c r="J43" s="396"/>
      <c r="K43" s="396"/>
      <c r="L43" s="396"/>
      <c r="M43" s="396"/>
      <c r="N43" s="396"/>
      <c r="O43" s="396"/>
    </row>
    <row r="44" spans="1:15" ht="20.100000000000001" customHeight="1">
      <c r="A44" s="147"/>
      <c r="B44" s="390"/>
      <c r="C44" s="391"/>
      <c r="D44" s="391"/>
      <c r="E44" s="391"/>
      <c r="F44" s="396"/>
      <c r="G44" s="396"/>
      <c r="H44" s="396"/>
      <c r="I44" s="396"/>
      <c r="J44" s="396"/>
      <c r="K44" s="396"/>
      <c r="L44" s="396"/>
      <c r="M44" s="396"/>
      <c r="N44" s="396"/>
      <c r="O44" s="396"/>
    </row>
    <row r="45" spans="1:15" ht="20.100000000000001" customHeight="1">
      <c r="A45" s="147"/>
      <c r="B45" s="390"/>
      <c r="C45" s="391"/>
      <c r="D45" s="391"/>
      <c r="E45" s="391"/>
      <c r="F45" s="396"/>
      <c r="G45" s="396"/>
      <c r="H45" s="396"/>
      <c r="I45" s="396"/>
      <c r="J45" s="396"/>
      <c r="K45" s="396"/>
      <c r="L45" s="396"/>
      <c r="M45" s="396"/>
      <c r="N45" s="396"/>
      <c r="O45" s="396"/>
    </row>
    <row r="46" spans="1:15" ht="20.100000000000001" customHeight="1">
      <c r="A46" s="147"/>
      <c r="B46" s="390"/>
      <c r="C46" s="391"/>
      <c r="D46" s="391"/>
      <c r="E46" s="391"/>
      <c r="F46" s="396"/>
      <c r="G46" s="396"/>
      <c r="H46" s="396"/>
      <c r="I46" s="396"/>
      <c r="J46" s="396"/>
      <c r="K46" s="396"/>
      <c r="L46" s="396"/>
      <c r="M46" s="396"/>
      <c r="N46" s="396"/>
      <c r="O46" s="396"/>
    </row>
    <row r="47" spans="1:15" ht="20.100000000000001" customHeight="1">
      <c r="A47" s="147"/>
      <c r="B47" s="390"/>
      <c r="C47" s="391"/>
      <c r="D47" s="391"/>
      <c r="E47" s="391"/>
      <c r="F47" s="396"/>
      <c r="G47" s="396"/>
      <c r="H47" s="396"/>
      <c r="I47" s="396"/>
      <c r="J47" s="396"/>
      <c r="K47" s="396"/>
      <c r="L47" s="396"/>
      <c r="M47" s="396"/>
      <c r="N47" s="396"/>
      <c r="O47" s="396"/>
    </row>
    <row r="48" spans="1:15" ht="20.100000000000001" customHeight="1">
      <c r="A48" s="147"/>
      <c r="B48" s="390"/>
      <c r="C48" s="391"/>
      <c r="D48" s="391"/>
      <c r="E48" s="391"/>
      <c r="F48" s="390"/>
      <c r="G48" s="391"/>
      <c r="H48" s="391"/>
      <c r="I48" s="391"/>
      <c r="J48" s="391"/>
      <c r="K48" s="391"/>
      <c r="L48" s="391"/>
      <c r="M48" s="391"/>
      <c r="N48" s="391"/>
      <c r="O48" s="392"/>
    </row>
    <row r="49" spans="1:15" ht="20.100000000000001" customHeight="1">
      <c r="A49" s="147"/>
      <c r="B49" s="390"/>
      <c r="C49" s="391"/>
      <c r="D49" s="391"/>
      <c r="E49" s="392"/>
      <c r="F49" s="390"/>
      <c r="G49" s="391"/>
      <c r="H49" s="391"/>
      <c r="I49" s="391"/>
      <c r="J49" s="391"/>
      <c r="K49" s="391"/>
      <c r="L49" s="391"/>
      <c r="M49" s="391"/>
      <c r="N49" s="391"/>
      <c r="O49" s="392"/>
    </row>
    <row r="50" spans="1:15" ht="20.100000000000001" customHeight="1">
      <c r="A50" s="7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</row>
    <row r="51" spans="1:15" ht="21.95" customHeight="1">
      <c r="A51" s="389" t="s">
        <v>247</v>
      </c>
      <c r="B51" s="389"/>
      <c r="C51" s="389"/>
      <c r="D51" s="389"/>
      <c r="E51" s="389"/>
      <c r="F51" s="389"/>
      <c r="G51" s="389"/>
      <c r="H51" s="389"/>
      <c r="I51" s="389"/>
      <c r="J51" s="389"/>
    </row>
    <row r="52" spans="1:15" ht="20.100000000000001" customHeight="1">
      <c r="A52" s="19"/>
    </row>
    <row r="53" spans="1:15" ht="63.95" customHeight="1">
      <c r="A53" s="319" t="s">
        <v>269</v>
      </c>
      <c r="B53" s="319" t="s">
        <v>323</v>
      </c>
      <c r="C53" s="319"/>
      <c r="D53" s="379" t="s">
        <v>465</v>
      </c>
      <c r="E53" s="379"/>
      <c r="F53" s="379"/>
      <c r="G53" s="379" t="s">
        <v>466</v>
      </c>
      <c r="H53" s="379"/>
      <c r="I53" s="379"/>
      <c r="J53" s="393" t="s">
        <v>467</v>
      </c>
      <c r="K53" s="394"/>
      <c r="L53" s="395"/>
      <c r="M53" s="379" t="s">
        <v>468</v>
      </c>
      <c r="N53" s="379"/>
      <c r="O53" s="379"/>
    </row>
    <row r="54" spans="1:15" ht="168.75">
      <c r="A54" s="319"/>
      <c r="B54" s="7" t="s">
        <v>71</v>
      </c>
      <c r="C54" s="7" t="s">
        <v>72</v>
      </c>
      <c r="D54" s="7" t="s">
        <v>324</v>
      </c>
      <c r="E54" s="7" t="s">
        <v>325</v>
      </c>
      <c r="F54" s="7" t="s">
        <v>326</v>
      </c>
      <c r="G54" s="7" t="s">
        <v>324</v>
      </c>
      <c r="H54" s="7" t="s">
        <v>325</v>
      </c>
      <c r="I54" s="7" t="s">
        <v>326</v>
      </c>
      <c r="J54" s="7" t="s">
        <v>324</v>
      </c>
      <c r="K54" s="7" t="s">
        <v>325</v>
      </c>
      <c r="L54" s="7" t="s">
        <v>326</v>
      </c>
      <c r="M54" s="7" t="s">
        <v>324</v>
      </c>
      <c r="N54" s="7" t="s">
        <v>325</v>
      </c>
      <c r="O54" s="7" t="s">
        <v>326</v>
      </c>
    </row>
    <row r="55" spans="1:15" ht="18" customHeight="1">
      <c r="A55" s="7">
        <v>1</v>
      </c>
      <c r="B55" s="7">
        <v>2</v>
      </c>
      <c r="C55" s="7">
        <v>3</v>
      </c>
      <c r="D55" s="7">
        <v>4</v>
      </c>
      <c r="E55" s="7">
        <v>5</v>
      </c>
      <c r="F55" s="7">
        <v>6</v>
      </c>
      <c r="G55" s="7">
        <v>7</v>
      </c>
      <c r="H55" s="6">
        <v>8</v>
      </c>
      <c r="I55" s="6">
        <v>9</v>
      </c>
      <c r="J55" s="6">
        <v>10</v>
      </c>
      <c r="K55" s="6">
        <v>11</v>
      </c>
      <c r="L55" s="6">
        <v>12</v>
      </c>
      <c r="M55" s="6">
        <v>13</v>
      </c>
      <c r="N55" s="6">
        <v>14</v>
      </c>
      <c r="O55" s="6">
        <v>15</v>
      </c>
    </row>
    <row r="56" spans="1:15" ht="20.100000000000001" customHeight="1">
      <c r="A56" s="148" t="s">
        <v>399</v>
      </c>
      <c r="B56" s="117">
        <v>100</v>
      </c>
      <c r="C56" s="117">
        <v>100</v>
      </c>
      <c r="D56" s="264">
        <v>13</v>
      </c>
      <c r="E56" s="182">
        <v>1083</v>
      </c>
      <c r="F56" s="182">
        <v>12</v>
      </c>
      <c r="G56" s="158">
        <f>'I. Фін результат'!E8</f>
        <v>23</v>
      </c>
      <c r="H56" s="255" t="s">
        <v>469</v>
      </c>
      <c r="I56" s="117">
        <v>12</v>
      </c>
      <c r="J56" s="117">
        <v>20</v>
      </c>
      <c r="K56" s="255" t="s">
        <v>470</v>
      </c>
      <c r="L56" s="117">
        <v>12</v>
      </c>
      <c r="M56" s="158">
        <f>'I. Фін результат'!I8</f>
        <v>23</v>
      </c>
      <c r="N56" s="255" t="s">
        <v>471</v>
      </c>
      <c r="O56" s="117">
        <v>15</v>
      </c>
    </row>
    <row r="57" spans="1:15" ht="20.100000000000001" customHeight="1">
      <c r="A57" s="149" t="s">
        <v>53</v>
      </c>
      <c r="B57" s="81">
        <v>100</v>
      </c>
      <c r="C57" s="81">
        <v>100</v>
      </c>
      <c r="D57" s="159">
        <f>D56</f>
        <v>13</v>
      </c>
      <c r="E57" s="159">
        <f t="shared" ref="E57:O57" si="12">E56</f>
        <v>1083</v>
      </c>
      <c r="F57" s="159">
        <f t="shared" si="12"/>
        <v>12</v>
      </c>
      <c r="G57" s="159">
        <f t="shared" si="12"/>
        <v>23</v>
      </c>
      <c r="H57" s="159" t="str">
        <f t="shared" si="12"/>
        <v>1916 год./чол</v>
      </c>
      <c r="I57" s="159">
        <f t="shared" si="12"/>
        <v>12</v>
      </c>
      <c r="J57" s="159">
        <f t="shared" si="12"/>
        <v>20</v>
      </c>
      <c r="K57" s="159" t="str">
        <f t="shared" si="12"/>
        <v>1667 год./чол</v>
      </c>
      <c r="L57" s="159">
        <f t="shared" si="12"/>
        <v>12</v>
      </c>
      <c r="M57" s="159">
        <f t="shared" si="12"/>
        <v>23</v>
      </c>
      <c r="N57" s="159" t="str">
        <f t="shared" si="12"/>
        <v>1600 год./чол</v>
      </c>
      <c r="O57" s="159">
        <f t="shared" si="12"/>
        <v>15</v>
      </c>
    </row>
    <row r="58" spans="1:15" ht="20.100000000000001" customHeight="1">
      <c r="A58" s="21"/>
      <c r="B58" s="22"/>
      <c r="C58" s="22"/>
      <c r="D58" s="22"/>
      <c r="E58" s="22"/>
      <c r="F58" s="12"/>
      <c r="G58" s="12"/>
      <c r="H58" s="12"/>
      <c r="I58" s="5"/>
      <c r="J58" s="5"/>
      <c r="K58" s="5"/>
      <c r="L58" s="5"/>
      <c r="M58" s="5"/>
      <c r="N58" s="5"/>
      <c r="O58" s="5"/>
    </row>
    <row r="59" spans="1:15" ht="21.95" customHeight="1">
      <c r="A59" s="380" t="s">
        <v>73</v>
      </c>
      <c r="B59" s="380"/>
      <c r="C59" s="380"/>
      <c r="D59" s="380"/>
      <c r="E59" s="380"/>
      <c r="F59" s="380"/>
      <c r="G59" s="380"/>
      <c r="H59" s="380"/>
      <c r="I59" s="380"/>
      <c r="J59" s="380"/>
      <c r="K59" s="380"/>
      <c r="L59" s="380"/>
      <c r="M59" s="380"/>
      <c r="N59" s="380"/>
      <c r="O59" s="380"/>
    </row>
    <row r="60" spans="1:15" ht="20.100000000000001" customHeight="1">
      <c r="A60" s="19"/>
    </row>
    <row r="61" spans="1:15" ht="63.95" customHeight="1">
      <c r="A61" s="7" t="s">
        <v>134</v>
      </c>
      <c r="B61" s="319" t="s">
        <v>70</v>
      </c>
      <c r="C61" s="319"/>
      <c r="D61" s="319" t="s">
        <v>65</v>
      </c>
      <c r="E61" s="319"/>
      <c r="F61" s="319" t="s">
        <v>66</v>
      </c>
      <c r="G61" s="319"/>
      <c r="H61" s="319" t="s">
        <v>327</v>
      </c>
      <c r="I61" s="319"/>
      <c r="J61" s="319"/>
      <c r="K61" s="383" t="s">
        <v>86</v>
      </c>
      <c r="L61" s="385"/>
      <c r="M61" s="383" t="s">
        <v>30</v>
      </c>
      <c r="N61" s="384"/>
      <c r="O61" s="385"/>
    </row>
    <row r="62" spans="1:15" ht="18" customHeight="1">
      <c r="A62" s="6">
        <v>1</v>
      </c>
      <c r="B62" s="323">
        <v>2</v>
      </c>
      <c r="C62" s="323"/>
      <c r="D62" s="323">
        <v>3</v>
      </c>
      <c r="E62" s="323"/>
      <c r="F62" s="382">
        <v>4</v>
      </c>
      <c r="G62" s="382"/>
      <c r="H62" s="323">
        <v>5</v>
      </c>
      <c r="I62" s="323"/>
      <c r="J62" s="323"/>
      <c r="K62" s="323">
        <v>6</v>
      </c>
      <c r="L62" s="323"/>
      <c r="M62" s="386">
        <v>7</v>
      </c>
      <c r="N62" s="387"/>
      <c r="O62" s="388"/>
    </row>
    <row r="63" spans="1:15" ht="20.100000000000001" customHeight="1">
      <c r="A63" s="148"/>
      <c r="B63" s="376"/>
      <c r="C63" s="376"/>
      <c r="D63" s="376"/>
      <c r="E63" s="376"/>
      <c r="F63" s="376"/>
      <c r="G63" s="376"/>
      <c r="H63" s="376"/>
      <c r="I63" s="376"/>
      <c r="J63" s="376"/>
      <c r="K63" s="372"/>
      <c r="L63" s="374"/>
      <c r="M63" s="376"/>
      <c r="N63" s="376"/>
      <c r="O63" s="376"/>
    </row>
    <row r="64" spans="1:15" ht="20.100000000000001" customHeight="1">
      <c r="A64" s="148"/>
      <c r="B64" s="372"/>
      <c r="C64" s="374"/>
      <c r="D64" s="372"/>
      <c r="E64" s="374"/>
      <c r="F64" s="372"/>
      <c r="G64" s="374"/>
      <c r="H64" s="372"/>
      <c r="I64" s="373"/>
      <c r="J64" s="374"/>
      <c r="K64" s="372"/>
      <c r="L64" s="374"/>
      <c r="M64" s="372"/>
      <c r="N64" s="373"/>
      <c r="O64" s="374"/>
    </row>
    <row r="65" spans="1:15" ht="20.100000000000001" customHeight="1">
      <c r="A65" s="148"/>
      <c r="B65" s="376"/>
      <c r="C65" s="376"/>
      <c r="D65" s="376"/>
      <c r="E65" s="376"/>
      <c r="F65" s="376"/>
      <c r="G65" s="376"/>
      <c r="H65" s="376"/>
      <c r="I65" s="376"/>
      <c r="J65" s="376"/>
      <c r="K65" s="372"/>
      <c r="L65" s="374"/>
      <c r="M65" s="376"/>
      <c r="N65" s="376"/>
      <c r="O65" s="376"/>
    </row>
    <row r="66" spans="1:15" ht="20.100000000000001" customHeight="1">
      <c r="A66" s="149" t="s">
        <v>53</v>
      </c>
      <c r="B66" s="381" t="s">
        <v>31</v>
      </c>
      <c r="C66" s="381"/>
      <c r="D66" s="381" t="s">
        <v>31</v>
      </c>
      <c r="E66" s="381"/>
      <c r="F66" s="381" t="s">
        <v>31</v>
      </c>
      <c r="G66" s="381"/>
      <c r="H66" s="376"/>
      <c r="I66" s="376"/>
      <c r="J66" s="376"/>
      <c r="K66" s="377">
        <f>SUM(K63:L65)</f>
        <v>0</v>
      </c>
      <c r="L66" s="378"/>
      <c r="M66" s="376"/>
      <c r="N66" s="376"/>
      <c r="O66" s="376"/>
    </row>
    <row r="67" spans="1:15" ht="20.100000000000001" customHeight="1">
      <c r="A67" s="12"/>
      <c r="B67" s="25"/>
      <c r="C67" s="25"/>
      <c r="D67" s="25"/>
      <c r="E67" s="25"/>
      <c r="F67" s="25"/>
      <c r="G67" s="25"/>
      <c r="H67" s="25"/>
      <c r="I67" s="25"/>
      <c r="J67" s="25"/>
      <c r="K67" s="2"/>
      <c r="L67" s="2"/>
      <c r="M67" s="2"/>
      <c r="N67" s="2"/>
      <c r="O67" s="2"/>
    </row>
    <row r="68" spans="1:15" ht="21.95" customHeight="1">
      <c r="A68" s="380" t="s">
        <v>74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</row>
    <row r="69" spans="1:15" ht="20.100000000000001" customHeight="1">
      <c r="A69" s="5"/>
      <c r="B69" s="17"/>
      <c r="C69" s="5"/>
      <c r="D69" s="5"/>
      <c r="E69" s="5"/>
      <c r="F69" s="5"/>
      <c r="G69" s="5"/>
      <c r="H69" s="5"/>
      <c r="I69" s="16"/>
    </row>
    <row r="70" spans="1:15" ht="63.95" customHeight="1">
      <c r="A70" s="379" t="s">
        <v>64</v>
      </c>
      <c r="B70" s="379"/>
      <c r="C70" s="379"/>
      <c r="D70" s="379" t="s">
        <v>87</v>
      </c>
      <c r="E70" s="379"/>
      <c r="F70" s="379"/>
      <c r="G70" s="379" t="s">
        <v>353</v>
      </c>
      <c r="H70" s="379"/>
      <c r="I70" s="379"/>
      <c r="J70" s="379" t="s">
        <v>347</v>
      </c>
      <c r="K70" s="379"/>
      <c r="L70" s="379"/>
      <c r="M70" s="379" t="s">
        <v>88</v>
      </c>
      <c r="N70" s="379"/>
      <c r="O70" s="379"/>
    </row>
    <row r="71" spans="1:15" ht="18" customHeight="1">
      <c r="A71" s="379">
        <v>1</v>
      </c>
      <c r="B71" s="379"/>
      <c r="C71" s="379"/>
      <c r="D71" s="379">
        <v>2</v>
      </c>
      <c r="E71" s="379"/>
      <c r="F71" s="379"/>
      <c r="G71" s="379">
        <v>3</v>
      </c>
      <c r="H71" s="379"/>
      <c r="I71" s="379"/>
      <c r="J71" s="375">
        <v>4</v>
      </c>
      <c r="K71" s="375"/>
      <c r="L71" s="375"/>
      <c r="M71" s="375">
        <v>5</v>
      </c>
      <c r="N71" s="375"/>
      <c r="O71" s="375"/>
    </row>
    <row r="72" spans="1:15" ht="20.100000000000001" customHeight="1">
      <c r="A72" s="366" t="s">
        <v>328</v>
      </c>
      <c r="B72" s="366"/>
      <c r="C72" s="366"/>
      <c r="D72" s="365"/>
      <c r="E72" s="365"/>
      <c r="F72" s="365"/>
      <c r="G72" s="365"/>
      <c r="H72" s="365"/>
      <c r="I72" s="365"/>
      <c r="J72" s="365"/>
      <c r="K72" s="365"/>
      <c r="L72" s="365"/>
      <c r="M72" s="365"/>
      <c r="N72" s="365"/>
      <c r="O72" s="365"/>
    </row>
    <row r="73" spans="1:15" ht="20.100000000000001" customHeight="1">
      <c r="A73" s="366" t="s">
        <v>109</v>
      </c>
      <c r="B73" s="366"/>
      <c r="C73" s="366"/>
      <c r="D73" s="365"/>
      <c r="E73" s="365"/>
      <c r="F73" s="365"/>
      <c r="G73" s="365"/>
      <c r="H73" s="365"/>
      <c r="I73" s="365"/>
      <c r="J73" s="365"/>
      <c r="K73" s="365"/>
      <c r="L73" s="365"/>
      <c r="M73" s="365"/>
      <c r="N73" s="365"/>
      <c r="O73" s="365"/>
    </row>
    <row r="74" spans="1:15" ht="20.100000000000001" customHeight="1">
      <c r="A74" s="366"/>
      <c r="B74" s="366"/>
      <c r="C74" s="366"/>
      <c r="D74" s="369"/>
      <c r="E74" s="370"/>
      <c r="F74" s="371"/>
      <c r="G74" s="369"/>
      <c r="H74" s="370"/>
      <c r="I74" s="371"/>
      <c r="J74" s="369"/>
      <c r="K74" s="370"/>
      <c r="L74" s="371"/>
      <c r="M74" s="369"/>
      <c r="N74" s="370"/>
      <c r="O74" s="371"/>
    </row>
    <row r="75" spans="1:15" ht="20.100000000000001" customHeight="1">
      <c r="A75" s="366" t="s">
        <v>329</v>
      </c>
      <c r="B75" s="366"/>
      <c r="C75" s="366"/>
      <c r="D75" s="365"/>
      <c r="E75" s="365"/>
      <c r="F75" s="365"/>
      <c r="G75" s="365"/>
      <c r="H75" s="365"/>
      <c r="I75" s="365"/>
      <c r="J75" s="365"/>
      <c r="K75" s="365"/>
      <c r="L75" s="365"/>
      <c r="M75" s="365"/>
      <c r="N75" s="365"/>
      <c r="O75" s="365"/>
    </row>
    <row r="76" spans="1:15" ht="20.100000000000001" customHeight="1">
      <c r="A76" s="366" t="s">
        <v>110</v>
      </c>
      <c r="B76" s="366"/>
      <c r="C76" s="366"/>
      <c r="D76" s="365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</row>
    <row r="77" spans="1:15" ht="20.100000000000001" customHeight="1">
      <c r="A77" s="366"/>
      <c r="B77" s="366"/>
      <c r="C77" s="366"/>
      <c r="D77" s="369"/>
      <c r="E77" s="370"/>
      <c r="F77" s="371"/>
      <c r="G77" s="369"/>
      <c r="H77" s="370"/>
      <c r="I77" s="371"/>
      <c r="J77" s="369"/>
      <c r="K77" s="370"/>
      <c r="L77" s="371"/>
      <c r="M77" s="369"/>
      <c r="N77" s="370"/>
      <c r="O77" s="371"/>
    </row>
    <row r="78" spans="1:15" ht="20.100000000000001" customHeight="1">
      <c r="A78" s="366" t="s">
        <v>330</v>
      </c>
      <c r="B78" s="366"/>
      <c r="C78" s="366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</row>
    <row r="79" spans="1:15" ht="20.100000000000001" customHeight="1">
      <c r="A79" s="366" t="s">
        <v>109</v>
      </c>
      <c r="B79" s="366"/>
      <c r="C79" s="366"/>
      <c r="D79" s="365"/>
      <c r="E79" s="365"/>
      <c r="F79" s="365"/>
      <c r="G79" s="365"/>
      <c r="H79" s="365"/>
      <c r="I79" s="365"/>
      <c r="J79" s="365"/>
      <c r="K79" s="365"/>
      <c r="L79" s="365"/>
      <c r="M79" s="365"/>
      <c r="N79" s="365"/>
      <c r="O79" s="365"/>
    </row>
    <row r="80" spans="1:15" ht="20.100000000000001" customHeight="1">
      <c r="A80" s="361"/>
      <c r="B80" s="362"/>
      <c r="C80" s="363"/>
      <c r="D80" s="365"/>
      <c r="E80" s="365"/>
      <c r="F80" s="365"/>
      <c r="G80" s="365"/>
      <c r="H80" s="365"/>
      <c r="I80" s="365"/>
      <c r="J80" s="365"/>
      <c r="K80" s="365"/>
      <c r="L80" s="365"/>
      <c r="M80" s="365"/>
      <c r="N80" s="365"/>
      <c r="O80" s="365"/>
    </row>
    <row r="81" spans="1:15" ht="20.100000000000001" customHeight="1">
      <c r="A81" s="361" t="s">
        <v>53</v>
      </c>
      <c r="B81" s="362"/>
      <c r="C81" s="363"/>
      <c r="D81" s="364"/>
      <c r="E81" s="364"/>
      <c r="F81" s="364"/>
      <c r="G81" s="364"/>
      <c r="H81" s="364"/>
      <c r="I81" s="364"/>
      <c r="J81" s="365"/>
      <c r="K81" s="365"/>
      <c r="L81" s="365"/>
      <c r="M81" s="365"/>
      <c r="N81" s="365"/>
      <c r="O81" s="365"/>
    </row>
    <row r="82" spans="1:15">
      <c r="C82" s="31"/>
      <c r="D82" s="31"/>
      <c r="E82" s="31"/>
    </row>
    <row r="83" spans="1:15">
      <c r="C83" s="31"/>
      <c r="D83" s="31"/>
      <c r="E83" s="31"/>
    </row>
    <row r="84" spans="1:15">
      <c r="C84" s="31"/>
      <c r="D84" s="31"/>
      <c r="E84" s="31"/>
    </row>
    <row r="85" spans="1:15">
      <c r="C85" s="31"/>
      <c r="D85" s="31"/>
      <c r="E85" s="31"/>
    </row>
    <row r="86" spans="1:15">
      <c r="C86" s="31"/>
      <c r="D86" s="31"/>
      <c r="E86" s="31"/>
    </row>
    <row r="87" spans="1:15">
      <c r="C87" s="31"/>
      <c r="D87" s="31"/>
      <c r="E87" s="31"/>
    </row>
    <row r="88" spans="1:15">
      <c r="C88" s="31"/>
      <c r="D88" s="31"/>
      <c r="E88" s="31"/>
    </row>
    <row r="89" spans="1:15">
      <c r="C89" s="31"/>
      <c r="D89" s="31"/>
      <c r="E89" s="31"/>
    </row>
    <row r="90" spans="1:15">
      <c r="C90" s="31"/>
      <c r="D90" s="31"/>
      <c r="E90" s="31"/>
    </row>
    <row r="91" spans="1:15">
      <c r="C91" s="31"/>
      <c r="D91" s="31"/>
      <c r="E91" s="31"/>
    </row>
    <row r="92" spans="1:15">
      <c r="C92" s="31"/>
      <c r="D92" s="31"/>
      <c r="E92" s="31"/>
    </row>
    <row r="93" spans="1:15">
      <c r="C93" s="31"/>
      <c r="D93" s="31"/>
      <c r="E93" s="31"/>
    </row>
    <row r="94" spans="1:15">
      <c r="C94" s="31"/>
      <c r="D94" s="31"/>
      <c r="E94" s="31"/>
    </row>
    <row r="95" spans="1:15">
      <c r="C95" s="31"/>
      <c r="D95" s="31"/>
      <c r="E95" s="31"/>
    </row>
  </sheetData>
  <sheetProtection insertColumns="0" insertRows="0"/>
  <mergeCells count="294">
    <mergeCell ref="A12:C12"/>
    <mergeCell ref="L12:M12"/>
    <mergeCell ref="N12:O12"/>
    <mergeCell ref="H10:I10"/>
    <mergeCell ref="J14:K14"/>
    <mergeCell ref="H14:I14"/>
    <mergeCell ref="D12:E12"/>
    <mergeCell ref="F12:G12"/>
    <mergeCell ref="F13:G13"/>
    <mergeCell ref="A13:C13"/>
    <mergeCell ref="N14:O14"/>
    <mergeCell ref="N13:O13"/>
    <mergeCell ref="D14:E14"/>
    <mergeCell ref="A14:C14"/>
    <mergeCell ref="F14:G14"/>
    <mergeCell ref="D13:E13"/>
    <mergeCell ref="H13:I13"/>
    <mergeCell ref="L13:M13"/>
    <mergeCell ref="J13:K13"/>
    <mergeCell ref="A5:O5"/>
    <mergeCell ref="H12:I12"/>
    <mergeCell ref="J11:K11"/>
    <mergeCell ref="J12:K12"/>
    <mergeCell ref="F11:G11"/>
    <mergeCell ref="A1:O1"/>
    <mergeCell ref="A2:O2"/>
    <mergeCell ref="A3:O3"/>
    <mergeCell ref="D9:E9"/>
    <mergeCell ref="F9:G9"/>
    <mergeCell ref="A9:C9"/>
    <mergeCell ref="A4:O4"/>
    <mergeCell ref="A7:O7"/>
    <mergeCell ref="J9:K9"/>
    <mergeCell ref="H9:I9"/>
    <mergeCell ref="A10:C10"/>
    <mergeCell ref="N10:O10"/>
    <mergeCell ref="H11:I11"/>
    <mergeCell ref="N11:O11"/>
    <mergeCell ref="L11:M11"/>
    <mergeCell ref="J10:K10"/>
    <mergeCell ref="D10:E10"/>
    <mergeCell ref="F10:G10"/>
    <mergeCell ref="D11:E11"/>
    <mergeCell ref="L16:M16"/>
    <mergeCell ref="N16:O16"/>
    <mergeCell ref="N15:O15"/>
    <mergeCell ref="A15:C15"/>
    <mergeCell ref="H16:I16"/>
    <mergeCell ref="H15:I15"/>
    <mergeCell ref="D15:E15"/>
    <mergeCell ref="A16:C16"/>
    <mergeCell ref="J16:K16"/>
    <mergeCell ref="F15:G15"/>
    <mergeCell ref="D16:E16"/>
    <mergeCell ref="F16:G16"/>
    <mergeCell ref="B40:E40"/>
    <mergeCell ref="F39:O39"/>
    <mergeCell ref="B39:E39"/>
    <mergeCell ref="A37:O37"/>
    <mergeCell ref="A35:O35"/>
    <mergeCell ref="N18:O18"/>
    <mergeCell ref="L23:M23"/>
    <mergeCell ref="L22:M22"/>
    <mergeCell ref="F23:G23"/>
    <mergeCell ref="H23:I23"/>
    <mergeCell ref="J23:K23"/>
    <mergeCell ref="N23:O23"/>
    <mergeCell ref="A24:C24"/>
    <mergeCell ref="D24:E24"/>
    <mergeCell ref="F24:G24"/>
    <mergeCell ref="H24:I24"/>
    <mergeCell ref="J24:K24"/>
    <mergeCell ref="L24:M24"/>
    <mergeCell ref="N24:O24"/>
    <mergeCell ref="A23:C23"/>
    <mergeCell ref="D23:E23"/>
    <mergeCell ref="N26:O26"/>
    <mergeCell ref="A25:C25"/>
    <mergeCell ref="D25:E25"/>
    <mergeCell ref="F42:O42"/>
    <mergeCell ref="F43:O43"/>
    <mergeCell ref="F44:O44"/>
    <mergeCell ref="B42:E42"/>
    <mergeCell ref="A17:C17"/>
    <mergeCell ref="A11:C11"/>
    <mergeCell ref="D17:E17"/>
    <mergeCell ref="F17:G17"/>
    <mergeCell ref="L17:M17"/>
    <mergeCell ref="N17:O17"/>
    <mergeCell ref="B41:E41"/>
    <mergeCell ref="F41:O41"/>
    <mergeCell ref="B44:E44"/>
    <mergeCell ref="D19:E19"/>
    <mergeCell ref="N22:O22"/>
    <mergeCell ref="A21:C21"/>
    <mergeCell ref="D21:E21"/>
    <mergeCell ref="F21:G21"/>
    <mergeCell ref="H21:I21"/>
    <mergeCell ref="J21:K21"/>
    <mergeCell ref="L21:M21"/>
    <mergeCell ref="N21:O21"/>
    <mergeCell ref="J17:K17"/>
    <mergeCell ref="F40:O40"/>
    <mergeCell ref="L9:M9"/>
    <mergeCell ref="N9:O9"/>
    <mergeCell ref="B43:E43"/>
    <mergeCell ref="L10:M10"/>
    <mergeCell ref="L15:M15"/>
    <mergeCell ref="L14:M14"/>
    <mergeCell ref="J15:K15"/>
    <mergeCell ref="B49:E49"/>
    <mergeCell ref="F45:O45"/>
    <mergeCell ref="B45:E45"/>
    <mergeCell ref="B46:E46"/>
    <mergeCell ref="F46:O46"/>
    <mergeCell ref="F47:O47"/>
    <mergeCell ref="B47:E47"/>
    <mergeCell ref="L19:M19"/>
    <mergeCell ref="N19:O19"/>
    <mergeCell ref="A20:C20"/>
    <mergeCell ref="D20:E20"/>
    <mergeCell ref="F20:G20"/>
    <mergeCell ref="H20:I20"/>
    <mergeCell ref="J20:K20"/>
    <mergeCell ref="L20:M20"/>
    <mergeCell ref="N20:O20"/>
    <mergeCell ref="A19:C19"/>
    <mergeCell ref="A51:J51"/>
    <mergeCell ref="B53:C53"/>
    <mergeCell ref="D53:F53"/>
    <mergeCell ref="F48:O48"/>
    <mergeCell ref="F49:O49"/>
    <mergeCell ref="G53:I53"/>
    <mergeCell ref="J53:L53"/>
    <mergeCell ref="M53:O53"/>
    <mergeCell ref="A53:A54"/>
    <mergeCell ref="B48:E48"/>
    <mergeCell ref="M61:O61"/>
    <mergeCell ref="K62:L62"/>
    <mergeCell ref="M62:O62"/>
    <mergeCell ref="A59:O59"/>
    <mergeCell ref="B61:C61"/>
    <mergeCell ref="D61:E61"/>
    <mergeCell ref="F61:G61"/>
    <mergeCell ref="H61:J61"/>
    <mergeCell ref="K61:L61"/>
    <mergeCell ref="M63:O63"/>
    <mergeCell ref="B62:C62"/>
    <mergeCell ref="F62:G62"/>
    <mergeCell ref="H62:J62"/>
    <mergeCell ref="B63:C63"/>
    <mergeCell ref="H63:J63"/>
    <mergeCell ref="K63:L63"/>
    <mergeCell ref="D62:E62"/>
    <mergeCell ref="D63:E63"/>
    <mergeCell ref="F63:G63"/>
    <mergeCell ref="B66:C66"/>
    <mergeCell ref="D66:E66"/>
    <mergeCell ref="F66:G66"/>
    <mergeCell ref="H64:J64"/>
    <mergeCell ref="B65:C65"/>
    <mergeCell ref="B64:C64"/>
    <mergeCell ref="D64:E64"/>
    <mergeCell ref="F64:G64"/>
    <mergeCell ref="D65:E65"/>
    <mergeCell ref="F65:G65"/>
    <mergeCell ref="H66:J66"/>
    <mergeCell ref="D71:F71"/>
    <mergeCell ref="A68:O68"/>
    <mergeCell ref="A70:C70"/>
    <mergeCell ref="D70:F70"/>
    <mergeCell ref="G70:I70"/>
    <mergeCell ref="J70:L70"/>
    <mergeCell ref="M71:O71"/>
    <mergeCell ref="A71:C71"/>
    <mergeCell ref="J72:L72"/>
    <mergeCell ref="G71:I71"/>
    <mergeCell ref="M75:O75"/>
    <mergeCell ref="J75:L75"/>
    <mergeCell ref="J73:L73"/>
    <mergeCell ref="M73:O73"/>
    <mergeCell ref="M74:O74"/>
    <mergeCell ref="G75:I75"/>
    <mergeCell ref="M64:O64"/>
    <mergeCell ref="M72:O72"/>
    <mergeCell ref="J71:L71"/>
    <mergeCell ref="K65:L65"/>
    <mergeCell ref="M65:O65"/>
    <mergeCell ref="K66:L66"/>
    <mergeCell ref="M66:O66"/>
    <mergeCell ref="M70:O70"/>
    <mergeCell ref="K64:L64"/>
    <mergeCell ref="H65:J65"/>
    <mergeCell ref="J74:L74"/>
    <mergeCell ref="J79:L79"/>
    <mergeCell ref="J78:L78"/>
    <mergeCell ref="J80:L80"/>
    <mergeCell ref="J77:L77"/>
    <mergeCell ref="A78:C78"/>
    <mergeCell ref="D78:F78"/>
    <mergeCell ref="G78:I78"/>
    <mergeCell ref="G77:I77"/>
    <mergeCell ref="A72:C72"/>
    <mergeCell ref="D72:F72"/>
    <mergeCell ref="G72:I72"/>
    <mergeCell ref="A73:C73"/>
    <mergeCell ref="D73:F73"/>
    <mergeCell ref="G73:I73"/>
    <mergeCell ref="A74:C74"/>
    <mergeCell ref="A77:C77"/>
    <mergeCell ref="D77:F77"/>
    <mergeCell ref="D74:F74"/>
    <mergeCell ref="G74:I74"/>
    <mergeCell ref="A76:C76"/>
    <mergeCell ref="D76:F76"/>
    <mergeCell ref="G76:I76"/>
    <mergeCell ref="A81:C81"/>
    <mergeCell ref="D81:F81"/>
    <mergeCell ref="G81:I81"/>
    <mergeCell ref="J81:L81"/>
    <mergeCell ref="M81:O81"/>
    <mergeCell ref="M79:O79"/>
    <mergeCell ref="A79:C79"/>
    <mergeCell ref="H17:I17"/>
    <mergeCell ref="A80:C80"/>
    <mergeCell ref="D80:F80"/>
    <mergeCell ref="G80:I80"/>
    <mergeCell ref="D75:F75"/>
    <mergeCell ref="G79:I79"/>
    <mergeCell ref="A75:C75"/>
    <mergeCell ref="D79:F79"/>
    <mergeCell ref="L18:M18"/>
    <mergeCell ref="F19:G19"/>
    <mergeCell ref="H19:I19"/>
    <mergeCell ref="J19:K19"/>
    <mergeCell ref="M78:O78"/>
    <mergeCell ref="J76:L76"/>
    <mergeCell ref="M76:O76"/>
    <mergeCell ref="M77:O77"/>
    <mergeCell ref="M80:O80"/>
    <mergeCell ref="F25:G25"/>
    <mergeCell ref="H25:I25"/>
    <mergeCell ref="J25:K25"/>
    <mergeCell ref="L25:M25"/>
    <mergeCell ref="N25:O25"/>
    <mergeCell ref="L26:M26"/>
    <mergeCell ref="J31:K31"/>
    <mergeCell ref="N31:O31"/>
    <mergeCell ref="F28:G28"/>
    <mergeCell ref="H28:I28"/>
    <mergeCell ref="J28:K28"/>
    <mergeCell ref="L28:M28"/>
    <mergeCell ref="N28:O28"/>
    <mergeCell ref="A27:C27"/>
    <mergeCell ref="D27:E27"/>
    <mergeCell ref="L31:M31"/>
    <mergeCell ref="L30:M30"/>
    <mergeCell ref="N30:O30"/>
    <mergeCell ref="L27:M27"/>
    <mergeCell ref="F27:G27"/>
    <mergeCell ref="H27:I27"/>
    <mergeCell ref="J27:K27"/>
    <mergeCell ref="N27:O27"/>
    <mergeCell ref="A28:C28"/>
    <mergeCell ref="D28:E28"/>
    <mergeCell ref="F31:G31"/>
    <mergeCell ref="J29:K29"/>
    <mergeCell ref="L29:M29"/>
    <mergeCell ref="N29:O29"/>
    <mergeCell ref="A29:C29"/>
    <mergeCell ref="A18:K18"/>
    <mergeCell ref="A22:K22"/>
    <mergeCell ref="A26:K26"/>
    <mergeCell ref="A30:K30"/>
    <mergeCell ref="N33:O33"/>
    <mergeCell ref="A33:C33"/>
    <mergeCell ref="D33:E33"/>
    <mergeCell ref="F33:G33"/>
    <mergeCell ref="H33:I33"/>
    <mergeCell ref="J33:K33"/>
    <mergeCell ref="L33:M33"/>
    <mergeCell ref="J32:K32"/>
    <mergeCell ref="L32:M32"/>
    <mergeCell ref="N32:O32"/>
    <mergeCell ref="A32:C32"/>
    <mergeCell ref="D32:E32"/>
    <mergeCell ref="F32:G32"/>
    <mergeCell ref="H32:I32"/>
    <mergeCell ref="D29:E29"/>
    <mergeCell ref="F29:G29"/>
    <mergeCell ref="H29:I29"/>
    <mergeCell ref="H31:I31"/>
    <mergeCell ref="A31:C31"/>
    <mergeCell ref="D31:E31"/>
  </mergeCells>
  <phoneticPr fontId="3" type="noConversion"/>
  <pageMargins left="1.1811023622047245" right="0.39370078740157483" top="0.78740157480314965" bottom="0.78740157480314965" header="0.27559055118110237" footer="0.15748031496062992"/>
  <pageSetup paperSize="9" scale="43" orientation="landscape" horizontalDpi="1200" verticalDpi="1200" r:id="rId1"/>
  <headerFooter alignWithMargins="0">
    <oddHeader xml:space="preserve">&amp;C&amp;"Times New Roman,обычный"&amp;14 
13
&amp;R
&amp;"Times New Roman,обычный"&amp;14Продовження додатка 1
</oddHeader>
  </headerFooter>
  <rowBreaks count="1" manualBreakCount="1">
    <brk id="49" max="14" man="1"/>
  </rowBreaks>
  <ignoredErrors>
    <ignoredError sqref="O12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3:V44"/>
  <sheetViews>
    <sheetView view="pageBreakPreview" topLeftCell="A10" zoomScale="91" zoomScaleNormal="100" zoomScaleSheetLayoutView="91" workbookViewId="0">
      <selection activeCell="S16" sqref="S16"/>
    </sheetView>
  </sheetViews>
  <sheetFormatPr defaultRowHeight="12.75"/>
  <cols>
    <col min="1" max="1" width="29" customWidth="1"/>
    <col min="2" max="2" width="4.7109375" hidden="1" customWidth="1"/>
    <col min="3" max="3" width="9.85546875" customWidth="1"/>
    <col min="4" max="4" width="9.42578125" bestFit="1" customWidth="1"/>
    <col min="5" max="8" width="0" hidden="1" customWidth="1"/>
    <col min="9" max="10" width="9.28515625" bestFit="1" customWidth="1"/>
    <col min="11" max="12" width="0" hidden="1" customWidth="1"/>
    <col min="13" max="14" width="9.28515625" bestFit="1" customWidth="1"/>
    <col min="15" max="15" width="10.7109375" customWidth="1"/>
    <col min="16" max="16" width="9.28515625" bestFit="1" customWidth="1"/>
    <col min="17" max="17" width="10.42578125" customWidth="1"/>
    <col min="18" max="18" width="9.28515625" bestFit="1" customWidth="1"/>
    <col min="19" max="19" width="10.5703125" customWidth="1"/>
    <col min="20" max="20" width="9.28515625" bestFit="1" customWidth="1"/>
    <col min="21" max="21" width="10.140625" customWidth="1"/>
    <col min="22" max="22" width="9.28515625" bestFit="1" customWidth="1"/>
  </cols>
  <sheetData>
    <row r="3" spans="1:22">
      <c r="A3" s="410" t="s">
        <v>431</v>
      </c>
      <c r="B3" s="411" t="s">
        <v>432</v>
      </c>
      <c r="C3" s="413" t="s">
        <v>433</v>
      </c>
      <c r="D3" s="410" t="s">
        <v>434</v>
      </c>
      <c r="E3" s="410" t="s">
        <v>435</v>
      </c>
      <c r="F3" s="410"/>
      <c r="G3" s="410"/>
      <c r="H3" s="410"/>
      <c r="I3" s="410" t="s">
        <v>436</v>
      </c>
      <c r="J3" s="410"/>
      <c r="K3" s="410"/>
      <c r="L3" s="410"/>
    </row>
    <row r="4" spans="1:22">
      <c r="A4" s="410"/>
      <c r="B4" s="412"/>
      <c r="C4" s="413"/>
      <c r="D4" s="410"/>
      <c r="E4" s="410"/>
      <c r="F4" s="410"/>
      <c r="G4" s="410"/>
      <c r="H4" s="410"/>
      <c r="I4" s="410"/>
      <c r="J4" s="410"/>
      <c r="K4" s="410"/>
      <c r="L4" s="410"/>
      <c r="N4" t="s">
        <v>374</v>
      </c>
      <c r="P4" t="s">
        <v>366</v>
      </c>
      <c r="R4" t="s">
        <v>367</v>
      </c>
      <c r="T4" t="s">
        <v>79</v>
      </c>
      <c r="V4" t="s">
        <v>443</v>
      </c>
    </row>
    <row r="5" spans="1:22" ht="110.25">
      <c r="A5" s="410"/>
      <c r="B5" s="412"/>
      <c r="C5" s="413"/>
      <c r="D5" s="410"/>
      <c r="E5" s="217"/>
      <c r="F5" s="217"/>
      <c r="G5" s="217"/>
      <c r="H5" s="217"/>
      <c r="I5" s="217" t="s">
        <v>452</v>
      </c>
      <c r="J5" s="217" t="s">
        <v>456</v>
      </c>
      <c r="K5" s="217"/>
      <c r="L5" s="217"/>
      <c r="M5" s="227" t="s">
        <v>464</v>
      </c>
      <c r="N5" s="246" t="s">
        <v>474</v>
      </c>
      <c r="O5" s="246" t="s">
        <v>457</v>
      </c>
      <c r="P5" s="246" t="s">
        <v>473</v>
      </c>
      <c r="Q5" s="246" t="s">
        <v>457</v>
      </c>
      <c r="R5" s="246" t="s">
        <v>455</v>
      </c>
      <c r="S5" s="246" t="s">
        <v>457</v>
      </c>
      <c r="T5" s="246" t="s">
        <v>455</v>
      </c>
      <c r="U5" s="246" t="s">
        <v>457</v>
      </c>
    </row>
    <row r="6" spans="1:22" ht="31.5">
      <c r="A6" s="257" t="s">
        <v>437</v>
      </c>
      <c r="B6" s="218" t="s">
        <v>438</v>
      </c>
      <c r="C6" s="258">
        <v>1</v>
      </c>
      <c r="D6" s="259">
        <v>13099</v>
      </c>
      <c r="E6" s="219"/>
      <c r="F6" s="219"/>
      <c r="G6" s="219"/>
      <c r="H6" s="219"/>
      <c r="I6" s="219">
        <v>115.09</v>
      </c>
      <c r="J6" s="219"/>
      <c r="K6" s="219"/>
      <c r="L6" s="219"/>
      <c r="N6">
        <f>D6*C6*3</f>
        <v>39297</v>
      </c>
      <c r="O6">
        <f>(I6+J6+M6)*3*C6</f>
        <v>345.27</v>
      </c>
      <c r="P6">
        <f>D6*C6*6</f>
        <v>78594</v>
      </c>
      <c r="Q6">
        <f>(I6+J6+M6)*6*C6</f>
        <v>690.54</v>
      </c>
      <c r="R6">
        <f>D6*C6*9</f>
        <v>117891</v>
      </c>
      <c r="S6">
        <f>(I6+J6+M6)*9*C6</f>
        <v>1035.81</v>
      </c>
      <c r="T6">
        <f>D6*C6*12</f>
        <v>157188</v>
      </c>
      <c r="U6">
        <f>(I6+J6+M6)*12*C6</f>
        <v>1381.08</v>
      </c>
      <c r="V6" s="222">
        <f>T6+U6</f>
        <v>158569.07999999999</v>
      </c>
    </row>
    <row r="7" spans="1:22" ht="15.75">
      <c r="A7" s="257" t="s">
        <v>439</v>
      </c>
      <c r="B7" s="220">
        <v>-0.1</v>
      </c>
      <c r="C7" s="258">
        <v>1</v>
      </c>
      <c r="D7" s="260">
        <v>11789.1</v>
      </c>
      <c r="E7" s="219"/>
      <c r="F7" s="219"/>
      <c r="G7" s="219"/>
      <c r="H7" s="219"/>
      <c r="I7" s="219">
        <v>115.09</v>
      </c>
      <c r="J7" s="219"/>
      <c r="K7" s="219"/>
      <c r="L7" s="219"/>
      <c r="N7">
        <f t="shared" ref="N7" si="0">D7*C7*3</f>
        <v>35367.300000000003</v>
      </c>
      <c r="O7">
        <f t="shared" ref="O7" si="1">(I7+J7+M7)*3*C7</f>
        <v>345.27</v>
      </c>
      <c r="P7">
        <f t="shared" ref="P7" si="2">D7*C7*6</f>
        <v>70734.600000000006</v>
      </c>
      <c r="Q7">
        <f t="shared" ref="Q7" si="3">(I7+J7+M7)*6*C7</f>
        <v>690.54</v>
      </c>
      <c r="R7">
        <f t="shared" ref="R7" si="4">D7*C7*9</f>
        <v>106101.90000000001</v>
      </c>
      <c r="S7">
        <f t="shared" ref="S7" si="5">(I7+J7+M7)*9*C7</f>
        <v>1035.81</v>
      </c>
      <c r="T7">
        <f t="shared" ref="T7" si="6">D7*C7*12</f>
        <v>141469.20000000001</v>
      </c>
      <c r="U7">
        <f t="shared" ref="U7" si="7">(I7+J7+M7)*12*C7</f>
        <v>1381.08</v>
      </c>
      <c r="V7" s="222">
        <f t="shared" ref="V7:V10" si="8">T7+U7</f>
        <v>142850.28</v>
      </c>
    </row>
    <row r="8" spans="1:22" ht="15.75">
      <c r="A8" s="257" t="s">
        <v>440</v>
      </c>
      <c r="B8" s="221">
        <v>8</v>
      </c>
      <c r="C8" s="258">
        <v>1</v>
      </c>
      <c r="D8" s="261">
        <v>3447</v>
      </c>
      <c r="E8" s="219"/>
      <c r="F8" s="219"/>
      <c r="G8" s="219"/>
      <c r="H8" s="219"/>
      <c r="I8" s="219"/>
      <c r="J8" s="219"/>
      <c r="K8" s="219"/>
      <c r="L8" s="219"/>
      <c r="M8" s="223">
        <f>4723-I8-J8-D8</f>
        <v>1276</v>
      </c>
      <c r="N8">
        <f>14715.1-O8+800</f>
        <v>12233.900000000001</v>
      </c>
      <c r="O8">
        <f>638*4+364.6*2</f>
        <v>3281.2</v>
      </c>
      <c r="P8">
        <f>N8+7817.8</f>
        <v>20051.7</v>
      </c>
      <c r="Q8">
        <f>O8+1176</f>
        <v>4457.2</v>
      </c>
      <c r="R8">
        <f>D8*C8*3+P8</f>
        <v>30392.7</v>
      </c>
      <c r="S8">
        <f>(I8+J8+M8)*3*C8+Q8</f>
        <v>8285.2000000000007</v>
      </c>
      <c r="T8">
        <f>D8*C8*3+R8</f>
        <v>40733.699999999997</v>
      </c>
      <c r="U8">
        <f>(I8+J8+M8)*3*C8+S8</f>
        <v>12113.2</v>
      </c>
      <c r="V8" s="222">
        <f t="shared" si="8"/>
        <v>52846.899999999994</v>
      </c>
    </row>
    <row r="9" spans="1:22" ht="15.75">
      <c r="A9" s="257" t="s">
        <v>441</v>
      </c>
      <c r="B9" s="221">
        <v>5</v>
      </c>
      <c r="C9" s="258">
        <v>2</v>
      </c>
      <c r="D9" s="261">
        <v>2859</v>
      </c>
      <c r="E9" s="219"/>
      <c r="F9" s="219"/>
      <c r="G9" s="219"/>
      <c r="H9" s="219"/>
      <c r="I9" s="219"/>
      <c r="J9" s="219"/>
      <c r="K9" s="219"/>
      <c r="L9" s="219"/>
      <c r="M9" s="223">
        <f>4723-D9-I9-J9</f>
        <v>1864</v>
      </c>
      <c r="N9">
        <f>28846.33-O9+800</f>
        <v>20465.530000000002</v>
      </c>
      <c r="O9">
        <f>1864*4+862.4*2</f>
        <v>9180.7999999999993</v>
      </c>
      <c r="P9">
        <f>N9+14032.23</f>
        <v>34497.760000000002</v>
      </c>
      <c r="Q9">
        <f>O9+1764*2</f>
        <v>12708.8</v>
      </c>
      <c r="R9">
        <f>D9*C9*3+P9</f>
        <v>51651.76</v>
      </c>
      <c r="S9" s="252">
        <f>(I9+J9+M9)*3*C9+Q9</f>
        <v>23892.799999999999</v>
      </c>
      <c r="T9">
        <f>D9*C9*3+R9</f>
        <v>68805.760000000009</v>
      </c>
      <c r="U9">
        <f>(I9+J9+M9)*3*C9+S9</f>
        <v>35076.800000000003</v>
      </c>
      <c r="V9" s="222">
        <f t="shared" si="8"/>
        <v>103882.56000000001</v>
      </c>
    </row>
    <row r="10" spans="1:22" ht="15.75">
      <c r="A10" s="257" t="s">
        <v>442</v>
      </c>
      <c r="B10" s="221">
        <v>1</v>
      </c>
      <c r="C10" s="258">
        <v>1</v>
      </c>
      <c r="D10" s="259">
        <v>2102</v>
      </c>
      <c r="E10" s="219"/>
      <c r="F10" s="219"/>
      <c r="G10" s="219"/>
      <c r="H10" s="219"/>
      <c r="I10" s="219"/>
      <c r="J10" s="219">
        <f>D10*10%</f>
        <v>210.20000000000002</v>
      </c>
      <c r="K10" s="219"/>
      <c r="L10" s="219"/>
      <c r="M10" s="223">
        <f>4723-D10-I10</f>
        <v>2621</v>
      </c>
      <c r="N10">
        <f>15347.93-O10+423.8</f>
        <v>8491.5</v>
      </c>
      <c r="O10">
        <f>2831.2*2+1617.83</f>
        <v>7280.23</v>
      </c>
      <c r="P10">
        <f>N10+5462</f>
        <v>13953.5</v>
      </c>
      <c r="Q10">
        <f>O10+2731.2</f>
        <v>10011.43</v>
      </c>
      <c r="R10">
        <f>D10*C10*3+P10</f>
        <v>20259.5</v>
      </c>
      <c r="S10">
        <f>(I10+J10+M10)*3*C10+Q10</f>
        <v>18505.03</v>
      </c>
      <c r="T10">
        <f>D10*C10*3+R10</f>
        <v>26565.5</v>
      </c>
      <c r="U10">
        <f>(I10+J10+M10)*3*C10+S10</f>
        <v>26998.629999999997</v>
      </c>
      <c r="V10" s="222">
        <f t="shared" si="8"/>
        <v>53564.13</v>
      </c>
    </row>
    <row r="11" spans="1:22" ht="15.75">
      <c r="A11" s="247"/>
      <c r="B11" s="248"/>
      <c r="C11" s="247"/>
      <c r="D11" s="249"/>
      <c r="E11" s="250"/>
      <c r="F11" s="250"/>
      <c r="G11" s="250"/>
      <c r="H11" s="250"/>
      <c r="I11" s="219"/>
      <c r="J11" s="250"/>
      <c r="K11" s="250"/>
      <c r="L11" s="250"/>
      <c r="M11" s="223"/>
      <c r="V11" s="222"/>
    </row>
    <row r="12" spans="1:22">
      <c r="U12" t="s">
        <v>458</v>
      </c>
      <c r="V12" s="222">
        <f>SUM(V6:V10)</f>
        <v>511712.95</v>
      </c>
    </row>
    <row r="15" spans="1:22">
      <c r="A15">
        <f>108526+403187</f>
        <v>511713</v>
      </c>
    </row>
    <row r="16" spans="1:22">
      <c r="A16">
        <f>89911+22666</f>
        <v>112577</v>
      </c>
      <c r="N16" t="s">
        <v>374</v>
      </c>
      <c r="O16" t="s">
        <v>366</v>
      </c>
      <c r="P16" t="s">
        <v>367</v>
      </c>
      <c r="Q16" t="s">
        <v>79</v>
      </c>
    </row>
    <row r="17" spans="13:18">
      <c r="M17" t="s">
        <v>444</v>
      </c>
      <c r="N17" s="280">
        <f>SUM(N6:O10)</f>
        <v>136288.00000000003</v>
      </c>
      <c r="O17" s="280">
        <f>SUM(P6:Q10)</f>
        <v>246390.07000000004</v>
      </c>
      <c r="P17" s="252">
        <f>SUM(R6:S10)</f>
        <v>379051.51</v>
      </c>
      <c r="Q17" s="252">
        <f>SUM(T6:U10)</f>
        <v>511712.95000000007</v>
      </c>
      <c r="R17" s="252"/>
    </row>
    <row r="18" spans="13:18">
      <c r="M18" t="s">
        <v>445</v>
      </c>
      <c r="N18" s="252">
        <f>N17*22%</f>
        <v>29983.360000000008</v>
      </c>
      <c r="O18" s="252">
        <f t="shared" ref="O18:Q18" si="9">O17*22%</f>
        <v>54205.815400000007</v>
      </c>
      <c r="P18" s="252">
        <f t="shared" si="9"/>
        <v>83391.332200000004</v>
      </c>
      <c r="Q18" s="252">
        <f t="shared" si="9"/>
        <v>112576.84900000002</v>
      </c>
      <c r="R18" s="252"/>
    </row>
    <row r="19" spans="13:18">
      <c r="N19" s="252"/>
      <c r="O19" s="252"/>
      <c r="P19" s="252"/>
      <c r="Q19" s="252"/>
      <c r="R19" s="252"/>
    </row>
    <row r="20" spans="13:18">
      <c r="N20" s="252"/>
      <c r="O20" s="252"/>
      <c r="P20" s="252"/>
      <c r="Q20" s="252"/>
      <c r="R20" s="252"/>
    </row>
    <row r="21" spans="13:18">
      <c r="M21" t="s">
        <v>446</v>
      </c>
      <c r="N21" s="252"/>
      <c r="O21" s="252"/>
      <c r="P21" s="252"/>
      <c r="Q21" s="252"/>
      <c r="R21" s="252"/>
    </row>
    <row r="22" spans="13:18">
      <c r="N22" s="252"/>
      <c r="O22" s="252"/>
      <c r="P22" s="252"/>
      <c r="Q22" s="252"/>
      <c r="R22" s="252"/>
    </row>
    <row r="23" spans="13:18">
      <c r="M23" t="s">
        <v>447</v>
      </c>
      <c r="N23" s="252"/>
      <c r="O23" s="252"/>
      <c r="P23" s="252"/>
      <c r="Q23" s="252"/>
      <c r="R23" s="252"/>
    </row>
    <row r="24" spans="13:18">
      <c r="M24" t="s">
        <v>267</v>
      </c>
      <c r="N24" s="252">
        <f>V6</f>
        <v>158569.07999999999</v>
      </c>
      <c r="O24" s="252"/>
      <c r="P24" s="252"/>
      <c r="Q24" s="252"/>
      <c r="R24" s="252"/>
    </row>
    <row r="25" spans="13:18">
      <c r="M25" t="s">
        <v>448</v>
      </c>
      <c r="N25" s="252">
        <f>SUM(V7:V10)</f>
        <v>353143.87</v>
      </c>
      <c r="O25" s="252"/>
      <c r="P25" s="252"/>
      <c r="Q25" s="252"/>
      <c r="R25" s="252"/>
    </row>
    <row r="26" spans="13:18">
      <c r="M26" t="s">
        <v>268</v>
      </c>
      <c r="N26" s="252"/>
      <c r="O26" s="252"/>
      <c r="P26" s="252"/>
      <c r="Q26" s="252"/>
      <c r="R26" s="252"/>
    </row>
    <row r="27" spans="13:18">
      <c r="N27" s="252"/>
      <c r="O27" s="252"/>
      <c r="P27" s="252"/>
      <c r="Q27" s="252"/>
      <c r="R27" s="252"/>
    </row>
    <row r="28" spans="13:18">
      <c r="M28" t="s">
        <v>449</v>
      </c>
      <c r="N28" s="252"/>
      <c r="O28" s="252"/>
      <c r="P28" s="252"/>
      <c r="Q28" s="252"/>
      <c r="R28" s="252"/>
    </row>
    <row r="29" spans="13:18">
      <c r="M29" t="s">
        <v>267</v>
      </c>
      <c r="N29" s="252">
        <f>V6*1.22</f>
        <v>193454.27759999997</v>
      </c>
      <c r="O29" s="252"/>
      <c r="P29" s="252"/>
      <c r="Q29" s="252"/>
      <c r="R29" s="252"/>
    </row>
    <row r="30" spans="13:18">
      <c r="M30" t="s">
        <v>448</v>
      </c>
      <c r="N30" s="252">
        <f>N25*1.22</f>
        <v>430835.52139999997</v>
      </c>
      <c r="O30" s="252"/>
      <c r="P30" s="252"/>
      <c r="Q30" s="252"/>
      <c r="R30" s="252"/>
    </row>
    <row r="31" spans="13:18">
      <c r="M31" t="s">
        <v>268</v>
      </c>
      <c r="N31" s="252"/>
      <c r="O31" s="252"/>
      <c r="P31" s="252"/>
      <c r="Q31" s="252"/>
      <c r="R31" s="252"/>
    </row>
    <row r="32" spans="13:18">
      <c r="N32" s="252"/>
      <c r="O32" s="252"/>
      <c r="P32" s="252"/>
      <c r="Q32" s="252"/>
      <c r="R32" s="252"/>
    </row>
    <row r="33" spans="13:18">
      <c r="M33" t="s">
        <v>450</v>
      </c>
      <c r="N33" s="252"/>
      <c r="O33" s="252"/>
      <c r="P33" s="252"/>
      <c r="Q33" s="252"/>
      <c r="R33" s="252"/>
    </row>
    <row r="34" spans="13:18">
      <c r="M34" t="s">
        <v>267</v>
      </c>
      <c r="N34" s="253">
        <f>D6</f>
        <v>13099</v>
      </c>
      <c r="O34" s="252"/>
      <c r="P34" s="252"/>
      <c r="Q34" s="252"/>
      <c r="R34" s="252"/>
    </row>
    <row r="35" spans="13:18">
      <c r="M35" t="s">
        <v>448</v>
      </c>
      <c r="N35" s="253">
        <f>N25/12/6</f>
        <v>4904.7759722222227</v>
      </c>
      <c r="O35" s="252"/>
      <c r="P35" s="252"/>
      <c r="Q35" s="252"/>
      <c r="R35" s="252"/>
    </row>
    <row r="36" spans="13:18">
      <c r="M36" t="s">
        <v>268</v>
      </c>
      <c r="N36" s="252"/>
      <c r="O36" s="252"/>
      <c r="P36" s="252"/>
      <c r="Q36" s="252"/>
      <c r="R36" s="252"/>
    </row>
    <row r="37" spans="13:18">
      <c r="N37" s="252"/>
      <c r="O37" s="252"/>
      <c r="P37" s="252"/>
      <c r="Q37" s="252"/>
      <c r="R37" s="252"/>
    </row>
    <row r="38" spans="13:18">
      <c r="M38" t="s">
        <v>451</v>
      </c>
      <c r="N38" s="252"/>
      <c r="O38" s="252"/>
      <c r="P38" s="252"/>
      <c r="Q38" s="252"/>
      <c r="R38" s="252"/>
    </row>
    <row r="39" spans="13:18">
      <c r="M39" t="s">
        <v>267</v>
      </c>
      <c r="N39" s="253">
        <f>D6+I6</f>
        <v>13214.09</v>
      </c>
      <c r="O39" s="252"/>
      <c r="P39" s="252"/>
      <c r="Q39" s="252"/>
      <c r="R39" s="252"/>
    </row>
    <row r="40" spans="13:18">
      <c r="M40" t="s">
        <v>448</v>
      </c>
      <c r="N40" s="252">
        <f>SUM(T7:U10)/6/12</f>
        <v>4904.7759722222227</v>
      </c>
      <c r="O40" s="252"/>
      <c r="P40" s="252"/>
      <c r="Q40" s="252"/>
      <c r="R40" s="252"/>
    </row>
    <row r="41" spans="13:18">
      <c r="M41" t="s">
        <v>268</v>
      </c>
      <c r="N41" s="252"/>
      <c r="O41" s="252"/>
      <c r="P41" s="252"/>
      <c r="Q41" s="252"/>
      <c r="R41" s="252"/>
    </row>
    <row r="42" spans="13:18">
      <c r="N42" s="252"/>
      <c r="O42" s="252"/>
      <c r="P42" s="252"/>
      <c r="Q42" s="252"/>
      <c r="R42" s="252"/>
    </row>
    <row r="43" spans="13:18">
      <c r="N43" s="252"/>
      <c r="O43" s="252"/>
      <c r="P43" s="252"/>
      <c r="Q43" s="252"/>
      <c r="R43" s="252"/>
    </row>
    <row r="44" spans="13:18">
      <c r="P44" s="252"/>
    </row>
  </sheetData>
  <mergeCells count="6">
    <mergeCell ref="I3:L4"/>
    <mergeCell ref="A3:A5"/>
    <mergeCell ref="B3:B5"/>
    <mergeCell ref="C3:C5"/>
    <mergeCell ref="D3:D5"/>
    <mergeCell ref="E3:H4"/>
  </mergeCells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AE71"/>
  <sheetViews>
    <sheetView view="pageBreakPreview" topLeftCell="B1" zoomScale="50" zoomScaleNormal="60" zoomScaleSheetLayoutView="50" workbookViewId="0">
      <selection activeCell="M58" sqref="M58"/>
    </sheetView>
  </sheetViews>
  <sheetFormatPr defaultRowHeight="18.75"/>
  <cols>
    <col min="1" max="1" width="4.42578125" style="1" customWidth="1"/>
    <col min="2" max="2" width="28.7109375" style="1" customWidth="1"/>
    <col min="3" max="6" width="11.28515625" style="1" customWidth="1"/>
    <col min="7" max="31" width="11" style="1" customWidth="1"/>
    <col min="32" max="16384" width="9.140625" style="1"/>
  </cols>
  <sheetData>
    <row r="1" spans="1:3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Q1" s="30"/>
      <c r="R1" s="30"/>
      <c r="S1" s="30"/>
      <c r="T1" s="30"/>
      <c r="U1" s="30"/>
      <c r="AB1" s="472"/>
      <c r="AC1" s="473"/>
      <c r="AD1" s="473"/>
      <c r="AE1" s="473"/>
    </row>
    <row r="2" spans="1:31" ht="18.75" customHeight="1">
      <c r="B2" s="40" t="s">
        <v>248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</row>
    <row r="3" spans="1:3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</row>
    <row r="4" spans="1:31" ht="18.75" customHeight="1">
      <c r="A4" s="342" t="s">
        <v>48</v>
      </c>
      <c r="B4" s="342" t="s">
        <v>203</v>
      </c>
      <c r="C4" s="444" t="s">
        <v>204</v>
      </c>
      <c r="D4" s="445"/>
      <c r="E4" s="445"/>
      <c r="F4" s="446"/>
      <c r="G4" s="444" t="s">
        <v>343</v>
      </c>
      <c r="H4" s="445"/>
      <c r="I4" s="445"/>
      <c r="J4" s="445"/>
      <c r="K4" s="445"/>
      <c r="L4" s="446"/>
      <c r="M4" s="444" t="s">
        <v>205</v>
      </c>
      <c r="N4" s="445"/>
      <c r="O4" s="445"/>
      <c r="P4" s="446"/>
      <c r="Q4" s="386" t="s">
        <v>298</v>
      </c>
      <c r="R4" s="387"/>
      <c r="S4" s="387"/>
      <c r="T4" s="387"/>
      <c r="U4" s="387"/>
      <c r="V4" s="387"/>
      <c r="W4" s="387"/>
      <c r="X4" s="387"/>
      <c r="Y4" s="387"/>
      <c r="Z4" s="387"/>
      <c r="AA4" s="387"/>
      <c r="AB4" s="387"/>
      <c r="AC4" s="387"/>
      <c r="AD4" s="387"/>
      <c r="AE4" s="388"/>
    </row>
    <row r="5" spans="1:31" ht="48.75" customHeight="1">
      <c r="A5" s="343"/>
      <c r="B5" s="343"/>
      <c r="C5" s="447"/>
      <c r="D5" s="448"/>
      <c r="E5" s="448"/>
      <c r="F5" s="449"/>
      <c r="G5" s="447"/>
      <c r="H5" s="448"/>
      <c r="I5" s="448"/>
      <c r="J5" s="448"/>
      <c r="K5" s="448"/>
      <c r="L5" s="449"/>
      <c r="M5" s="447"/>
      <c r="N5" s="448"/>
      <c r="O5" s="448"/>
      <c r="P5" s="449"/>
      <c r="Q5" s="383" t="s">
        <v>206</v>
      </c>
      <c r="R5" s="384"/>
      <c r="S5" s="385"/>
      <c r="T5" s="383" t="s">
        <v>207</v>
      </c>
      <c r="U5" s="384"/>
      <c r="V5" s="385"/>
      <c r="W5" s="383" t="s">
        <v>36</v>
      </c>
      <c r="X5" s="384"/>
      <c r="Y5" s="385"/>
      <c r="Z5" s="386" t="s">
        <v>208</v>
      </c>
      <c r="AA5" s="387"/>
      <c r="AB5" s="388"/>
      <c r="AC5" s="386" t="s">
        <v>209</v>
      </c>
      <c r="AD5" s="387"/>
      <c r="AE5" s="388"/>
    </row>
    <row r="6" spans="1:31" ht="18" customHeight="1">
      <c r="A6" s="65">
        <v>1</v>
      </c>
      <c r="B6" s="66">
        <v>2</v>
      </c>
      <c r="C6" s="438">
        <v>3</v>
      </c>
      <c r="D6" s="439"/>
      <c r="E6" s="439"/>
      <c r="F6" s="440"/>
      <c r="G6" s="438">
        <v>4</v>
      </c>
      <c r="H6" s="439"/>
      <c r="I6" s="439"/>
      <c r="J6" s="439"/>
      <c r="K6" s="439"/>
      <c r="L6" s="440"/>
      <c r="M6" s="438">
        <v>5</v>
      </c>
      <c r="N6" s="439"/>
      <c r="O6" s="439"/>
      <c r="P6" s="440"/>
      <c r="Q6" s="438">
        <v>6</v>
      </c>
      <c r="R6" s="439"/>
      <c r="S6" s="440"/>
      <c r="T6" s="438">
        <v>7</v>
      </c>
      <c r="U6" s="439"/>
      <c r="V6" s="440"/>
      <c r="W6" s="441">
        <v>8</v>
      </c>
      <c r="X6" s="442"/>
      <c r="Y6" s="443"/>
      <c r="Z6" s="441">
        <v>9</v>
      </c>
      <c r="AA6" s="442"/>
      <c r="AB6" s="443"/>
      <c r="AC6" s="441">
        <v>10</v>
      </c>
      <c r="AD6" s="442"/>
      <c r="AE6" s="443"/>
    </row>
    <row r="7" spans="1:31" s="163" customFormat="1" ht="20.100000000000001" customHeight="1">
      <c r="A7" s="161">
        <v>1</v>
      </c>
      <c r="B7" s="162"/>
      <c r="C7" s="450"/>
      <c r="D7" s="451"/>
      <c r="E7" s="451"/>
      <c r="F7" s="452"/>
      <c r="G7" s="453"/>
      <c r="H7" s="454"/>
      <c r="I7" s="454"/>
      <c r="J7" s="454"/>
      <c r="K7" s="454"/>
      <c r="L7" s="455"/>
      <c r="M7" s="456">
        <f>SUM(Q7,T7,W7,Z7,AC7)</f>
        <v>0</v>
      </c>
      <c r="N7" s="457"/>
      <c r="O7" s="457"/>
      <c r="P7" s="458"/>
      <c r="Q7" s="423"/>
      <c r="R7" s="424"/>
      <c r="S7" s="425"/>
      <c r="T7" s="423"/>
      <c r="U7" s="424"/>
      <c r="V7" s="425"/>
      <c r="W7" s="423"/>
      <c r="X7" s="424"/>
      <c r="Y7" s="425"/>
      <c r="Z7" s="423"/>
      <c r="AA7" s="424"/>
      <c r="AB7" s="425"/>
      <c r="AC7" s="423"/>
      <c r="AD7" s="424"/>
      <c r="AE7" s="425"/>
    </row>
    <row r="8" spans="1:31" s="163" customFormat="1" ht="20.100000000000001" customHeight="1">
      <c r="A8" s="161">
        <v>2</v>
      </c>
      <c r="B8" s="162"/>
      <c r="C8" s="450"/>
      <c r="D8" s="451"/>
      <c r="E8" s="451"/>
      <c r="F8" s="452"/>
      <c r="G8" s="453"/>
      <c r="H8" s="454"/>
      <c r="I8" s="454"/>
      <c r="J8" s="454"/>
      <c r="K8" s="454"/>
      <c r="L8" s="455"/>
      <c r="M8" s="456">
        <f>SUM(Q8,T8,W8,Z8,AC8)</f>
        <v>0</v>
      </c>
      <c r="N8" s="457"/>
      <c r="O8" s="457"/>
      <c r="P8" s="458"/>
      <c r="Q8" s="423"/>
      <c r="R8" s="424"/>
      <c r="S8" s="425"/>
      <c r="T8" s="423"/>
      <c r="U8" s="424"/>
      <c r="V8" s="425"/>
      <c r="W8" s="423"/>
      <c r="X8" s="424"/>
      <c r="Y8" s="425"/>
      <c r="Z8" s="423"/>
      <c r="AA8" s="424"/>
      <c r="AB8" s="425"/>
      <c r="AC8" s="423"/>
      <c r="AD8" s="424"/>
      <c r="AE8" s="425"/>
    </row>
    <row r="9" spans="1:31" ht="20.100000000000001" customHeight="1">
      <c r="A9" s="65"/>
      <c r="B9" s="66"/>
      <c r="C9" s="438"/>
      <c r="D9" s="439"/>
      <c r="E9" s="439"/>
      <c r="F9" s="440"/>
      <c r="G9" s="459"/>
      <c r="H9" s="460"/>
      <c r="I9" s="460"/>
      <c r="J9" s="460"/>
      <c r="K9" s="460"/>
      <c r="L9" s="461"/>
      <c r="M9" s="462">
        <f>SUM(Q9,T9,W9,Z9,AC9)</f>
        <v>0</v>
      </c>
      <c r="N9" s="463"/>
      <c r="O9" s="463"/>
      <c r="P9" s="464"/>
      <c r="Q9" s="426"/>
      <c r="R9" s="427"/>
      <c r="S9" s="428"/>
      <c r="T9" s="426"/>
      <c r="U9" s="427"/>
      <c r="V9" s="428"/>
      <c r="W9" s="426"/>
      <c r="X9" s="427"/>
      <c r="Y9" s="428"/>
      <c r="Z9" s="426"/>
      <c r="AA9" s="427"/>
      <c r="AB9" s="428"/>
      <c r="AC9" s="426"/>
      <c r="AD9" s="427"/>
      <c r="AE9" s="428"/>
    </row>
    <row r="10" spans="1:31" ht="20.100000000000001" customHeight="1">
      <c r="A10" s="65"/>
      <c r="B10" s="66"/>
      <c r="C10" s="438"/>
      <c r="D10" s="439"/>
      <c r="E10" s="439"/>
      <c r="F10" s="440"/>
      <c r="G10" s="459"/>
      <c r="H10" s="460"/>
      <c r="I10" s="460"/>
      <c r="J10" s="460"/>
      <c r="K10" s="460"/>
      <c r="L10" s="461"/>
      <c r="M10" s="462">
        <f>SUM(Q10,T10,W10,Z10,AC10)</f>
        <v>0</v>
      </c>
      <c r="N10" s="463"/>
      <c r="O10" s="463"/>
      <c r="P10" s="464"/>
      <c r="Q10" s="426"/>
      <c r="R10" s="427"/>
      <c r="S10" s="428"/>
      <c r="T10" s="426"/>
      <c r="U10" s="427"/>
      <c r="V10" s="428"/>
      <c r="W10" s="426"/>
      <c r="X10" s="427"/>
      <c r="Y10" s="428"/>
      <c r="Z10" s="426"/>
      <c r="AA10" s="427"/>
      <c r="AB10" s="428"/>
      <c r="AC10" s="426"/>
      <c r="AD10" s="427"/>
      <c r="AE10" s="428"/>
    </row>
    <row r="11" spans="1:31" ht="20.100000000000001" customHeight="1">
      <c r="A11" s="435" t="s">
        <v>53</v>
      </c>
      <c r="B11" s="436"/>
      <c r="C11" s="436"/>
      <c r="D11" s="436"/>
      <c r="E11" s="436"/>
      <c r="F11" s="436"/>
      <c r="G11" s="436"/>
      <c r="H11" s="436"/>
      <c r="I11" s="436"/>
      <c r="J11" s="436"/>
      <c r="K11" s="436"/>
      <c r="L11" s="437"/>
      <c r="M11" s="429">
        <f>SUM(M7:P10)</f>
        <v>0</v>
      </c>
      <c r="N11" s="430"/>
      <c r="O11" s="430"/>
      <c r="P11" s="431"/>
      <c r="Q11" s="429">
        <f>SUM(Q7:S10)</f>
        <v>0</v>
      </c>
      <c r="R11" s="430"/>
      <c r="S11" s="431"/>
      <c r="T11" s="429">
        <f>SUM(T7:V10)</f>
        <v>0</v>
      </c>
      <c r="U11" s="430"/>
      <c r="V11" s="431"/>
      <c r="W11" s="429">
        <f>SUM(W7:Y10)</f>
        <v>0</v>
      </c>
      <c r="X11" s="430"/>
      <c r="Y11" s="431"/>
      <c r="Z11" s="429">
        <f>SUM(Z7:AB10)</f>
        <v>0</v>
      </c>
      <c r="AA11" s="430"/>
      <c r="AB11" s="431"/>
      <c r="AC11" s="429">
        <f>SUM(AC7:AE10)</f>
        <v>0</v>
      </c>
      <c r="AD11" s="430"/>
      <c r="AE11" s="431"/>
    </row>
    <row r="12" spans="1:31" ht="18.7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5"/>
      <c r="N12" s="35"/>
      <c r="O12" s="35"/>
      <c r="P12" s="35"/>
      <c r="Q12" s="56"/>
      <c r="R12" s="56"/>
      <c r="S12" s="56"/>
      <c r="T12" s="56"/>
      <c r="U12" s="56"/>
      <c r="V12" s="56"/>
      <c r="W12" s="57"/>
      <c r="X12" s="57"/>
      <c r="Y12" s="57"/>
      <c r="Z12" s="57"/>
      <c r="AA12" s="57"/>
      <c r="AB12" s="57"/>
      <c r="AC12" s="57"/>
      <c r="AD12" s="57"/>
      <c r="AE12" s="57"/>
    </row>
    <row r="13" spans="1:31" s="40" customFormat="1" ht="18.75" customHeight="1">
      <c r="B13" s="40" t="s">
        <v>249</v>
      </c>
    </row>
    <row r="14" spans="1:31" s="40" customFormat="1" ht="18.75" customHeight="1"/>
    <row r="15" spans="1:31" ht="18.75" customHeight="1">
      <c r="A15" s="337" t="s">
        <v>48</v>
      </c>
      <c r="B15" s="337" t="s">
        <v>210</v>
      </c>
      <c r="C15" s="319" t="s">
        <v>203</v>
      </c>
      <c r="D15" s="319"/>
      <c r="E15" s="319"/>
      <c r="F15" s="319"/>
      <c r="G15" s="319" t="s">
        <v>343</v>
      </c>
      <c r="H15" s="319"/>
      <c r="I15" s="319"/>
      <c r="J15" s="319"/>
      <c r="K15" s="319"/>
      <c r="L15" s="319"/>
      <c r="M15" s="319"/>
      <c r="N15" s="319"/>
      <c r="O15" s="319"/>
      <c r="P15" s="319"/>
      <c r="Q15" s="319" t="s">
        <v>211</v>
      </c>
      <c r="R15" s="319"/>
      <c r="S15" s="319"/>
      <c r="T15" s="319"/>
      <c r="U15" s="319"/>
      <c r="V15" s="323" t="s">
        <v>212</v>
      </c>
      <c r="W15" s="323"/>
      <c r="X15" s="323"/>
      <c r="Y15" s="323"/>
      <c r="Z15" s="323"/>
      <c r="AA15" s="323"/>
      <c r="AB15" s="323"/>
      <c r="AC15" s="323"/>
      <c r="AD15" s="323"/>
      <c r="AE15" s="323"/>
    </row>
    <row r="16" spans="1:31" ht="18.75" customHeight="1">
      <c r="A16" s="337"/>
      <c r="B16" s="337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19"/>
      <c r="O16" s="319"/>
      <c r="P16" s="319"/>
      <c r="Q16" s="319"/>
      <c r="R16" s="319"/>
      <c r="S16" s="319"/>
      <c r="T16" s="319"/>
      <c r="U16" s="319"/>
      <c r="V16" s="323" t="s">
        <v>213</v>
      </c>
      <c r="W16" s="323"/>
      <c r="X16" s="323" t="s">
        <v>98</v>
      </c>
      <c r="Y16" s="323"/>
      <c r="Z16" s="323"/>
      <c r="AA16" s="323"/>
      <c r="AB16" s="323"/>
      <c r="AC16" s="323"/>
      <c r="AD16" s="323"/>
      <c r="AE16" s="323"/>
    </row>
    <row r="17" spans="1:31" ht="18.75" customHeight="1">
      <c r="A17" s="337"/>
      <c r="B17" s="337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23"/>
      <c r="W17" s="323"/>
      <c r="X17" s="323" t="s">
        <v>374</v>
      </c>
      <c r="Y17" s="323"/>
      <c r="Z17" s="323" t="s">
        <v>366</v>
      </c>
      <c r="AA17" s="323"/>
      <c r="AB17" s="323" t="s">
        <v>367</v>
      </c>
      <c r="AC17" s="323"/>
      <c r="AD17" s="323" t="s">
        <v>79</v>
      </c>
      <c r="AE17" s="323"/>
    </row>
    <row r="18" spans="1:31" ht="18" customHeight="1">
      <c r="A18" s="65">
        <v>1</v>
      </c>
      <c r="B18" s="65">
        <v>2</v>
      </c>
      <c r="C18" s="466">
        <v>3</v>
      </c>
      <c r="D18" s="466"/>
      <c r="E18" s="466"/>
      <c r="F18" s="466"/>
      <c r="G18" s="466">
        <v>4</v>
      </c>
      <c r="H18" s="466"/>
      <c r="I18" s="466"/>
      <c r="J18" s="466"/>
      <c r="K18" s="466"/>
      <c r="L18" s="466"/>
      <c r="M18" s="466"/>
      <c r="N18" s="466"/>
      <c r="O18" s="466"/>
      <c r="P18" s="466"/>
      <c r="Q18" s="466">
        <v>5</v>
      </c>
      <c r="R18" s="466"/>
      <c r="S18" s="466"/>
      <c r="T18" s="466"/>
      <c r="U18" s="466"/>
      <c r="V18" s="466">
        <v>6</v>
      </c>
      <c r="W18" s="466"/>
      <c r="X18" s="465">
        <v>7</v>
      </c>
      <c r="Y18" s="465"/>
      <c r="Z18" s="465">
        <v>8</v>
      </c>
      <c r="AA18" s="465"/>
      <c r="AB18" s="465">
        <v>9</v>
      </c>
      <c r="AC18" s="465"/>
      <c r="AD18" s="465">
        <v>10</v>
      </c>
      <c r="AE18" s="465"/>
    </row>
    <row r="19" spans="1:31" ht="20.100000000000001" customHeight="1">
      <c r="A19" s="92"/>
      <c r="B19" s="86"/>
      <c r="C19" s="467"/>
      <c r="D19" s="467"/>
      <c r="E19" s="467"/>
      <c r="F19" s="467"/>
      <c r="G19" s="468"/>
      <c r="H19" s="468"/>
      <c r="I19" s="468"/>
      <c r="J19" s="468"/>
      <c r="K19" s="468"/>
      <c r="L19" s="468"/>
      <c r="M19" s="468"/>
      <c r="N19" s="468"/>
      <c r="O19" s="468"/>
      <c r="P19" s="468"/>
      <c r="Q19" s="469"/>
      <c r="R19" s="469"/>
      <c r="S19" s="469"/>
      <c r="T19" s="469"/>
      <c r="U19" s="469"/>
      <c r="V19" s="470">
        <f>SUM(X19,Z19,AB19,AD19)</f>
        <v>0</v>
      </c>
      <c r="W19" s="470"/>
      <c r="X19" s="471"/>
      <c r="Y19" s="471"/>
      <c r="Z19" s="471"/>
      <c r="AA19" s="471"/>
      <c r="AB19" s="471"/>
      <c r="AC19" s="471"/>
      <c r="AD19" s="471"/>
      <c r="AE19" s="471"/>
    </row>
    <row r="20" spans="1:31" ht="20.100000000000001" customHeight="1">
      <c r="A20" s="92"/>
      <c r="B20" s="86"/>
      <c r="C20" s="467"/>
      <c r="D20" s="467"/>
      <c r="E20" s="467"/>
      <c r="F20" s="467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9"/>
      <c r="R20" s="469"/>
      <c r="S20" s="469"/>
      <c r="T20" s="469"/>
      <c r="U20" s="469"/>
      <c r="V20" s="470">
        <f>SUM(X20,Z20,AB20,AD20)</f>
        <v>0</v>
      </c>
      <c r="W20" s="470"/>
      <c r="X20" s="471"/>
      <c r="Y20" s="471"/>
      <c r="Z20" s="471"/>
      <c r="AA20" s="471"/>
      <c r="AB20" s="471"/>
      <c r="AC20" s="471"/>
      <c r="AD20" s="471"/>
      <c r="AE20" s="471"/>
    </row>
    <row r="21" spans="1:31" ht="20.100000000000001" customHeight="1">
      <c r="A21" s="92"/>
      <c r="B21" s="86"/>
      <c r="C21" s="467"/>
      <c r="D21" s="467"/>
      <c r="E21" s="467"/>
      <c r="F21" s="467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9"/>
      <c r="R21" s="469"/>
      <c r="S21" s="469"/>
      <c r="T21" s="469"/>
      <c r="U21" s="469"/>
      <c r="V21" s="470">
        <f>SUM(X21,Z21,AB21,AD21)</f>
        <v>0</v>
      </c>
      <c r="W21" s="470"/>
      <c r="X21" s="471"/>
      <c r="Y21" s="471"/>
      <c r="Z21" s="471"/>
      <c r="AA21" s="471"/>
      <c r="AB21" s="471"/>
      <c r="AC21" s="471"/>
      <c r="AD21" s="471"/>
      <c r="AE21" s="471"/>
    </row>
    <row r="22" spans="1:31" ht="20.100000000000001" customHeight="1">
      <c r="A22" s="92"/>
      <c r="B22" s="86"/>
      <c r="C22" s="467"/>
      <c r="D22" s="467"/>
      <c r="E22" s="467"/>
      <c r="F22" s="467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9"/>
      <c r="R22" s="469"/>
      <c r="S22" s="469"/>
      <c r="T22" s="469"/>
      <c r="U22" s="469"/>
      <c r="V22" s="470">
        <f>SUM(X22,Z22,AB22,AD22)</f>
        <v>0</v>
      </c>
      <c r="W22" s="470"/>
      <c r="X22" s="471"/>
      <c r="Y22" s="471"/>
      <c r="Z22" s="471"/>
      <c r="AA22" s="471"/>
      <c r="AB22" s="471"/>
      <c r="AC22" s="471"/>
      <c r="AD22" s="471"/>
      <c r="AE22" s="471"/>
    </row>
    <row r="23" spans="1:31" ht="20.100000000000001" customHeight="1">
      <c r="A23" s="337" t="s">
        <v>53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419">
        <f>SUM(V19:W22)</f>
        <v>0</v>
      </c>
      <c r="W23" s="419"/>
      <c r="X23" s="419">
        <f>SUM(X19:Y22)</f>
        <v>0</v>
      </c>
      <c r="Y23" s="419"/>
      <c r="Z23" s="419">
        <f>SUM(Z19:AA22)</f>
        <v>0</v>
      </c>
      <c r="AA23" s="419"/>
      <c r="AB23" s="419">
        <f>SUM(AB19:AC22)</f>
        <v>0</v>
      </c>
      <c r="AC23" s="419"/>
      <c r="AD23" s="419">
        <f>SUM(AD19:AE22)</f>
        <v>0</v>
      </c>
      <c r="AE23" s="419"/>
    </row>
    <row r="24" spans="1:3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Q24" s="30"/>
      <c r="R24" s="30"/>
      <c r="S24" s="30"/>
      <c r="T24" s="30"/>
      <c r="U24" s="30"/>
      <c r="AE24" s="30"/>
    </row>
    <row r="25" spans="1:3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Q25" s="30"/>
      <c r="R25" s="30"/>
      <c r="S25" s="30"/>
      <c r="T25" s="30"/>
      <c r="U25" s="30"/>
      <c r="AE25" s="30"/>
    </row>
    <row r="26" spans="1:31" s="40" customFormat="1" ht="18.75" customHeight="1">
      <c r="B26" s="40" t="s">
        <v>226</v>
      </c>
    </row>
    <row r="27" spans="1:31">
      <c r="A27" s="26"/>
      <c r="B27" s="26"/>
      <c r="C27" s="26"/>
      <c r="D27" s="26"/>
      <c r="E27" s="26"/>
      <c r="F27" s="26"/>
      <c r="G27" s="26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26"/>
      <c r="AD27" s="71" t="s">
        <v>246</v>
      </c>
    </row>
    <row r="28" spans="1:31" ht="30" customHeight="1">
      <c r="A28" s="319" t="s">
        <v>48</v>
      </c>
      <c r="B28" s="319" t="s">
        <v>250</v>
      </c>
      <c r="C28" s="319"/>
      <c r="D28" s="319"/>
      <c r="E28" s="319"/>
      <c r="F28" s="319"/>
      <c r="G28" s="383" t="s">
        <v>52</v>
      </c>
      <c r="H28" s="384"/>
      <c r="I28" s="384"/>
      <c r="J28" s="385"/>
      <c r="K28" s="383" t="s">
        <v>89</v>
      </c>
      <c r="L28" s="384"/>
      <c r="M28" s="384"/>
      <c r="N28" s="385"/>
      <c r="O28" s="383" t="s">
        <v>302</v>
      </c>
      <c r="P28" s="384"/>
      <c r="Q28" s="384"/>
      <c r="R28" s="385"/>
      <c r="S28" s="383" t="s">
        <v>135</v>
      </c>
      <c r="T28" s="384"/>
      <c r="U28" s="384"/>
      <c r="V28" s="385"/>
      <c r="W28" s="383" t="s">
        <v>53</v>
      </c>
      <c r="X28" s="384"/>
      <c r="Y28" s="384"/>
      <c r="Z28" s="385"/>
    </row>
    <row r="29" spans="1:31" ht="30" customHeight="1">
      <c r="A29" s="319"/>
      <c r="B29" s="319"/>
      <c r="C29" s="319"/>
      <c r="D29" s="319"/>
      <c r="E29" s="319"/>
      <c r="F29" s="319"/>
      <c r="G29" s="383" t="s">
        <v>98</v>
      </c>
      <c r="H29" s="384"/>
      <c r="I29" s="384"/>
      <c r="J29" s="385"/>
      <c r="K29" s="383" t="s">
        <v>98</v>
      </c>
      <c r="L29" s="384"/>
      <c r="M29" s="384"/>
      <c r="N29" s="385"/>
      <c r="O29" s="383" t="s">
        <v>98</v>
      </c>
      <c r="P29" s="384"/>
      <c r="Q29" s="384"/>
      <c r="R29" s="385"/>
      <c r="S29" s="383" t="s">
        <v>98</v>
      </c>
      <c r="T29" s="384"/>
      <c r="U29" s="384"/>
      <c r="V29" s="385"/>
      <c r="W29" s="383" t="s">
        <v>98</v>
      </c>
      <c r="X29" s="384"/>
      <c r="Y29" s="384"/>
      <c r="Z29" s="385"/>
    </row>
    <row r="30" spans="1:31" ht="39.950000000000003" customHeight="1">
      <c r="A30" s="319"/>
      <c r="B30" s="319"/>
      <c r="C30" s="319"/>
      <c r="D30" s="319"/>
      <c r="E30" s="319"/>
      <c r="F30" s="319"/>
      <c r="G30" s="7" t="s">
        <v>375</v>
      </c>
      <c r="H30" s="7" t="s">
        <v>366</v>
      </c>
      <c r="I30" s="7" t="s">
        <v>367</v>
      </c>
      <c r="J30" s="7" t="s">
        <v>79</v>
      </c>
      <c r="K30" s="7" t="s">
        <v>375</v>
      </c>
      <c r="L30" s="7" t="s">
        <v>366</v>
      </c>
      <c r="M30" s="7" t="s">
        <v>367</v>
      </c>
      <c r="N30" s="7" t="s">
        <v>79</v>
      </c>
      <c r="O30" s="7" t="s">
        <v>375</v>
      </c>
      <c r="P30" s="7" t="s">
        <v>366</v>
      </c>
      <c r="Q30" s="7" t="s">
        <v>367</v>
      </c>
      <c r="R30" s="7" t="s">
        <v>79</v>
      </c>
      <c r="S30" s="7" t="s">
        <v>375</v>
      </c>
      <c r="T30" s="7" t="s">
        <v>366</v>
      </c>
      <c r="U30" s="7" t="s">
        <v>367</v>
      </c>
      <c r="V30" s="7" t="s">
        <v>79</v>
      </c>
      <c r="W30" s="7" t="s">
        <v>375</v>
      </c>
      <c r="X30" s="7" t="s">
        <v>366</v>
      </c>
      <c r="Y30" s="7" t="s">
        <v>367</v>
      </c>
      <c r="Z30" s="7" t="s">
        <v>79</v>
      </c>
    </row>
    <row r="31" spans="1:31" ht="18" customHeight="1">
      <c r="A31" s="7">
        <v>1</v>
      </c>
      <c r="B31" s="319">
        <v>2</v>
      </c>
      <c r="C31" s="319"/>
      <c r="D31" s="319"/>
      <c r="E31" s="319"/>
      <c r="F31" s="319"/>
      <c r="G31" s="7">
        <v>3</v>
      </c>
      <c r="H31" s="100">
        <v>4</v>
      </c>
      <c r="I31" s="100">
        <v>5</v>
      </c>
      <c r="J31" s="101">
        <v>6</v>
      </c>
      <c r="K31" s="101">
        <v>7</v>
      </c>
      <c r="L31" s="101">
        <v>8</v>
      </c>
      <c r="M31" s="102">
        <v>9</v>
      </c>
      <c r="N31" s="7">
        <v>10</v>
      </c>
      <c r="O31" s="100">
        <v>11</v>
      </c>
      <c r="P31" s="101">
        <v>12</v>
      </c>
      <c r="Q31" s="101">
        <v>13</v>
      </c>
      <c r="R31" s="102">
        <v>14</v>
      </c>
      <c r="S31" s="7">
        <v>15</v>
      </c>
      <c r="T31" s="100">
        <v>16</v>
      </c>
      <c r="U31" s="101">
        <v>17</v>
      </c>
      <c r="V31" s="101">
        <v>18</v>
      </c>
      <c r="W31" s="101">
        <v>19</v>
      </c>
      <c r="X31" s="102">
        <v>20</v>
      </c>
      <c r="Y31" s="7">
        <v>21</v>
      </c>
      <c r="Z31" s="6">
        <v>22</v>
      </c>
    </row>
    <row r="32" spans="1:31" ht="20.100000000000001" customHeight="1">
      <c r="A32" s="90"/>
      <c r="B32" s="414"/>
      <c r="C32" s="414"/>
      <c r="D32" s="414"/>
      <c r="E32" s="414"/>
      <c r="F32" s="414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99">
        <f t="shared" ref="W32:Z35" si="0">SUM(G32,K32,O32,S32)</f>
        <v>0</v>
      </c>
      <c r="X32" s="99">
        <f t="shared" si="0"/>
        <v>0</v>
      </c>
      <c r="Y32" s="99">
        <f t="shared" si="0"/>
        <v>0</v>
      </c>
      <c r="Z32" s="99">
        <f t="shared" si="0"/>
        <v>0</v>
      </c>
    </row>
    <row r="33" spans="1:31" ht="20.100000000000001" customHeight="1">
      <c r="A33" s="90"/>
      <c r="B33" s="414"/>
      <c r="C33" s="414"/>
      <c r="D33" s="414"/>
      <c r="E33" s="414"/>
      <c r="F33" s="414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99">
        <f t="shared" si="0"/>
        <v>0</v>
      </c>
      <c r="X33" s="99">
        <f t="shared" si="0"/>
        <v>0</v>
      </c>
      <c r="Y33" s="99">
        <f t="shared" si="0"/>
        <v>0</v>
      </c>
      <c r="Z33" s="99">
        <f t="shared" si="0"/>
        <v>0</v>
      </c>
    </row>
    <row r="34" spans="1:31" ht="20.100000000000001" customHeight="1">
      <c r="A34" s="90"/>
      <c r="B34" s="414"/>
      <c r="C34" s="414"/>
      <c r="D34" s="414"/>
      <c r="E34" s="414"/>
      <c r="F34" s="414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99">
        <f t="shared" si="0"/>
        <v>0</v>
      </c>
      <c r="X34" s="99">
        <f t="shared" si="0"/>
        <v>0</v>
      </c>
      <c r="Y34" s="99">
        <f t="shared" si="0"/>
        <v>0</v>
      </c>
      <c r="Z34" s="99">
        <f t="shared" si="0"/>
        <v>0</v>
      </c>
    </row>
    <row r="35" spans="1:31" ht="20.100000000000001" customHeight="1">
      <c r="A35" s="90"/>
      <c r="B35" s="414"/>
      <c r="C35" s="414"/>
      <c r="D35" s="414"/>
      <c r="E35" s="414"/>
      <c r="F35" s="414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99">
        <f t="shared" si="0"/>
        <v>0</v>
      </c>
      <c r="X35" s="99">
        <f t="shared" si="0"/>
        <v>0</v>
      </c>
      <c r="Y35" s="99">
        <f t="shared" si="0"/>
        <v>0</v>
      </c>
      <c r="Z35" s="99">
        <f t="shared" si="0"/>
        <v>0</v>
      </c>
    </row>
    <row r="36" spans="1:31" ht="20.100000000000001" customHeight="1">
      <c r="A36" s="432" t="s">
        <v>53</v>
      </c>
      <c r="B36" s="433"/>
      <c r="C36" s="433"/>
      <c r="D36" s="433"/>
      <c r="E36" s="433"/>
      <c r="F36" s="434"/>
      <c r="G36" s="99">
        <f t="shared" ref="G36:Z36" si="1">SUM(G32:G35)</f>
        <v>0</v>
      </c>
      <c r="H36" s="99">
        <f t="shared" si="1"/>
        <v>0</v>
      </c>
      <c r="I36" s="99">
        <f t="shared" si="1"/>
        <v>0</v>
      </c>
      <c r="J36" s="99">
        <f t="shared" si="1"/>
        <v>0</v>
      </c>
      <c r="K36" s="99">
        <f t="shared" si="1"/>
        <v>0</v>
      </c>
      <c r="L36" s="99">
        <f t="shared" si="1"/>
        <v>0</v>
      </c>
      <c r="M36" s="99">
        <f t="shared" si="1"/>
        <v>0</v>
      </c>
      <c r="N36" s="99">
        <f t="shared" si="1"/>
        <v>0</v>
      </c>
      <c r="O36" s="99">
        <f t="shared" si="1"/>
        <v>0</v>
      </c>
      <c r="P36" s="99">
        <f t="shared" si="1"/>
        <v>0</v>
      </c>
      <c r="Q36" s="99">
        <f t="shared" si="1"/>
        <v>0</v>
      </c>
      <c r="R36" s="99">
        <f t="shared" si="1"/>
        <v>0</v>
      </c>
      <c r="S36" s="99">
        <f t="shared" si="1"/>
        <v>0</v>
      </c>
      <c r="T36" s="99">
        <f t="shared" si="1"/>
        <v>0</v>
      </c>
      <c r="U36" s="99">
        <f t="shared" si="1"/>
        <v>0</v>
      </c>
      <c r="V36" s="99">
        <f t="shared" si="1"/>
        <v>0</v>
      </c>
      <c r="W36" s="99">
        <f t="shared" si="1"/>
        <v>0</v>
      </c>
      <c r="X36" s="99">
        <f t="shared" si="1"/>
        <v>0</v>
      </c>
      <c r="Y36" s="99">
        <f t="shared" si="1"/>
        <v>0</v>
      </c>
      <c r="Z36" s="99">
        <f t="shared" si="1"/>
        <v>0</v>
      </c>
    </row>
    <row r="37" spans="1:31" ht="20.100000000000001" customHeight="1">
      <c r="A37" s="416" t="s">
        <v>54</v>
      </c>
      <c r="B37" s="417"/>
      <c r="C37" s="417"/>
      <c r="D37" s="417"/>
      <c r="E37" s="417"/>
      <c r="F37" s="418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</row>
    <row r="38" spans="1:31" ht="20.100000000000001" customHeight="1">
      <c r="A38" s="54"/>
      <c r="B38" s="54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54"/>
      <c r="T38" s="54"/>
      <c r="U38" s="54"/>
      <c r="V38" s="54"/>
      <c r="W38" s="89"/>
      <c r="X38" s="54"/>
      <c r="Y38" s="54"/>
      <c r="Z38" s="54"/>
      <c r="AA38" s="54"/>
    </row>
    <row r="39" spans="1:31" ht="20.100000000000001" customHeight="1">
      <c r="A39" s="16"/>
      <c r="B39" s="16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31" s="40" customFormat="1" ht="20.100000000000001" customHeight="1">
      <c r="B40" s="40" t="s">
        <v>251</v>
      </c>
    </row>
    <row r="41" spans="1:31" s="72" customFormat="1" ht="20.100000000000001" customHeight="1">
      <c r="A41" s="1"/>
      <c r="B41" s="1"/>
      <c r="C41" s="1"/>
      <c r="D41" s="1"/>
      <c r="E41" s="1"/>
      <c r="F41" s="1"/>
      <c r="G41" s="1"/>
      <c r="H41" s="1"/>
      <c r="I41" s="1"/>
      <c r="K41" s="1"/>
      <c r="AD41" s="71" t="s">
        <v>246</v>
      </c>
    </row>
    <row r="42" spans="1:31" s="73" customFormat="1" ht="34.5" customHeight="1">
      <c r="A42" s="323" t="s">
        <v>218</v>
      </c>
      <c r="B42" s="319" t="s">
        <v>301</v>
      </c>
      <c r="C42" s="319" t="s">
        <v>332</v>
      </c>
      <c r="D42" s="319"/>
      <c r="E42" s="319" t="s">
        <v>219</v>
      </c>
      <c r="F42" s="319"/>
      <c r="G42" s="319" t="s">
        <v>220</v>
      </c>
      <c r="H42" s="319"/>
      <c r="I42" s="319" t="s">
        <v>293</v>
      </c>
      <c r="J42" s="319"/>
      <c r="K42" s="319" t="s">
        <v>143</v>
      </c>
      <c r="L42" s="319"/>
      <c r="M42" s="319"/>
      <c r="N42" s="319"/>
      <c r="O42" s="319"/>
      <c r="P42" s="319"/>
      <c r="Q42" s="319"/>
      <c r="R42" s="319"/>
      <c r="S42" s="319"/>
      <c r="T42" s="319"/>
      <c r="U42" s="319" t="s">
        <v>333</v>
      </c>
      <c r="V42" s="319"/>
      <c r="W42" s="319"/>
      <c r="X42" s="319"/>
      <c r="Y42" s="319"/>
      <c r="Z42" s="319" t="s">
        <v>297</v>
      </c>
      <c r="AA42" s="319"/>
      <c r="AB42" s="319"/>
      <c r="AC42" s="319"/>
      <c r="AD42" s="319"/>
      <c r="AE42" s="319"/>
    </row>
    <row r="43" spans="1:31" s="73" customFormat="1" ht="52.5" customHeight="1">
      <c r="A43" s="323"/>
      <c r="B43" s="319"/>
      <c r="C43" s="319"/>
      <c r="D43" s="319"/>
      <c r="E43" s="319"/>
      <c r="F43" s="319"/>
      <c r="G43" s="319"/>
      <c r="H43" s="319"/>
      <c r="I43" s="319"/>
      <c r="J43" s="319"/>
      <c r="K43" s="319" t="s">
        <v>344</v>
      </c>
      <c r="L43" s="319"/>
      <c r="M43" s="319" t="s">
        <v>345</v>
      </c>
      <c r="N43" s="319"/>
      <c r="O43" s="319" t="s">
        <v>331</v>
      </c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  <c r="AA43" s="319"/>
      <c r="AB43" s="319"/>
      <c r="AC43" s="319"/>
      <c r="AD43" s="319"/>
      <c r="AE43" s="319"/>
    </row>
    <row r="44" spans="1:31" s="74" customFormat="1" ht="82.5" customHeight="1">
      <c r="A44" s="323"/>
      <c r="B44" s="319"/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 t="s">
        <v>294</v>
      </c>
      <c r="P44" s="319"/>
      <c r="Q44" s="319" t="s">
        <v>295</v>
      </c>
      <c r="R44" s="319"/>
      <c r="S44" s="319" t="s">
        <v>296</v>
      </c>
      <c r="T44" s="319"/>
      <c r="U44" s="319"/>
      <c r="V44" s="319"/>
      <c r="W44" s="319"/>
      <c r="X44" s="319"/>
      <c r="Y44" s="319"/>
      <c r="Z44" s="319"/>
      <c r="AA44" s="319"/>
      <c r="AB44" s="319"/>
      <c r="AC44" s="319"/>
      <c r="AD44" s="319"/>
      <c r="AE44" s="319"/>
    </row>
    <row r="45" spans="1:31" s="73" customFormat="1" ht="18" customHeight="1">
      <c r="A45" s="6">
        <v>1</v>
      </c>
      <c r="B45" s="7">
        <v>2</v>
      </c>
      <c r="C45" s="319">
        <v>3</v>
      </c>
      <c r="D45" s="319"/>
      <c r="E45" s="319">
        <v>4</v>
      </c>
      <c r="F45" s="319"/>
      <c r="G45" s="319">
        <v>5</v>
      </c>
      <c r="H45" s="319"/>
      <c r="I45" s="319">
        <v>6</v>
      </c>
      <c r="J45" s="319"/>
      <c r="K45" s="383">
        <v>7</v>
      </c>
      <c r="L45" s="385"/>
      <c r="M45" s="383">
        <v>8</v>
      </c>
      <c r="N45" s="385"/>
      <c r="O45" s="319">
        <v>9</v>
      </c>
      <c r="P45" s="319"/>
      <c r="Q45" s="323">
        <v>10</v>
      </c>
      <c r="R45" s="323"/>
      <c r="S45" s="319">
        <v>11</v>
      </c>
      <c r="T45" s="319"/>
      <c r="U45" s="319">
        <v>12</v>
      </c>
      <c r="V45" s="319"/>
      <c r="W45" s="319"/>
      <c r="X45" s="319"/>
      <c r="Y45" s="319"/>
      <c r="Z45" s="319">
        <v>13</v>
      </c>
      <c r="AA45" s="319"/>
      <c r="AB45" s="319"/>
      <c r="AC45" s="319"/>
      <c r="AD45" s="319"/>
      <c r="AE45" s="319"/>
    </row>
    <row r="46" spans="1:31" s="73" customFormat="1" ht="20.100000000000001" customHeight="1">
      <c r="A46" s="90"/>
      <c r="B46" s="91"/>
      <c r="C46" s="415"/>
      <c r="D46" s="415"/>
      <c r="E46" s="381"/>
      <c r="F46" s="381"/>
      <c r="G46" s="381"/>
      <c r="H46" s="381"/>
      <c r="I46" s="381"/>
      <c r="J46" s="381"/>
      <c r="K46" s="421"/>
      <c r="L46" s="422"/>
      <c r="M46" s="377">
        <f t="shared" ref="M46:M52" si="2">SUM(O46,Q46,S46)</f>
        <v>0</v>
      </c>
      <c r="N46" s="378"/>
      <c r="O46" s="381"/>
      <c r="P46" s="381"/>
      <c r="Q46" s="381"/>
      <c r="R46" s="381"/>
      <c r="S46" s="381"/>
      <c r="T46" s="381"/>
      <c r="U46" s="420"/>
      <c r="V46" s="420"/>
      <c r="W46" s="420"/>
      <c r="X46" s="420"/>
      <c r="Y46" s="420"/>
      <c r="Z46" s="414"/>
      <c r="AA46" s="414"/>
      <c r="AB46" s="414"/>
      <c r="AC46" s="414"/>
      <c r="AD46" s="414"/>
      <c r="AE46" s="414"/>
    </row>
    <row r="47" spans="1:31" s="73" customFormat="1" ht="20.100000000000001" customHeight="1">
      <c r="A47" s="90"/>
      <c r="B47" s="91"/>
      <c r="C47" s="415"/>
      <c r="D47" s="415"/>
      <c r="E47" s="381"/>
      <c r="F47" s="381"/>
      <c r="G47" s="381"/>
      <c r="H47" s="381"/>
      <c r="I47" s="381"/>
      <c r="J47" s="381"/>
      <c r="K47" s="421"/>
      <c r="L47" s="422"/>
      <c r="M47" s="377">
        <f t="shared" si="2"/>
        <v>0</v>
      </c>
      <c r="N47" s="378"/>
      <c r="O47" s="381"/>
      <c r="P47" s="381"/>
      <c r="Q47" s="381"/>
      <c r="R47" s="381"/>
      <c r="S47" s="381"/>
      <c r="T47" s="381"/>
      <c r="U47" s="420"/>
      <c r="V47" s="420"/>
      <c r="W47" s="420"/>
      <c r="X47" s="420"/>
      <c r="Y47" s="420"/>
      <c r="Z47" s="414"/>
      <c r="AA47" s="414"/>
      <c r="AB47" s="414"/>
      <c r="AC47" s="414"/>
      <c r="AD47" s="414"/>
      <c r="AE47" s="414"/>
    </row>
    <row r="48" spans="1:31" s="73" customFormat="1" ht="20.100000000000001" customHeight="1">
      <c r="A48" s="90"/>
      <c r="B48" s="91"/>
      <c r="C48" s="415"/>
      <c r="D48" s="415"/>
      <c r="E48" s="381"/>
      <c r="F48" s="381"/>
      <c r="G48" s="381"/>
      <c r="H48" s="381"/>
      <c r="I48" s="381"/>
      <c r="J48" s="381"/>
      <c r="K48" s="421"/>
      <c r="L48" s="422"/>
      <c r="M48" s="377">
        <f t="shared" si="2"/>
        <v>0</v>
      </c>
      <c r="N48" s="378"/>
      <c r="O48" s="381"/>
      <c r="P48" s="381"/>
      <c r="Q48" s="381"/>
      <c r="R48" s="381"/>
      <c r="S48" s="381"/>
      <c r="T48" s="381"/>
      <c r="U48" s="420"/>
      <c r="V48" s="420"/>
      <c r="W48" s="420"/>
      <c r="X48" s="420"/>
      <c r="Y48" s="420"/>
      <c r="Z48" s="414"/>
      <c r="AA48" s="414"/>
      <c r="AB48" s="414"/>
      <c r="AC48" s="414"/>
      <c r="AD48" s="414"/>
      <c r="AE48" s="414"/>
    </row>
    <row r="49" spans="1:31" s="73" customFormat="1" ht="20.100000000000001" customHeight="1">
      <c r="A49" s="90"/>
      <c r="B49" s="91"/>
      <c r="C49" s="415"/>
      <c r="D49" s="415"/>
      <c r="E49" s="381"/>
      <c r="F49" s="381"/>
      <c r="G49" s="381"/>
      <c r="H49" s="381"/>
      <c r="I49" s="381"/>
      <c r="J49" s="381"/>
      <c r="K49" s="421"/>
      <c r="L49" s="422"/>
      <c r="M49" s="377">
        <f>SUM(O49,Q49,S49)</f>
        <v>0</v>
      </c>
      <c r="N49" s="378"/>
      <c r="O49" s="381"/>
      <c r="P49" s="381"/>
      <c r="Q49" s="381"/>
      <c r="R49" s="381"/>
      <c r="S49" s="381"/>
      <c r="T49" s="381"/>
      <c r="U49" s="420"/>
      <c r="V49" s="420"/>
      <c r="W49" s="420"/>
      <c r="X49" s="420"/>
      <c r="Y49" s="420"/>
      <c r="Z49" s="414"/>
      <c r="AA49" s="414"/>
      <c r="AB49" s="414"/>
      <c r="AC49" s="414"/>
      <c r="AD49" s="414"/>
      <c r="AE49" s="414"/>
    </row>
    <row r="50" spans="1:31" s="73" customFormat="1" ht="20.100000000000001" customHeight="1">
      <c r="A50" s="90"/>
      <c r="B50" s="91"/>
      <c r="C50" s="415"/>
      <c r="D50" s="415"/>
      <c r="E50" s="381"/>
      <c r="F50" s="381"/>
      <c r="G50" s="381"/>
      <c r="H50" s="381"/>
      <c r="I50" s="381"/>
      <c r="J50" s="381"/>
      <c r="K50" s="421"/>
      <c r="L50" s="422"/>
      <c r="M50" s="377">
        <f t="shared" si="2"/>
        <v>0</v>
      </c>
      <c r="N50" s="378"/>
      <c r="O50" s="381"/>
      <c r="P50" s="381"/>
      <c r="Q50" s="381"/>
      <c r="R50" s="381"/>
      <c r="S50" s="381"/>
      <c r="T50" s="381"/>
      <c r="U50" s="420"/>
      <c r="V50" s="420"/>
      <c r="W50" s="420"/>
      <c r="X50" s="420"/>
      <c r="Y50" s="420"/>
      <c r="Z50" s="414"/>
      <c r="AA50" s="414"/>
      <c r="AB50" s="414"/>
      <c r="AC50" s="414"/>
      <c r="AD50" s="414"/>
      <c r="AE50" s="414"/>
    </row>
    <row r="51" spans="1:31" s="73" customFormat="1" ht="20.100000000000001" customHeight="1">
      <c r="A51" s="90"/>
      <c r="B51" s="91"/>
      <c r="C51" s="415"/>
      <c r="D51" s="415"/>
      <c r="E51" s="381"/>
      <c r="F51" s="381"/>
      <c r="G51" s="381"/>
      <c r="H51" s="381"/>
      <c r="I51" s="381"/>
      <c r="J51" s="381"/>
      <c r="K51" s="421"/>
      <c r="L51" s="422"/>
      <c r="M51" s="377">
        <f t="shared" si="2"/>
        <v>0</v>
      </c>
      <c r="N51" s="378"/>
      <c r="O51" s="381"/>
      <c r="P51" s="381"/>
      <c r="Q51" s="381"/>
      <c r="R51" s="381"/>
      <c r="S51" s="381"/>
      <c r="T51" s="381"/>
      <c r="U51" s="420"/>
      <c r="V51" s="420"/>
      <c r="W51" s="420"/>
      <c r="X51" s="420"/>
      <c r="Y51" s="420"/>
      <c r="Z51" s="414"/>
      <c r="AA51" s="414"/>
      <c r="AB51" s="414"/>
      <c r="AC51" s="414"/>
      <c r="AD51" s="414"/>
      <c r="AE51" s="414"/>
    </row>
    <row r="52" spans="1:31" s="73" customFormat="1" ht="20.100000000000001" customHeight="1">
      <c r="A52" s="90"/>
      <c r="B52" s="91"/>
      <c r="C52" s="415"/>
      <c r="D52" s="415"/>
      <c r="E52" s="381"/>
      <c r="F52" s="381"/>
      <c r="G52" s="381"/>
      <c r="H52" s="381"/>
      <c r="I52" s="381"/>
      <c r="J52" s="381"/>
      <c r="K52" s="421"/>
      <c r="L52" s="422"/>
      <c r="M52" s="377">
        <f t="shared" si="2"/>
        <v>0</v>
      </c>
      <c r="N52" s="378"/>
      <c r="O52" s="381"/>
      <c r="P52" s="381"/>
      <c r="Q52" s="381"/>
      <c r="R52" s="381"/>
      <c r="S52" s="381"/>
      <c r="T52" s="381"/>
      <c r="U52" s="420"/>
      <c r="V52" s="420"/>
      <c r="W52" s="420"/>
      <c r="X52" s="420"/>
      <c r="Y52" s="420"/>
      <c r="Z52" s="414"/>
      <c r="AA52" s="414"/>
      <c r="AB52" s="414"/>
      <c r="AC52" s="414"/>
      <c r="AD52" s="414"/>
      <c r="AE52" s="414"/>
    </row>
    <row r="53" spans="1:31" s="73" customFormat="1" ht="20.100000000000001" customHeight="1">
      <c r="A53" s="416" t="s">
        <v>53</v>
      </c>
      <c r="B53" s="417"/>
      <c r="C53" s="417"/>
      <c r="D53" s="418"/>
      <c r="E53" s="419">
        <f>SUM(E46:F52)</f>
        <v>0</v>
      </c>
      <c r="F53" s="419"/>
      <c r="G53" s="419">
        <f>SUM(G46:H52)</f>
        <v>0</v>
      </c>
      <c r="H53" s="419"/>
      <c r="I53" s="419">
        <f>SUM(I46:J52)</f>
        <v>0</v>
      </c>
      <c r="J53" s="419"/>
      <c r="K53" s="419">
        <f>SUM(K46:L52)</f>
        <v>0</v>
      </c>
      <c r="L53" s="419"/>
      <c r="M53" s="419">
        <f>SUM(M46:N52)</f>
        <v>0</v>
      </c>
      <c r="N53" s="419"/>
      <c r="O53" s="419">
        <f>SUM(O46:P52)</f>
        <v>0</v>
      </c>
      <c r="P53" s="419"/>
      <c r="Q53" s="419">
        <f>SUM(Q46:R52)</f>
        <v>0</v>
      </c>
      <c r="R53" s="419"/>
      <c r="S53" s="419">
        <f>SUM(S46:T52)</f>
        <v>0</v>
      </c>
      <c r="T53" s="419"/>
      <c r="U53" s="420"/>
      <c r="V53" s="420"/>
      <c r="W53" s="420"/>
      <c r="X53" s="420"/>
      <c r="Y53" s="420"/>
      <c r="Z53" s="414"/>
      <c r="AA53" s="414"/>
      <c r="AB53" s="414"/>
      <c r="AC53" s="414"/>
      <c r="AD53" s="414"/>
      <c r="AE53" s="414"/>
    </row>
    <row r="54" spans="1:31" ht="20.100000000000001" customHeight="1">
      <c r="A54" s="16"/>
      <c r="B54" s="16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31" ht="20.100000000000001" customHeight="1">
      <c r="A55" s="16"/>
      <c r="B55" s="16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31" s="4" customFormat="1" ht="20.100000000000001" customHeight="1">
      <c r="C56" s="40"/>
      <c r="D56" s="40"/>
      <c r="E56" s="40"/>
      <c r="F56" s="40"/>
      <c r="G56" s="40"/>
      <c r="H56" s="40"/>
      <c r="I56" s="40"/>
      <c r="J56" s="40"/>
      <c r="K56" s="40"/>
    </row>
    <row r="57" spans="1:31" s="34" customFormat="1" ht="25.5" customHeight="1">
      <c r="B57" s="389" t="s">
        <v>400</v>
      </c>
      <c r="C57" s="475"/>
      <c r="D57" s="475"/>
      <c r="E57" s="475"/>
      <c r="F57" s="475"/>
      <c r="G57" s="68"/>
      <c r="H57" s="68"/>
      <c r="I57" s="68"/>
      <c r="J57" s="68"/>
      <c r="K57" s="68"/>
      <c r="L57" s="476" t="s">
        <v>256</v>
      </c>
      <c r="M57" s="476"/>
      <c r="N57" s="476"/>
      <c r="O57" s="476"/>
      <c r="P57" s="476"/>
      <c r="Q57" s="69"/>
      <c r="R57" s="69"/>
      <c r="S57" s="69"/>
      <c r="T57" s="69"/>
      <c r="U57" s="69"/>
      <c r="V57" s="477" t="s">
        <v>460</v>
      </c>
      <c r="W57" s="478"/>
      <c r="X57" s="478"/>
      <c r="Y57" s="478"/>
      <c r="Z57" s="478"/>
    </row>
    <row r="58" spans="1:31" s="4" customFormat="1" ht="19.5" customHeight="1">
      <c r="B58" s="3"/>
      <c r="C58" s="4" t="s">
        <v>76</v>
      </c>
      <c r="E58" s="44"/>
      <c r="F58" s="44"/>
      <c r="G58" s="44"/>
      <c r="H58" s="44"/>
      <c r="I58" s="44"/>
      <c r="J58" s="44"/>
      <c r="K58" s="44"/>
      <c r="M58" s="3"/>
      <c r="N58" s="25" t="s">
        <v>77</v>
      </c>
      <c r="O58" s="3"/>
      <c r="Q58" s="44"/>
      <c r="R58" s="44"/>
      <c r="S58" s="44"/>
      <c r="V58" s="474" t="s">
        <v>136</v>
      </c>
      <c r="W58" s="474"/>
      <c r="X58" s="474"/>
      <c r="Y58" s="474"/>
      <c r="Z58" s="474"/>
    </row>
    <row r="59" spans="1:31" ht="20.100000000000001" customHeight="1">
      <c r="B59" s="36"/>
      <c r="C59" s="36"/>
      <c r="D59" s="36"/>
      <c r="E59" s="36"/>
      <c r="F59" s="36"/>
      <c r="G59" s="3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36"/>
      <c r="U59" s="36"/>
    </row>
    <row r="60" spans="1:31" ht="20.100000000000001" customHeight="1"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31"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31">
      <c r="B62" s="37"/>
    </row>
    <row r="65" spans="2:2" ht="19.5">
      <c r="B65" s="38"/>
    </row>
    <row r="66" spans="2:2" ht="19.5">
      <c r="B66" s="38"/>
    </row>
    <row r="67" spans="2:2" ht="19.5">
      <c r="B67" s="38"/>
    </row>
    <row r="68" spans="2:2" ht="19.5">
      <c r="B68" s="38"/>
    </row>
    <row r="69" spans="2:2" ht="19.5">
      <c r="B69" s="38"/>
    </row>
    <row r="70" spans="2:2" ht="19.5">
      <c r="B70" s="38"/>
    </row>
    <row r="71" spans="2:2" ht="19.5">
      <c r="B71" s="38"/>
    </row>
  </sheetData>
  <mergeCells count="254">
    <mergeCell ref="V58:Z58"/>
    <mergeCell ref="B57:F57"/>
    <mergeCell ref="L57:P57"/>
    <mergeCell ref="V57:Z57"/>
    <mergeCell ref="S29:V29"/>
    <mergeCell ref="W28:Z28"/>
    <mergeCell ref="O29:R29"/>
    <mergeCell ref="K29:N29"/>
    <mergeCell ref="K28:N28"/>
    <mergeCell ref="O28:R28"/>
    <mergeCell ref="Z53:AE53"/>
    <mergeCell ref="A53:D53"/>
    <mergeCell ref="C52:D52"/>
    <mergeCell ref="E52:F52"/>
    <mergeCell ref="M52:N52"/>
    <mergeCell ref="Z52:AE52"/>
    <mergeCell ref="Q53:R53"/>
    <mergeCell ref="K53:L53"/>
    <mergeCell ref="S53:T53"/>
    <mergeCell ref="U53:Y53"/>
    <mergeCell ref="O43:T43"/>
    <mergeCell ref="M47:N47"/>
    <mergeCell ref="M46:N46"/>
    <mergeCell ref="M43:N44"/>
    <mergeCell ref="AB1:AE1"/>
    <mergeCell ref="Q52:R52"/>
    <mergeCell ref="S48:T48"/>
    <mergeCell ref="U48:Y48"/>
    <mergeCell ref="S50:T50"/>
    <mergeCell ref="U50:Y50"/>
    <mergeCell ref="S46:T46"/>
    <mergeCell ref="A23:U23"/>
    <mergeCell ref="O52:P52"/>
    <mergeCell ref="S52:T52"/>
    <mergeCell ref="Q47:R47"/>
    <mergeCell ref="Q46:R46"/>
    <mergeCell ref="O46:P46"/>
    <mergeCell ref="U52:Y52"/>
    <mergeCell ref="Z49:AE49"/>
    <mergeCell ref="S49:T49"/>
    <mergeCell ref="U49:Y49"/>
    <mergeCell ref="S51:T51"/>
    <mergeCell ref="U51:Y51"/>
    <mergeCell ref="Z50:AE50"/>
    <mergeCell ref="I46:J46"/>
    <mergeCell ref="I45:J45"/>
    <mergeCell ref="K45:L45"/>
    <mergeCell ref="K46:L46"/>
    <mergeCell ref="S44:T44"/>
    <mergeCell ref="M45:N45"/>
    <mergeCell ref="C22:F22"/>
    <mergeCell ref="G22:P22"/>
    <mergeCell ref="Q22:U22"/>
    <mergeCell ref="O44:P44"/>
    <mergeCell ref="Q44:R44"/>
    <mergeCell ref="U42:Y44"/>
    <mergeCell ref="K42:T42"/>
    <mergeCell ref="W29:Z29"/>
    <mergeCell ref="S28:V28"/>
    <mergeCell ref="B28:F30"/>
    <mergeCell ref="G45:H45"/>
    <mergeCell ref="G29:J29"/>
    <mergeCell ref="Z42:AE44"/>
    <mergeCell ref="Q45:R45"/>
    <mergeCell ref="AB23:AC23"/>
    <mergeCell ref="AD23:AE23"/>
    <mergeCell ref="C21:F21"/>
    <mergeCell ref="G21:P21"/>
    <mergeCell ref="Q21:U21"/>
    <mergeCell ref="V21:W21"/>
    <mergeCell ref="X21:Y21"/>
    <mergeCell ref="V22:W22"/>
    <mergeCell ref="X23:Y23"/>
    <mergeCell ref="V23:W23"/>
    <mergeCell ref="Z23:AA23"/>
    <mergeCell ref="X19:Y19"/>
    <mergeCell ref="X20:Y20"/>
    <mergeCell ref="X22:Y22"/>
    <mergeCell ref="AB21:AC21"/>
    <mergeCell ref="AD21:AE21"/>
    <mergeCell ref="Z21:AA21"/>
    <mergeCell ref="AB22:AC22"/>
    <mergeCell ref="AD22:AE22"/>
    <mergeCell ref="Z22:AA22"/>
    <mergeCell ref="AD20:AE20"/>
    <mergeCell ref="AD19:AE19"/>
    <mergeCell ref="AB19:AC19"/>
    <mergeCell ref="AB20:AC20"/>
    <mergeCell ref="Z20:AA20"/>
    <mergeCell ref="Z19:AA19"/>
    <mergeCell ref="C19:F19"/>
    <mergeCell ref="G19:P19"/>
    <mergeCell ref="Q19:U19"/>
    <mergeCell ref="V19:W19"/>
    <mergeCell ref="C20:F20"/>
    <mergeCell ref="G20:P20"/>
    <mergeCell ref="Q20:U20"/>
    <mergeCell ref="V20:W20"/>
    <mergeCell ref="V18:W18"/>
    <mergeCell ref="Q18:U18"/>
    <mergeCell ref="Z18:AA18"/>
    <mergeCell ref="C18:F18"/>
    <mergeCell ref="G18:P18"/>
    <mergeCell ref="AB18:AC18"/>
    <mergeCell ref="AD18:AE18"/>
    <mergeCell ref="X18:Y18"/>
    <mergeCell ref="T10:V10"/>
    <mergeCell ref="X16:AE16"/>
    <mergeCell ref="X17:Y17"/>
    <mergeCell ref="M11:P11"/>
    <mergeCell ref="Q11:S11"/>
    <mergeCell ref="C9:F9"/>
    <mergeCell ref="G9:L9"/>
    <mergeCell ref="M9:P9"/>
    <mergeCell ref="Q9:S9"/>
    <mergeCell ref="C10:F10"/>
    <mergeCell ref="G10:L10"/>
    <mergeCell ref="A15:A17"/>
    <mergeCell ref="B15:B17"/>
    <mergeCell ref="C15:F17"/>
    <mergeCell ref="G15:P17"/>
    <mergeCell ref="M10:P10"/>
    <mergeCell ref="A4:A5"/>
    <mergeCell ref="B4:B5"/>
    <mergeCell ref="C4:F5"/>
    <mergeCell ref="G4:L5"/>
    <mergeCell ref="Z7:AB7"/>
    <mergeCell ref="AC8:AE8"/>
    <mergeCell ref="Z8:AB8"/>
    <mergeCell ref="AC7:AE7"/>
    <mergeCell ref="T7:V7"/>
    <mergeCell ref="W7:Y7"/>
    <mergeCell ref="M4:P5"/>
    <mergeCell ref="C8:F8"/>
    <mergeCell ref="C7:F7"/>
    <mergeCell ref="G7:L7"/>
    <mergeCell ref="G6:L6"/>
    <mergeCell ref="M7:P7"/>
    <mergeCell ref="M6:P6"/>
    <mergeCell ref="M8:P8"/>
    <mergeCell ref="C6:F6"/>
    <mergeCell ref="G8:L8"/>
    <mergeCell ref="W6:Y6"/>
    <mergeCell ref="T6:V6"/>
    <mergeCell ref="AC6:AE6"/>
    <mergeCell ref="Q4:AE4"/>
    <mergeCell ref="T5:V5"/>
    <mergeCell ref="W5:Y5"/>
    <mergeCell ref="Z5:AB5"/>
    <mergeCell ref="Q5:S5"/>
    <mergeCell ref="AC5:AE5"/>
    <mergeCell ref="Q6:S6"/>
    <mergeCell ref="AC10:AE10"/>
    <mergeCell ref="AC11:AE11"/>
    <mergeCell ref="AD17:AE17"/>
    <mergeCell ref="AC9:AE9"/>
    <mergeCell ref="T9:V9"/>
    <mergeCell ref="W9:Y9"/>
    <mergeCell ref="Z17:AA17"/>
    <mergeCell ref="AB17:AC17"/>
    <mergeCell ref="Z11:AB11"/>
    <mergeCell ref="Z10:AB10"/>
    <mergeCell ref="W8:Y8"/>
    <mergeCell ref="T8:V8"/>
    <mergeCell ref="T11:V11"/>
    <mergeCell ref="Z9:AB9"/>
    <mergeCell ref="Z6:AB6"/>
    <mergeCell ref="V15:AE15"/>
    <mergeCell ref="V16:W17"/>
    <mergeCell ref="G48:H48"/>
    <mergeCell ref="I48:J48"/>
    <mergeCell ref="G47:H47"/>
    <mergeCell ref="G28:J28"/>
    <mergeCell ref="O48:P48"/>
    <mergeCell ref="C48:D48"/>
    <mergeCell ref="Q7:S7"/>
    <mergeCell ref="W10:Y10"/>
    <mergeCell ref="W11:Y11"/>
    <mergeCell ref="Q10:S10"/>
    <mergeCell ref="Q8:S8"/>
    <mergeCell ref="Q15:U17"/>
    <mergeCell ref="A36:F36"/>
    <mergeCell ref="A28:A30"/>
    <mergeCell ref="B31:F31"/>
    <mergeCell ref="C47:D47"/>
    <mergeCell ref="A42:A44"/>
    <mergeCell ref="B42:B44"/>
    <mergeCell ref="C42:D44"/>
    <mergeCell ref="E42:F44"/>
    <mergeCell ref="C46:D46"/>
    <mergeCell ref="E46:F46"/>
    <mergeCell ref="K47:L47"/>
    <mergeCell ref="A11:L11"/>
    <mergeCell ref="Q50:R50"/>
    <mergeCell ref="K51:L51"/>
    <mergeCell ref="K50:L50"/>
    <mergeCell ref="M51:N51"/>
    <mergeCell ref="O51:P51"/>
    <mergeCell ref="Q51:R51"/>
    <mergeCell ref="C50:D50"/>
    <mergeCell ref="M50:N50"/>
    <mergeCell ref="E50:F50"/>
    <mergeCell ref="G50:H50"/>
    <mergeCell ref="I50:J50"/>
    <mergeCell ref="C51:D51"/>
    <mergeCell ref="G51:H51"/>
    <mergeCell ref="E53:F53"/>
    <mergeCell ref="G53:H53"/>
    <mergeCell ref="I52:J52"/>
    <mergeCell ref="E51:F51"/>
    <mergeCell ref="Z47:AE47"/>
    <mergeCell ref="U45:Y45"/>
    <mergeCell ref="U46:Y46"/>
    <mergeCell ref="U47:Y47"/>
    <mergeCell ref="M53:N53"/>
    <mergeCell ref="G52:H52"/>
    <mergeCell ref="K52:L52"/>
    <mergeCell ref="O53:P53"/>
    <mergeCell ref="I53:J53"/>
    <mergeCell ref="S45:T45"/>
    <mergeCell ref="Q49:R49"/>
    <mergeCell ref="Z48:AE48"/>
    <mergeCell ref="I51:J51"/>
    <mergeCell ref="K49:L49"/>
    <mergeCell ref="K48:L48"/>
    <mergeCell ref="O50:P50"/>
    <mergeCell ref="Q48:R48"/>
    <mergeCell ref="Z51:AE51"/>
    <mergeCell ref="Z45:AE45"/>
    <mergeCell ref="Z46:AE46"/>
    <mergeCell ref="S47:T47"/>
    <mergeCell ref="M49:N49"/>
    <mergeCell ref="O49:P49"/>
    <mergeCell ref="M48:N48"/>
    <mergeCell ref="B32:F32"/>
    <mergeCell ref="B35:F35"/>
    <mergeCell ref="C49:D49"/>
    <mergeCell ref="E49:F49"/>
    <mergeCell ref="E47:F47"/>
    <mergeCell ref="C45:D45"/>
    <mergeCell ref="E45:F45"/>
    <mergeCell ref="B33:F33"/>
    <mergeCell ref="A37:F37"/>
    <mergeCell ref="B34:F34"/>
    <mergeCell ref="I47:J47"/>
    <mergeCell ref="O47:P47"/>
    <mergeCell ref="I42:J44"/>
    <mergeCell ref="O45:P45"/>
    <mergeCell ref="K43:L44"/>
    <mergeCell ref="G42:H44"/>
    <mergeCell ref="G46:H46"/>
    <mergeCell ref="G49:H49"/>
    <mergeCell ref="I49:J49"/>
    <mergeCell ref="E48:F48"/>
  </mergeCells>
  <phoneticPr fontId="3" type="noConversion"/>
  <pageMargins left="1.1811023622047245" right="0.39370078740157483" top="0.78740157480314965" bottom="0.78740157480314965" header="0.27559055118110237" footer="0.31496062992125984"/>
  <pageSetup paperSize="9" scale="35" orientation="landscape" verticalDpi="1200" r:id="rId1"/>
  <headerFooter alignWithMargins="0">
    <oddHeader xml:space="preserve">&amp;C&amp;"Times New Roman,обычный"&amp;14
&amp;20 14&amp;R
&amp;"Times New Roman,обычный"&amp;16Продовження додатка 1&amp;14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Осн. фін. пок.</vt:lpstr>
      <vt:lpstr>I. Фін результат</vt:lpstr>
      <vt:lpstr>ІІ. Розр. з бюджетом</vt:lpstr>
      <vt:lpstr>ІІІ. Рух грош. коштів</vt:lpstr>
      <vt:lpstr>IV. Кап. інвестиції</vt:lpstr>
      <vt:lpstr> V. Коефіцієнти</vt:lpstr>
      <vt:lpstr>6.1. Інша інфо_1</vt:lpstr>
      <vt:lpstr>штатка</vt:lpstr>
      <vt:lpstr>6.2. Інша інфо_2</vt:lpstr>
      <vt:lpstr>' V. Коефіцієнти'!Заголовки_для_печати</vt:lpstr>
      <vt:lpstr>'I. Фін результат'!Заголовки_для_печати</vt:lpstr>
      <vt:lpstr>'ІІ. Розр. з бюджетом'!Заголовки_для_печати</vt:lpstr>
      <vt:lpstr>'ІІІ. Рух грош. коштів'!Заголовки_для_печати</vt:lpstr>
      <vt:lpstr>'Осн. фін. пок.'!Заголовки_для_печати</vt:lpstr>
      <vt:lpstr>' V. Коефіцієнти'!Область_печати</vt:lpstr>
      <vt:lpstr>'6.1. Інша інфо_1'!Область_печати</vt:lpstr>
      <vt:lpstr>'6.2. Інша інфо_2'!Область_печати</vt:lpstr>
      <vt:lpstr>'I. Фін результат'!Область_печати</vt:lpstr>
      <vt:lpstr>'IV. Кап. інвестиції'!Область_печати</vt:lpstr>
      <vt:lpstr>'ІІ. Розр. з бюджетом'!Область_печати</vt:lpstr>
      <vt:lpstr>'ІІІ. Рух грош. коштів'!Область_печати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dw</cp:lastModifiedBy>
  <cp:lastPrinted>2019-12-19T10:21:28Z</cp:lastPrinted>
  <dcterms:created xsi:type="dcterms:W3CDTF">2003-03-13T16:00:22Z</dcterms:created>
  <dcterms:modified xsi:type="dcterms:W3CDTF">2020-07-07T09:34:12Z</dcterms:modified>
</cp:coreProperties>
</file>