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E:\ФИН плани\Фінплан 2023\звіт фінплан за 2023\"/>
    </mc:Choice>
  </mc:AlternateContent>
  <xr:revisionPtr revIDLastSave="0" documentId="13_ncr:1_{0AFAF0A8-8498-432E-BFD1-6F572B2C475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фінплан - зведені показники" sheetId="14" r:id="rId1"/>
    <sheet name="1. Фін результат" sheetId="2" r:id="rId2"/>
    <sheet name="2. Розрахунки з бюджетом" sheetId="19" r:id="rId3"/>
    <sheet name="3. Рух грошових коштів" sheetId="18" r:id="rId4"/>
    <sheet name="4. Кап. інвестиції" sheetId="3" r:id="rId5"/>
    <sheet name=" 5. Коефіцієнти" sheetId="11" r:id="rId6"/>
    <sheet name="6.1. Інша інфо_1" sheetId="10" r:id="rId7"/>
    <sheet name="6.2. Інша інфо_2" sheetId="9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</externalReferences>
  <definedNames>
    <definedName name="__123Graph_XGRAPH3" hidden="1">[1]GDP!#REF!</definedName>
    <definedName name="_xlnm._FilterDatabase" localSheetId="1" hidden="1">'1. Фін результат'!$A$9:$H$145</definedName>
    <definedName name="aa">'[2]1993'!$A$1:$IV$3,'[2]1993'!$A$1:$A$65536</definedName>
    <definedName name="ad">'[3]МТР Газ України'!$B$1</definedName>
    <definedName name="as">'[4]МТР Газ України'!$B$1</definedName>
    <definedName name="asdf">[5]Inform!$E$6</definedName>
    <definedName name="asdfg">[5]Inform!$F$2</definedName>
    <definedName name="BuiltIn_Print_Area___1___1">#REF!</definedName>
    <definedName name="ClDate">[6]Inform!$E$6</definedName>
    <definedName name="ClDate_21">[7]Inform!$E$6</definedName>
    <definedName name="ClDate_25">[7]Inform!$E$6</definedName>
    <definedName name="ClDate_6">[8]Inform!$E$6</definedName>
    <definedName name="CompName">[6]Inform!$F$2</definedName>
    <definedName name="CompName_21">[7]Inform!$F$2</definedName>
    <definedName name="CompName_25">[7]Inform!$F$2</definedName>
    <definedName name="CompName_6">[8]Inform!$F$2</definedName>
    <definedName name="CompNameE">[6]Inform!$G$2</definedName>
    <definedName name="CompNameE_21">[7]Inform!$G$2</definedName>
    <definedName name="CompNameE_25">[7]Inform!$G$2</definedName>
    <definedName name="CompNameE_6">[8]Inform!$G$2</definedName>
    <definedName name="Cost_Category_National_ID">#REF!</definedName>
    <definedName name="Cе511">#REF!</definedName>
    <definedName name="d">'[9]МТР Газ України'!$B$4</definedName>
    <definedName name="dCPIb">[10]попер_роз!#REF!</definedName>
    <definedName name="dPPIb">[10]попер_роз!#REF!</definedName>
    <definedName name="ds">'[11]7  Інші витрати'!#REF!</definedName>
    <definedName name="Fact_Type_ID">#REF!</definedName>
    <definedName name="G">'[12]МТР Газ України'!$B$1</definedName>
    <definedName name="ij1sssss">'[13]7  Інші витрати'!#REF!</definedName>
    <definedName name="LastItem">[14]Лист1!$A$1</definedName>
    <definedName name="Load">'[15]МТР Газ України'!$B$4</definedName>
    <definedName name="Load_ID">'[16]МТР Газ України'!$B$4</definedName>
    <definedName name="Load_ID_10">'[17]7  Інші витрати'!#REF!</definedName>
    <definedName name="Load_ID_11">'[18]МТР Газ України'!$B$4</definedName>
    <definedName name="Load_ID_12">'[18]МТР Газ України'!$B$4</definedName>
    <definedName name="Load_ID_13">'[18]МТР Газ України'!$B$4</definedName>
    <definedName name="Load_ID_14">'[18]МТР Газ України'!$B$4</definedName>
    <definedName name="Load_ID_15">'[18]МТР Газ України'!$B$4</definedName>
    <definedName name="Load_ID_16">'[18]МТР Газ України'!$B$4</definedName>
    <definedName name="Load_ID_17">'[18]МТР Газ України'!$B$4</definedName>
    <definedName name="Load_ID_18">'[19]МТР Газ України'!$B$4</definedName>
    <definedName name="Load_ID_19">'[20]МТР Газ України'!$B$4</definedName>
    <definedName name="Load_ID_20">'[19]МТР Газ України'!$B$4</definedName>
    <definedName name="Load_ID_200">'[15]МТР Газ України'!$B$4</definedName>
    <definedName name="Load_ID_21">'[21]МТР Газ України'!$B$4</definedName>
    <definedName name="Load_ID_23">'[20]МТР Газ України'!$B$4</definedName>
    <definedName name="Load_ID_25">'[21]МТР Газ України'!$B$4</definedName>
    <definedName name="Load_ID_542">'[22]МТР Газ України'!$B$4</definedName>
    <definedName name="Load_ID_6">'[18]МТР Газ України'!$B$4</definedName>
    <definedName name="OpDate">[6]Inform!$E$5</definedName>
    <definedName name="OpDate_21">[7]Inform!$E$5</definedName>
    <definedName name="OpDate_25">[7]Inform!$E$5</definedName>
    <definedName name="OpDate_6">[8]Inform!$E$5</definedName>
    <definedName name="QR">[23]Inform!$E$5</definedName>
    <definedName name="qw">[5]Inform!$E$5</definedName>
    <definedName name="qwert">[5]Inform!$G$2</definedName>
    <definedName name="qwerty">'[4]МТР Газ України'!$B$4</definedName>
    <definedName name="ShowFil">[14]!ShowFil</definedName>
    <definedName name="SU_ID">#REF!</definedName>
    <definedName name="Time_ID">'[16]МТР Газ України'!$B$1</definedName>
    <definedName name="Time_ID_10">'[17]7  Інші витрати'!#REF!</definedName>
    <definedName name="Time_ID_11">'[18]МТР Газ України'!$B$1</definedName>
    <definedName name="Time_ID_12">'[18]МТР Газ України'!$B$1</definedName>
    <definedName name="Time_ID_13">'[18]МТР Газ України'!$B$1</definedName>
    <definedName name="Time_ID_14">'[18]МТР Газ України'!$B$1</definedName>
    <definedName name="Time_ID_15">'[18]МТР Газ України'!$B$1</definedName>
    <definedName name="Time_ID_16">'[18]МТР Газ України'!$B$1</definedName>
    <definedName name="Time_ID_17">'[18]МТР Газ України'!$B$1</definedName>
    <definedName name="Time_ID_18">'[19]МТР Газ України'!$B$1</definedName>
    <definedName name="Time_ID_19">'[20]МТР Газ України'!$B$1</definedName>
    <definedName name="Time_ID_20">'[19]МТР Газ України'!$B$1</definedName>
    <definedName name="Time_ID_21">'[21]МТР Газ України'!$B$1</definedName>
    <definedName name="Time_ID_23">'[20]МТР Газ України'!$B$1</definedName>
    <definedName name="Time_ID_25">'[21]МТР Газ України'!$B$1</definedName>
    <definedName name="Time_ID_6">'[18]МТР Газ України'!$B$1</definedName>
    <definedName name="Time_ID0">'[16]МТР Газ України'!$F$1</definedName>
    <definedName name="Time_ID0_10">'[17]7  Інші витрати'!#REF!</definedName>
    <definedName name="Time_ID0_11">'[18]МТР Газ України'!$F$1</definedName>
    <definedName name="Time_ID0_12">'[18]МТР Газ України'!$F$1</definedName>
    <definedName name="Time_ID0_13">'[18]МТР Газ України'!$F$1</definedName>
    <definedName name="Time_ID0_14">'[18]МТР Газ України'!$F$1</definedName>
    <definedName name="Time_ID0_15">'[18]МТР Газ України'!$F$1</definedName>
    <definedName name="Time_ID0_16">'[18]МТР Газ України'!$F$1</definedName>
    <definedName name="Time_ID0_17">'[18]МТР Газ України'!$F$1</definedName>
    <definedName name="Time_ID0_18">'[19]МТР Газ України'!$F$1</definedName>
    <definedName name="Time_ID0_19">'[20]МТР Газ України'!$F$1</definedName>
    <definedName name="Time_ID0_20">'[19]МТР Газ України'!$F$1</definedName>
    <definedName name="Time_ID0_21">'[21]МТР Газ України'!$F$1</definedName>
    <definedName name="Time_ID0_23">'[20]МТР Газ України'!$F$1</definedName>
    <definedName name="Time_ID0_25">'[21]МТР Газ України'!$F$1</definedName>
    <definedName name="Time_ID0_6">'[18]МТР Газ України'!$F$1</definedName>
    <definedName name="ttttttt">#REF!</definedName>
    <definedName name="Unit">[6]Inform!$E$38</definedName>
    <definedName name="Unit_21">[7]Inform!$E$38</definedName>
    <definedName name="Unit_25">[7]Inform!$E$38</definedName>
    <definedName name="Unit_6">[8]Inform!$E$38</definedName>
    <definedName name="WQER">'[24]МТР Газ України'!$B$4</definedName>
    <definedName name="wr">'[24]МТР Газ України'!$B$4</definedName>
    <definedName name="yyyy">#REF!</definedName>
    <definedName name="zx">'[4]МТР Газ України'!$F$1</definedName>
    <definedName name="zxc">[5]Inform!$E$38</definedName>
    <definedName name="а">'[13]7  Інші витрати'!#REF!</definedName>
    <definedName name="ав">#REF!</definedName>
    <definedName name="аен">'[24]МТР Газ України'!$B$4</definedName>
    <definedName name="_xlnm.Database">'[25]Ener '!$A$1:$G$2645</definedName>
    <definedName name="в">'[26]МТР Газ України'!$F$1</definedName>
    <definedName name="ватт">'[27]БАЗА  '!#REF!</definedName>
    <definedName name="Д">'[15]МТР Газ України'!$B$4</definedName>
    <definedName name="е">#REF!</definedName>
    <definedName name="є">#REF!</definedName>
    <definedName name="_xlnm.Print_Titles" localSheetId="5">' 5. Коефіцієнти'!$5:$5</definedName>
    <definedName name="_xlnm.Print_Titles" localSheetId="1">'1. Фін результат'!$7:$7</definedName>
    <definedName name="_xlnm.Print_Titles" localSheetId="2">'2. Розрахунки з бюджетом'!$6:$6</definedName>
    <definedName name="_xlnm.Print_Titles" localSheetId="3">'3. Рух грошових коштів'!$7:$7</definedName>
    <definedName name="_xlnm.Print_Titles" localSheetId="0">'фінплан - зведені показники'!$29:$29</definedName>
    <definedName name="Заголовки_для_печати_МИ">'[28]1993'!$A$1:$IV$3,'[28]1993'!$A$1:$A$65536</definedName>
    <definedName name="і">[29]Inform!$F$2</definedName>
    <definedName name="ів">#REF!</definedName>
    <definedName name="ів___0">#REF!</definedName>
    <definedName name="ів_22">#REF!</definedName>
    <definedName name="ів_26">#REF!</definedName>
    <definedName name="іваіа">'[30]7  Інші витрати'!#REF!</definedName>
    <definedName name="іваф">#REF!</definedName>
    <definedName name="івів">'[12]МТР Газ України'!$B$1</definedName>
    <definedName name="іцу">[23]Inform!$G$2</definedName>
    <definedName name="йуц">#REF!</definedName>
    <definedName name="йцу">#REF!</definedName>
    <definedName name="йцуйй">#REF!</definedName>
    <definedName name="йцукц">'[30]7  Інші витрати'!#REF!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л">#REF!</definedName>
    <definedName name="_xlnm.Print_Area" localSheetId="5">' 5. Коефіцієнти'!$A$1:$F$26</definedName>
    <definedName name="_xlnm.Print_Area" localSheetId="1">'1. Фін результат'!$A$1:$H$150</definedName>
    <definedName name="_xlnm.Print_Area" localSheetId="2">'2. Розрахунки з бюджетом'!$A$1:$G$45</definedName>
    <definedName name="_xlnm.Print_Area" localSheetId="3">'3. Рух грошових коштів'!$A$1:$G$95</definedName>
    <definedName name="_xlnm.Print_Area" localSheetId="4">'4. Кап. інвестиції'!$A$1:$G$18</definedName>
    <definedName name="_xlnm.Print_Area" localSheetId="6">'6.1. Інша інфо_1'!$A$1:$O$80</definedName>
    <definedName name="_xlnm.Print_Area" localSheetId="7">'6.2. Інша інфо_2'!$A$1:$V$57</definedName>
    <definedName name="_xlnm.Print_Area" localSheetId="0">'фінплан - зведені показники'!$A$1:$G$79</definedName>
    <definedName name="п">'[13]7  Інші витрати'!#REF!</definedName>
    <definedName name="пдв">'[15]МТР Газ України'!$B$4</definedName>
    <definedName name="пдв_утг">'[15]МТР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[31]Inform!$E$6</definedName>
    <definedName name="р">#REF!</definedName>
    <definedName name="т">[32]Inform!$E$6</definedName>
    <definedName name="тариф">[33]Inform!$G$2</definedName>
    <definedName name="уйцукйцуйу">#REF!</definedName>
    <definedName name="уке">[34]Inform!$G$2</definedName>
    <definedName name="УТГ">'[15]МТР Газ України'!$B$4</definedName>
    <definedName name="фів">'[24]МТР Газ України'!$B$4</definedName>
    <definedName name="фіваіф">'[30]7  Інші витрати'!#REF!</definedName>
    <definedName name="фф">'[26]МТР Газ України'!$F$1</definedName>
    <definedName name="ц">'[13]7  Інші витрати'!#REF!</definedName>
    <definedName name="ччч">'[35]БАЗА  '!#REF!</definedName>
    <definedName name="ш">#REF!</definedName>
  </definedNames>
  <calcPr calcId="191029"/>
</workbook>
</file>

<file path=xl/calcChain.xml><?xml version="1.0" encoding="utf-8"?>
<calcChain xmlns="http://schemas.openxmlformats.org/spreadsheetml/2006/main">
  <c r="E142" i="2" l="1"/>
  <c r="E19" i="18"/>
  <c r="E62" i="18" l="1"/>
  <c r="E12" i="18"/>
  <c r="E17" i="18"/>
  <c r="T41" i="9"/>
  <c r="S41" i="9"/>
  <c r="M41" i="9"/>
  <c r="I41" i="9"/>
  <c r="S40" i="9"/>
  <c r="M40" i="9"/>
  <c r="L29" i="9"/>
  <c r="G53" i="10"/>
  <c r="U41" i="9" l="1"/>
  <c r="T40" i="9"/>
  <c r="I40" i="9"/>
  <c r="V40" i="9" l="1"/>
  <c r="U40" i="9"/>
  <c r="D51" i="10" l="1"/>
  <c r="D52" i="10"/>
  <c r="D53" i="10"/>
  <c r="J29" i="10"/>
  <c r="J25" i="10"/>
  <c r="J22" i="10"/>
  <c r="J30" i="10" s="1"/>
  <c r="J18" i="10"/>
  <c r="E22" i="18" l="1"/>
  <c r="E42" i="18"/>
  <c r="E70" i="18"/>
  <c r="E69" i="18"/>
  <c r="E109" i="2"/>
  <c r="E100" i="2"/>
  <c r="E80" i="2"/>
  <c r="E86" i="2"/>
  <c r="E85" i="2"/>
  <c r="E72" i="2"/>
  <c r="E66" i="2"/>
  <c r="E37" i="2"/>
  <c r="E61" i="2"/>
  <c r="E42" i="2"/>
  <c r="E49" i="2"/>
  <c r="E50" i="2"/>
  <c r="E59" i="2"/>
  <c r="E58" i="2"/>
  <c r="E17" i="2"/>
  <c r="E22" i="2"/>
  <c r="E18" i="2"/>
  <c r="E12" i="2"/>
  <c r="E23" i="2"/>
  <c r="E14" i="2"/>
  <c r="E13" i="2"/>
  <c r="E25" i="2" l="1"/>
  <c r="E16" i="2"/>
  <c r="E15" i="2"/>
  <c r="C26" i="18"/>
  <c r="D50" i="10"/>
  <c r="D62" i="18" l="1"/>
  <c r="C62" i="18"/>
  <c r="E64" i="18"/>
  <c r="D64" i="18"/>
  <c r="D81" i="18" s="1"/>
  <c r="C66" i="18"/>
  <c r="C64" i="18"/>
  <c r="D42" i="18"/>
  <c r="C42" i="18"/>
  <c r="D35" i="19"/>
  <c r="D37" i="19"/>
  <c r="D113" i="2"/>
  <c r="C113" i="2"/>
  <c r="D107" i="2"/>
  <c r="C107" i="2"/>
  <c r="D103" i="2"/>
  <c r="C103" i="2"/>
  <c r="D94" i="2"/>
  <c r="C94" i="2"/>
  <c r="D89" i="2"/>
  <c r="C89" i="2"/>
  <c r="D81" i="2"/>
  <c r="C81" i="2"/>
  <c r="D74" i="2"/>
  <c r="C74" i="2"/>
  <c r="D68" i="2"/>
  <c r="C68" i="2"/>
  <c r="D57" i="2"/>
  <c r="C57" i="2"/>
  <c r="D35" i="2"/>
  <c r="C35" i="2"/>
  <c r="D32" i="2"/>
  <c r="C32" i="2"/>
  <c r="D19" i="2"/>
  <c r="C19" i="2"/>
  <c r="D11" i="2"/>
  <c r="C11" i="2"/>
  <c r="D9" i="2"/>
  <c r="D31" i="2" s="1"/>
  <c r="D101" i="2" s="1"/>
  <c r="D117" i="2" s="1"/>
  <c r="D120" i="2" s="1"/>
  <c r="D121" i="2" s="1"/>
  <c r="C9" i="2"/>
  <c r="C31" i="2" s="1"/>
  <c r="C101" i="2" s="1"/>
  <c r="C117" i="2" s="1"/>
  <c r="C120" i="2" s="1"/>
  <c r="C121" i="2" l="1"/>
  <c r="C19" i="19"/>
  <c r="H31" i="10"/>
  <c r="D141" i="2"/>
  <c r="E57" i="2" l="1"/>
  <c r="V17" i="9"/>
  <c r="U17" i="9"/>
  <c r="S17" i="9"/>
  <c r="Q17" i="9"/>
  <c r="O17" i="9"/>
  <c r="S38" i="9" l="1"/>
  <c r="T38" i="9"/>
  <c r="U38" i="9"/>
  <c r="S39" i="9"/>
  <c r="T39" i="9"/>
  <c r="U39" i="9"/>
  <c r="S42" i="9"/>
  <c r="T42" i="9"/>
  <c r="U42" i="9"/>
  <c r="I38" i="9"/>
  <c r="I39" i="9"/>
  <c r="I42" i="9"/>
  <c r="E19" i="11"/>
  <c r="F31" i="19" l="1"/>
  <c r="E24" i="19"/>
  <c r="E81" i="2"/>
  <c r="E143" i="2"/>
  <c r="E40" i="19"/>
  <c r="E9" i="2" l="1"/>
  <c r="D19" i="11"/>
  <c r="C22" i="18"/>
  <c r="C37" i="19"/>
  <c r="C35" i="19"/>
  <c r="C32" i="19"/>
  <c r="H43" i="9" l="1"/>
  <c r="K43" i="9"/>
  <c r="O43" i="9"/>
  <c r="P43" i="9"/>
  <c r="G43" i="9"/>
  <c r="M39" i="9"/>
  <c r="F9" i="2"/>
  <c r="F12" i="2"/>
  <c r="F13" i="2"/>
  <c r="F14" i="2"/>
  <c r="F15" i="2"/>
  <c r="F16" i="2"/>
  <c r="F17" i="2"/>
  <c r="F18" i="2"/>
  <c r="F20" i="2"/>
  <c r="F21" i="2"/>
  <c r="F22" i="2"/>
  <c r="F23" i="2"/>
  <c r="F24" i="2"/>
  <c r="F25" i="2"/>
  <c r="F26" i="2"/>
  <c r="F27" i="2"/>
  <c r="F28" i="2"/>
  <c r="F29" i="2"/>
  <c r="F30" i="2"/>
  <c r="D19" i="19" l="1"/>
  <c r="E94" i="2"/>
  <c r="E89" i="2"/>
  <c r="L7" i="9" l="1"/>
  <c r="F53" i="10" l="1"/>
  <c r="D15" i="11"/>
  <c r="J26" i="10" l="1"/>
  <c r="M38" i="9" l="1"/>
  <c r="M42" i="9"/>
  <c r="L36" i="9" l="1"/>
  <c r="L43" i="9" s="1"/>
  <c r="E79" i="18"/>
  <c r="E81" i="18" s="1"/>
  <c r="E74" i="2" l="1"/>
  <c r="E68" i="2" s="1"/>
  <c r="E19" i="2" l="1"/>
  <c r="F19" i="2" s="1"/>
  <c r="E11" i="2" l="1"/>
  <c r="F11" i="2" l="1"/>
  <c r="E35" i="2"/>
  <c r="E23" i="19" l="1"/>
  <c r="E22" i="19"/>
  <c r="C44" i="18"/>
  <c r="C79" i="18" l="1"/>
  <c r="E9" i="19"/>
  <c r="E140" i="2"/>
  <c r="E141" i="2"/>
  <c r="J23" i="10" s="1"/>
  <c r="J31" i="10" s="1"/>
  <c r="C81" i="18"/>
  <c r="N29" i="9" l="1"/>
  <c r="E11" i="18"/>
  <c r="D14" i="11" l="1"/>
  <c r="E139" i="2" l="1"/>
  <c r="G55" i="10"/>
  <c r="E35" i="19" l="1"/>
  <c r="C48" i="18"/>
  <c r="C29" i="18"/>
  <c r="C23" i="19"/>
  <c r="C22" i="19"/>
  <c r="C18" i="18"/>
  <c r="C141" i="2"/>
  <c r="C21" i="19" l="1"/>
  <c r="C50" i="18"/>
  <c r="C43" i="9"/>
  <c r="T37" i="9"/>
  <c r="S37" i="9"/>
  <c r="Q37" i="9"/>
  <c r="M37" i="9"/>
  <c r="I37" i="9"/>
  <c r="E37" i="9"/>
  <c r="T36" i="9"/>
  <c r="S36" i="9"/>
  <c r="Q36" i="9"/>
  <c r="M36" i="9"/>
  <c r="I36" i="9"/>
  <c r="E36" i="9"/>
  <c r="T29" i="9"/>
  <c r="S29" i="9"/>
  <c r="Q29" i="9"/>
  <c r="M29" i="9"/>
  <c r="I29" i="9"/>
  <c r="E29" i="9"/>
  <c r="T35" i="9"/>
  <c r="S35" i="9"/>
  <c r="Q35" i="9"/>
  <c r="M35" i="9"/>
  <c r="I35" i="9"/>
  <c r="E35" i="9"/>
  <c r="T34" i="9"/>
  <c r="S34" i="9"/>
  <c r="Q34" i="9"/>
  <c r="N34" i="9"/>
  <c r="M34" i="9"/>
  <c r="I34" i="9"/>
  <c r="E34" i="9"/>
  <c r="T33" i="9"/>
  <c r="S33" i="9"/>
  <c r="Q33" i="9"/>
  <c r="N33" i="9"/>
  <c r="M33" i="9"/>
  <c r="I33" i="9"/>
  <c r="E33" i="9"/>
  <c r="T32" i="9"/>
  <c r="S32" i="9"/>
  <c r="Q32" i="9"/>
  <c r="N32" i="9"/>
  <c r="M32" i="9"/>
  <c r="I32" i="9"/>
  <c r="E32" i="9"/>
  <c r="T31" i="9"/>
  <c r="S31" i="9"/>
  <c r="U31" i="9" s="1"/>
  <c r="Q31" i="9"/>
  <c r="N31" i="9"/>
  <c r="M31" i="9"/>
  <c r="I31" i="9"/>
  <c r="E31" i="9"/>
  <c r="T30" i="9"/>
  <c r="S30" i="9"/>
  <c r="U30" i="9" s="1"/>
  <c r="Q30" i="9"/>
  <c r="N30" i="9"/>
  <c r="M30" i="9"/>
  <c r="I30" i="9"/>
  <c r="E30" i="9"/>
  <c r="T28" i="9"/>
  <c r="S28" i="9"/>
  <c r="U28" i="9" s="1"/>
  <c r="Q28" i="9"/>
  <c r="N28" i="9"/>
  <c r="M28" i="9"/>
  <c r="I28" i="9"/>
  <c r="E28" i="9"/>
  <c r="T27" i="9"/>
  <c r="S27" i="9"/>
  <c r="Q27" i="9"/>
  <c r="N27" i="9"/>
  <c r="M27" i="9"/>
  <c r="I27" i="9"/>
  <c r="E27" i="9"/>
  <c r="D43" i="9"/>
  <c r="T26" i="9"/>
  <c r="T43" i="9" s="1"/>
  <c r="E6" i="3" s="1"/>
  <c r="S26" i="9"/>
  <c r="Q26" i="9"/>
  <c r="Q43" i="9" s="1"/>
  <c r="N26" i="9"/>
  <c r="M26" i="9"/>
  <c r="M43" i="9" s="1"/>
  <c r="I26" i="9"/>
  <c r="I43" i="9" s="1"/>
  <c r="E26" i="9"/>
  <c r="V26" i="9" l="1"/>
  <c r="S43" i="9"/>
  <c r="E43" i="9"/>
  <c r="U32" i="9"/>
  <c r="U27" i="9"/>
  <c r="J44" i="9"/>
  <c r="U37" i="9"/>
  <c r="U33" i="9"/>
  <c r="U34" i="9"/>
  <c r="V29" i="9"/>
  <c r="V44" i="9"/>
  <c r="U36" i="9"/>
  <c r="U29" i="9"/>
  <c r="U35" i="9"/>
  <c r="V27" i="9"/>
  <c r="V28" i="9"/>
  <c r="V30" i="9"/>
  <c r="V31" i="9"/>
  <c r="V32" i="9"/>
  <c r="V33" i="9"/>
  <c r="V34" i="9"/>
  <c r="U26" i="9"/>
  <c r="U43" i="9" s="1"/>
  <c r="F52" i="10" l="1"/>
  <c r="F50" i="10"/>
  <c r="F51" i="10" l="1"/>
  <c r="E103" i="2" l="1"/>
  <c r="C143" i="2" l="1"/>
  <c r="C142" i="2"/>
  <c r="C41" i="19" s="1"/>
  <c r="C140" i="2"/>
  <c r="C139" i="2"/>
  <c r="C138" i="2" l="1"/>
  <c r="N8" i="9"/>
  <c r="P8" i="9"/>
  <c r="R8" i="9"/>
  <c r="T8" i="9"/>
  <c r="V8" i="9"/>
  <c r="F6" i="3" l="1"/>
  <c r="E18" i="11"/>
  <c r="L8" i="9"/>
  <c r="G6" i="3"/>
  <c r="E37" i="19" l="1"/>
  <c r="C132" i="2"/>
  <c r="E73" i="14" l="1"/>
  <c r="E113" i="2" l="1"/>
  <c r="E26" i="18" l="1"/>
  <c r="I52" i="10" l="1"/>
  <c r="I51" i="10"/>
  <c r="E32" i="2"/>
  <c r="E48" i="18" l="1"/>
  <c r="G41" i="2" l="1"/>
  <c r="F41" i="2"/>
  <c r="E29" i="18" l="1"/>
  <c r="H35" i="10" l="1"/>
  <c r="D44" i="18"/>
  <c r="D54" i="10" l="1"/>
  <c r="J33" i="10" l="1"/>
  <c r="E70" i="14" l="1"/>
  <c r="E76" i="14" s="1"/>
  <c r="J34" i="10" l="1"/>
  <c r="H30" i="10"/>
  <c r="E50" i="18" l="1"/>
  <c r="E107" i="2" l="1"/>
  <c r="E128" i="2" s="1"/>
  <c r="H34" i="10"/>
  <c r="H33" i="10"/>
  <c r="H29" i="10"/>
  <c r="F107" i="2" l="1"/>
  <c r="J27" i="10"/>
  <c r="E138" i="2"/>
  <c r="H15" i="10"/>
  <c r="H16" i="10"/>
  <c r="H17" i="10"/>
  <c r="H18" i="10"/>
  <c r="H19" i="10"/>
  <c r="H14" i="10"/>
  <c r="E32" i="19"/>
  <c r="E27" i="19" s="1"/>
  <c r="D32" i="19"/>
  <c r="E133" i="2"/>
  <c r="E134" i="2"/>
  <c r="D134" i="2"/>
  <c r="D133" i="2"/>
  <c r="J35" i="10" l="1"/>
  <c r="N19" i="10"/>
  <c r="L19" i="10"/>
  <c r="D142" i="2"/>
  <c r="D50" i="18" l="1"/>
  <c r="D29" i="18" l="1"/>
  <c r="F79" i="18" l="1"/>
  <c r="C125" i="2" l="1"/>
  <c r="C127" i="2"/>
  <c r="E17" i="19" l="1"/>
  <c r="E18" i="18" s="1"/>
  <c r="E15" i="18" s="1"/>
  <c r="F8" i="19" l="1"/>
  <c r="G8" i="19"/>
  <c r="F17" i="19"/>
  <c r="F18" i="19"/>
  <c r="C128" i="2" l="1"/>
  <c r="C126" i="2"/>
  <c r="F94" i="2" l="1"/>
  <c r="G83" i="18"/>
  <c r="F83" i="18"/>
  <c r="F64" i="18"/>
  <c r="G42" i="18"/>
  <c r="F42" i="18"/>
  <c r="F23" i="18"/>
  <c r="G142" i="2" l="1"/>
  <c r="F142" i="2"/>
  <c r="G141" i="2"/>
  <c r="F141" i="2"/>
  <c r="G118" i="2"/>
  <c r="F118" i="2"/>
  <c r="G94" i="2"/>
  <c r="G73" i="2"/>
  <c r="F73" i="2"/>
  <c r="G72" i="2"/>
  <c r="F72" i="2"/>
  <c r="G71" i="2"/>
  <c r="F71" i="2"/>
  <c r="G68" i="2"/>
  <c r="F68" i="2"/>
  <c r="G51" i="2"/>
  <c r="F51" i="2"/>
  <c r="G50" i="2"/>
  <c r="F50" i="2"/>
  <c r="G45" i="2"/>
  <c r="F45" i="2"/>
  <c r="G44" i="2"/>
  <c r="F44" i="2"/>
  <c r="G43" i="2"/>
  <c r="F43" i="2"/>
  <c r="G42" i="2"/>
  <c r="F42" i="2"/>
  <c r="G37" i="2"/>
  <c r="F37" i="2"/>
  <c r="F25" i="19"/>
  <c r="G25" i="19"/>
  <c r="G31" i="19"/>
  <c r="F37" i="19"/>
  <c r="G37" i="19"/>
  <c r="F38" i="19"/>
  <c r="G38" i="19"/>
  <c r="F39" i="19"/>
  <c r="F40" i="19"/>
  <c r="G40" i="19"/>
  <c r="F12" i="18"/>
  <c r="N33" i="10"/>
  <c r="L33" i="10"/>
  <c r="N26" i="10"/>
  <c r="L26" i="10"/>
  <c r="N23" i="10"/>
  <c r="L23" i="10"/>
  <c r="N22" i="10"/>
  <c r="L22" i="10"/>
  <c r="N21" i="10"/>
  <c r="L21" i="10"/>
  <c r="L15" i="10"/>
  <c r="L16" i="10"/>
  <c r="L17" i="10"/>
  <c r="L18" i="10"/>
  <c r="N15" i="10"/>
  <c r="N16" i="10"/>
  <c r="N17" i="10"/>
  <c r="N18" i="10"/>
  <c r="N14" i="10"/>
  <c r="L14" i="10"/>
  <c r="N50" i="10"/>
  <c r="N53" i="10"/>
  <c r="N52" i="10"/>
  <c r="N51" i="10"/>
  <c r="L30" i="10" l="1"/>
  <c r="N30" i="10"/>
  <c r="N34" i="10" l="1"/>
  <c r="L34" i="10"/>
  <c r="L25" i="10" l="1"/>
  <c r="N25" i="10"/>
  <c r="L27" i="10"/>
  <c r="N27" i="10"/>
  <c r="N35" i="10" l="1"/>
  <c r="L35" i="10"/>
  <c r="L31" i="10"/>
  <c r="N31" i="10"/>
  <c r="N29" i="10"/>
  <c r="L29" i="10"/>
  <c r="G113" i="2"/>
  <c r="F113" i="2"/>
  <c r="F22" i="18" l="1"/>
  <c r="F26" i="18"/>
  <c r="E49" i="14"/>
  <c r="G15" i="2"/>
  <c r="G16" i="2"/>
  <c r="C65" i="14"/>
  <c r="E15" i="11"/>
  <c r="M51" i="10"/>
  <c r="M52" i="10"/>
  <c r="M50" i="10"/>
  <c r="J51" i="10"/>
  <c r="K51" i="10"/>
  <c r="J52" i="10"/>
  <c r="K52" i="10"/>
  <c r="K53" i="10"/>
  <c r="K50" i="10"/>
  <c r="J50" i="10"/>
  <c r="L52" i="10"/>
  <c r="O51" i="10"/>
  <c r="L50" i="10"/>
  <c r="F68" i="14"/>
  <c r="G68" i="14"/>
  <c r="F71" i="14"/>
  <c r="G71" i="14"/>
  <c r="F72" i="14"/>
  <c r="G72" i="14"/>
  <c r="F74" i="14"/>
  <c r="G74" i="14"/>
  <c r="F75" i="14"/>
  <c r="G75" i="14"/>
  <c r="F58" i="14"/>
  <c r="G58" i="14"/>
  <c r="D54" i="14"/>
  <c r="E54" i="14"/>
  <c r="C54" i="14"/>
  <c r="D48" i="14"/>
  <c r="E48" i="14"/>
  <c r="D49" i="14"/>
  <c r="D51" i="14"/>
  <c r="E51" i="14"/>
  <c r="C51" i="14"/>
  <c r="C49" i="14"/>
  <c r="C48" i="14"/>
  <c r="E31" i="14"/>
  <c r="D35" i="14"/>
  <c r="E35" i="14"/>
  <c r="E41" i="14"/>
  <c r="D43" i="14"/>
  <c r="E43" i="14"/>
  <c r="C43" i="14"/>
  <c r="C41" i="14"/>
  <c r="C31" i="14"/>
  <c r="D61" i="14"/>
  <c r="D56" i="14"/>
  <c r="C56" i="14"/>
  <c r="C47" i="14"/>
  <c r="C57" i="14"/>
  <c r="E50" i="14"/>
  <c r="E132" i="2"/>
  <c r="C36" i="14"/>
  <c r="C34" i="14"/>
  <c r="E127" i="2"/>
  <c r="D126" i="2"/>
  <c r="D40" i="14" s="1"/>
  <c r="E126" i="2"/>
  <c r="C40" i="14"/>
  <c r="B41" i="14"/>
  <c r="B65" i="14"/>
  <c r="B64" i="14"/>
  <c r="B63" i="14"/>
  <c r="B61" i="14"/>
  <c r="B58" i="14"/>
  <c r="B57" i="14"/>
  <c r="B56" i="14"/>
  <c r="B55" i="14"/>
  <c r="B59" i="14"/>
  <c r="B54" i="14"/>
  <c r="B52" i="14"/>
  <c r="B51" i="14"/>
  <c r="B50" i="14"/>
  <c r="B48" i="14"/>
  <c r="B47" i="14"/>
  <c r="B45" i="14"/>
  <c r="B44" i="14"/>
  <c r="B43" i="14"/>
  <c r="B42" i="14"/>
  <c r="B40" i="14"/>
  <c r="B39" i="14"/>
  <c r="B38" i="14"/>
  <c r="B37" i="14"/>
  <c r="B36" i="14"/>
  <c r="B34" i="14"/>
  <c r="B35" i="14"/>
  <c r="B33" i="14"/>
  <c r="B32" i="14"/>
  <c r="B31" i="14"/>
  <c r="D31" i="14"/>
  <c r="E125" i="2" l="1"/>
  <c r="E31" i="2"/>
  <c r="E101" i="2"/>
  <c r="E61" i="14"/>
  <c r="F61" i="14" s="1"/>
  <c r="E144" i="2"/>
  <c r="E145" i="2" s="1"/>
  <c r="F73" i="14"/>
  <c r="E17" i="11"/>
  <c r="G73" i="14"/>
  <c r="E56" i="14"/>
  <c r="G56" i="14" s="1"/>
  <c r="G50" i="18"/>
  <c r="F50" i="18"/>
  <c r="E34" i="14"/>
  <c r="C32" i="14"/>
  <c r="G126" i="2"/>
  <c r="F126" i="2"/>
  <c r="G57" i="2"/>
  <c r="F57" i="2"/>
  <c r="E40" i="14"/>
  <c r="F40" i="14" s="1"/>
  <c r="D34" i="14"/>
  <c r="E36" i="14"/>
  <c r="G89" i="2"/>
  <c r="F89" i="2"/>
  <c r="F29" i="18"/>
  <c r="O50" i="10"/>
  <c r="L51" i="10"/>
  <c r="E32" i="14"/>
  <c r="G54" i="14"/>
  <c r="O52" i="10"/>
  <c r="F49" i="14"/>
  <c r="G51" i="14"/>
  <c r="F48" i="14"/>
  <c r="F35" i="14"/>
  <c r="C33" i="14"/>
  <c r="D7" i="11" s="1"/>
  <c r="G31" i="14"/>
  <c r="F43" i="14"/>
  <c r="G43" i="14"/>
  <c r="G35" i="14"/>
  <c r="C52" i="14"/>
  <c r="C50" i="14"/>
  <c r="C61" i="14"/>
  <c r="G49" i="14"/>
  <c r="F51" i="14"/>
  <c r="F31" i="14"/>
  <c r="G48" i="14"/>
  <c r="F54" i="14"/>
  <c r="G9" i="2"/>
  <c r="D17" i="11" l="1"/>
  <c r="D18" i="11"/>
  <c r="G61" i="14"/>
  <c r="E117" i="2"/>
  <c r="E9" i="18" s="1"/>
  <c r="E21" i="18" s="1"/>
  <c r="E33" i="14"/>
  <c r="E7" i="11" s="1"/>
  <c r="F56" i="14"/>
  <c r="G40" i="14"/>
  <c r="F34" i="14"/>
  <c r="E57" i="14"/>
  <c r="G34" i="14"/>
  <c r="G35" i="2"/>
  <c r="E129" i="2"/>
  <c r="F35" i="2"/>
  <c r="E131" i="2" l="1"/>
  <c r="E136" i="2" s="1"/>
  <c r="E38" i="14" s="1"/>
  <c r="E8" i="11" s="1"/>
  <c r="E37" i="14"/>
  <c r="E120" i="2" l="1"/>
  <c r="E28" i="18"/>
  <c r="E42" i="14"/>
  <c r="E39" i="14"/>
  <c r="E13" i="11"/>
  <c r="E121" i="2" l="1"/>
  <c r="E44" i="14"/>
  <c r="E11" i="11" s="1"/>
  <c r="E30" i="18"/>
  <c r="E85" i="18" l="1"/>
  <c r="E45" i="14"/>
  <c r="E55" i="14"/>
  <c r="E19" i="19" l="1"/>
  <c r="E21" i="19"/>
  <c r="E41" i="19" s="1"/>
  <c r="E52" i="14" s="1"/>
  <c r="E86" i="18"/>
  <c r="E59" i="14"/>
  <c r="G36" i="19" l="1"/>
  <c r="F36" i="19"/>
  <c r="G27" i="19" l="1"/>
  <c r="F35" i="19"/>
  <c r="G35" i="19"/>
  <c r="F27" i="19" l="1"/>
  <c r="D50" i="14"/>
  <c r="G50" i="14" s="1"/>
  <c r="F50" i="14" l="1"/>
  <c r="E47" i="14"/>
  <c r="E10" i="11"/>
  <c r="E64" i="14" s="1"/>
  <c r="E14" i="11"/>
  <c r="E65" i="14" s="1"/>
  <c r="G67" i="14"/>
  <c r="E9" i="11"/>
  <c r="E63" i="14" s="1"/>
  <c r="F70" i="14"/>
  <c r="F67" i="14"/>
  <c r="G70" i="14"/>
  <c r="G76" i="14" l="1"/>
  <c r="F76" i="14"/>
  <c r="D65" i="14"/>
  <c r="D128" i="2" l="1"/>
  <c r="G128" i="2" s="1"/>
  <c r="D125" i="2"/>
  <c r="F125" i="2" s="1"/>
  <c r="F32" i="2"/>
  <c r="D36" i="14"/>
  <c r="G36" i="14" s="1"/>
  <c r="D41" i="14"/>
  <c r="G41" i="14" s="1"/>
  <c r="D127" i="2"/>
  <c r="F127" i="2" s="1"/>
  <c r="G107" i="2"/>
  <c r="F49" i="2"/>
  <c r="G49" i="2"/>
  <c r="F55" i="2"/>
  <c r="G55" i="2"/>
  <c r="F70" i="2"/>
  <c r="G70" i="2"/>
  <c r="F46" i="2"/>
  <c r="G69" i="2"/>
  <c r="F69" i="2"/>
  <c r="F74" i="2"/>
  <c r="G74" i="2"/>
  <c r="F41" i="14" l="1"/>
  <c r="G15" i="18"/>
  <c r="F15" i="18"/>
  <c r="F36" i="14"/>
  <c r="G127" i="2"/>
  <c r="G125" i="2"/>
  <c r="F128" i="2"/>
  <c r="D47" i="14" l="1"/>
  <c r="G47" i="14" s="1"/>
  <c r="F47" i="14"/>
  <c r="F9" i="19"/>
  <c r="G9" i="19"/>
  <c r="D143" i="2" l="1"/>
  <c r="D132" i="2"/>
  <c r="G132" i="2" s="1"/>
  <c r="D140" i="2"/>
  <c r="G140" i="2" s="1"/>
  <c r="G13" i="2"/>
  <c r="G18" i="2"/>
  <c r="G17" i="2"/>
  <c r="G19" i="2"/>
  <c r="G14" i="2"/>
  <c r="D129" i="2"/>
  <c r="G129" i="2" s="1"/>
  <c r="D32" i="14"/>
  <c r="G32" i="14" s="1"/>
  <c r="G31" i="2"/>
  <c r="D139" i="2"/>
  <c r="G139" i="2" s="1"/>
  <c r="G11" i="2"/>
  <c r="G12" i="2"/>
  <c r="F140" i="2" l="1"/>
  <c r="F32" i="14"/>
  <c r="F132" i="2"/>
  <c r="F129" i="2"/>
  <c r="D138" i="2"/>
  <c r="F139" i="2"/>
  <c r="D33" i="14"/>
  <c r="F31" i="2"/>
  <c r="D11" i="18"/>
  <c r="F143" i="2"/>
  <c r="G143" i="2"/>
  <c r="G11" i="18" l="1"/>
  <c r="F11" i="18"/>
  <c r="D37" i="14"/>
  <c r="D131" i="2"/>
  <c r="F101" i="2"/>
  <c r="G101" i="2"/>
  <c r="F33" i="14"/>
  <c r="G33" i="14"/>
  <c r="G138" i="2"/>
  <c r="F138" i="2"/>
  <c r="D144" i="2"/>
  <c r="G144" i="2" l="1"/>
  <c r="F144" i="2"/>
  <c r="D145" i="2"/>
  <c r="D42" i="14"/>
  <c r="D9" i="18"/>
  <c r="F117" i="2"/>
  <c r="G117" i="2"/>
  <c r="D136" i="2"/>
  <c r="G131" i="2"/>
  <c r="F131" i="2"/>
  <c r="F37" i="14"/>
  <c r="G37" i="14"/>
  <c r="D38" i="14" l="1"/>
  <c r="F136" i="2"/>
  <c r="G136" i="2"/>
  <c r="D44" i="14"/>
  <c r="G120" i="2"/>
  <c r="F120" i="2"/>
  <c r="D21" i="18"/>
  <c r="F9" i="18"/>
  <c r="G9" i="18"/>
  <c r="G42" i="14"/>
  <c r="F42" i="14"/>
  <c r="G145" i="2"/>
  <c r="F145" i="2"/>
  <c r="D28" i="18" l="1"/>
  <c r="G21" i="18"/>
  <c r="F21" i="18"/>
  <c r="D45" i="14"/>
  <c r="D64" i="14"/>
  <c r="D63" i="14"/>
  <c r="F44" i="14"/>
  <c r="G44" i="14"/>
  <c r="F19" i="19"/>
  <c r="G19" i="19"/>
  <c r="D39" i="14"/>
  <c r="F38" i="14"/>
  <c r="G38" i="14"/>
  <c r="G39" i="14" l="1"/>
  <c r="F39" i="14"/>
  <c r="D22" i="19"/>
  <c r="G10" i="19"/>
  <c r="F10" i="19"/>
  <c r="F45" i="14"/>
  <c r="G45" i="14"/>
  <c r="D30" i="18"/>
  <c r="F28" i="18"/>
  <c r="G28" i="18"/>
  <c r="D55" i="14" l="1"/>
  <c r="F30" i="18"/>
  <c r="G30" i="18"/>
  <c r="D23" i="19"/>
  <c r="D21" i="19" s="1"/>
  <c r="G11" i="19"/>
  <c r="F11" i="19"/>
  <c r="F22" i="19"/>
  <c r="G22" i="19"/>
  <c r="F21" i="19" l="1"/>
  <c r="G21" i="19"/>
  <c r="D41" i="19"/>
  <c r="G69" i="18"/>
  <c r="F69" i="18"/>
  <c r="F23" i="19"/>
  <c r="G23" i="19"/>
  <c r="G55" i="14"/>
  <c r="F55" i="14"/>
  <c r="D57" i="14" l="1"/>
  <c r="D85" i="18"/>
  <c r="D86" i="18" s="1"/>
  <c r="F41" i="19"/>
  <c r="D52" i="14"/>
  <c r="G41" i="19"/>
  <c r="G57" i="14"/>
  <c r="F57" i="14"/>
  <c r="F86" i="18" l="1"/>
  <c r="G86" i="18"/>
  <c r="G52" i="14"/>
  <c r="F52" i="14"/>
  <c r="D59" i="14"/>
  <c r="F85" i="18"/>
  <c r="G85" i="18"/>
  <c r="G59" i="14" l="1"/>
  <c r="F59" i="14"/>
  <c r="G69" i="14" l="1"/>
  <c r="F69" i="14"/>
  <c r="C144" i="2" l="1"/>
  <c r="C145" i="2" s="1"/>
  <c r="C35" i="14"/>
  <c r="C129" i="2"/>
  <c r="C131" i="2" l="1"/>
  <c r="C37" i="14"/>
  <c r="C136" i="2" l="1"/>
  <c r="C38" i="14" s="1"/>
  <c r="C9" i="18"/>
  <c r="C21" i="18" s="1"/>
  <c r="C42" i="14"/>
  <c r="D13" i="11"/>
  <c r="D8" i="11"/>
  <c r="C39" i="14"/>
  <c r="C44" i="14" l="1"/>
  <c r="D10" i="11" l="1"/>
  <c r="C64" i="14" s="1"/>
  <c r="D9" i="11"/>
  <c r="C63" i="14" s="1"/>
  <c r="C45" i="14"/>
  <c r="C30" i="18"/>
  <c r="C85" i="18" s="1"/>
  <c r="C86" i="18" s="1"/>
  <c r="C55" i="14" l="1"/>
  <c r="C59" i="14"/>
  <c r="I53" i="10"/>
  <c r="O53" i="10" s="1"/>
  <c r="L53" i="10"/>
  <c r="J53" i="10"/>
  <c r="J54" i="10" s="1"/>
  <c r="G54" i="10"/>
  <c r="M53" i="10"/>
  <c r="M54" i="10" l="1"/>
  <c r="H55" i="10"/>
</calcChain>
</file>

<file path=xl/sharedStrings.xml><?xml version="1.0" encoding="utf-8"?>
<sst xmlns="http://schemas.openxmlformats.org/spreadsheetml/2006/main" count="748" uniqueCount="571">
  <si>
    <t>Код рядка</t>
  </si>
  <si>
    <t>капітальне будівництво</t>
  </si>
  <si>
    <t>придбання (виготовлення) основних засобів</t>
  </si>
  <si>
    <t>придбання (створення) нематеріальних активів</t>
  </si>
  <si>
    <t>Фінансовий результат від операційної діяльності</t>
  </si>
  <si>
    <t>Витрати на оплату праці</t>
  </si>
  <si>
    <t>Відрахування на соціальні заходи</t>
  </si>
  <si>
    <t>Амортизація</t>
  </si>
  <si>
    <t>за ЗКГНГ</t>
  </si>
  <si>
    <t>за СПОДУ</t>
  </si>
  <si>
    <t xml:space="preserve">за  КВЕД  </t>
  </si>
  <si>
    <t xml:space="preserve">Місцезнаходження  </t>
  </si>
  <si>
    <t xml:space="preserve">Телефон </t>
  </si>
  <si>
    <t xml:space="preserve">Прізвище та ініціали керівника  </t>
  </si>
  <si>
    <t xml:space="preserve">Підприємство  </t>
  </si>
  <si>
    <t xml:space="preserve">Організаційно-правова форма </t>
  </si>
  <si>
    <t xml:space="preserve">Вид економічної діяльності    </t>
  </si>
  <si>
    <t xml:space="preserve">Галузь     </t>
  </si>
  <si>
    <t xml:space="preserve">Код рядка </t>
  </si>
  <si>
    <t>Територія</t>
  </si>
  <si>
    <t>Форма власності</t>
  </si>
  <si>
    <t>витрати на страхові послуги</t>
  </si>
  <si>
    <t>витрати на аудиторські послуги</t>
  </si>
  <si>
    <t>Валовий прибуток (збиток)</t>
  </si>
  <si>
    <t xml:space="preserve">прибуток </t>
  </si>
  <si>
    <t>збиток</t>
  </si>
  <si>
    <t>Резервний фонд</t>
  </si>
  <si>
    <t>неустойки (штрафи, пені)</t>
  </si>
  <si>
    <t>витрати на паливо та енергію</t>
  </si>
  <si>
    <t>Інші операційні витрати</t>
  </si>
  <si>
    <t>придбання (виготовлення) інших необоротних матеріальних активів</t>
  </si>
  <si>
    <t>Факт минулого року</t>
  </si>
  <si>
    <t>Виручка від реалізації основних фондів</t>
  </si>
  <si>
    <t xml:space="preserve">Виручка від реалізації нематеріальних активів </t>
  </si>
  <si>
    <t>на початок періоду</t>
  </si>
  <si>
    <t>Чистий грошовий потік</t>
  </si>
  <si>
    <t>Забезпечення</t>
  </si>
  <si>
    <t>х</t>
  </si>
  <si>
    <t>витрати на службові відрядження</t>
  </si>
  <si>
    <t>витрати на зв’язок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</si>
  <si>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</si>
  <si>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</si>
  <si>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</si>
  <si>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</si>
  <si>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</si>
  <si>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</si>
  <si>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</si>
  <si>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</si>
  <si>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</si>
  <si>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</si>
  <si>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</si>
  <si>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поліпшення основних фондів</t>
  </si>
  <si>
    <t>відрахування до резерву сумнівних боргів</t>
  </si>
  <si>
    <t>№ з/п</t>
  </si>
  <si>
    <t xml:space="preserve">Надходження від продажу акцій та облігацій </t>
  </si>
  <si>
    <t xml:space="preserve">Придбання акцій та облігацій  </t>
  </si>
  <si>
    <t>на кінець періоду</t>
  </si>
  <si>
    <t>Залучення кредитних коштів</t>
  </si>
  <si>
    <t>Усього</t>
  </si>
  <si>
    <t>Відсоток</t>
  </si>
  <si>
    <t>Залишок нерозподіленого прибутку (непокритого збитку) на початок звітного періоду</t>
  </si>
  <si>
    <t>Залишок нерозподіленого прибутку (непокритого збитку) на кінець звітного періоду</t>
  </si>
  <si>
    <t>відрахування до недержавних пенсійних фондів</t>
  </si>
  <si>
    <t>витрати на консалтингові послуги</t>
  </si>
  <si>
    <t>амортизація основних засобів і нематеріальних активів</t>
  </si>
  <si>
    <t>витрати на електроенергію</t>
  </si>
  <si>
    <t xml:space="preserve">витрати на паливо </t>
  </si>
  <si>
    <t>консультаційні та інформаційні послуги</t>
  </si>
  <si>
    <t>Зобов'язання</t>
  </si>
  <si>
    <t xml:space="preserve">Сума, валюта за договорами </t>
  </si>
  <si>
    <t>Процентна ставка</t>
  </si>
  <si>
    <t>модернізація, модифікація (добудова, дообладнання, реконструкція) основних засобів</t>
  </si>
  <si>
    <t>Розвиток виробництва</t>
  </si>
  <si>
    <t>витрати на благодійну допомогу</t>
  </si>
  <si>
    <t xml:space="preserve">Вид кредитного продукту та цільове призначення </t>
  </si>
  <si>
    <t xml:space="preserve">      5. Інформація щодо отримання та повернення залучених коштів</t>
  </si>
  <si>
    <t>витрати на утримання основних фондів, інших необоротних активів загальногосподарського використання,  у тому числі:</t>
  </si>
  <si>
    <t>(посада)</t>
  </si>
  <si>
    <t>(підпис)</t>
  </si>
  <si>
    <t>витрати на рекламу</t>
  </si>
  <si>
    <t>Інші операційні витрати, усього, у тому числі:</t>
  </si>
  <si>
    <t>Капітальні інвестиції, усього,
у тому числі:</t>
  </si>
  <si>
    <t>податок на доходи фізичних осіб</t>
  </si>
  <si>
    <t xml:space="preserve">Єдиний внесок на загальнообов'язкове державне соціальне страхування                              </t>
  </si>
  <si>
    <t>акцизний податок</t>
  </si>
  <si>
    <t>Вид діяльності</t>
  </si>
  <si>
    <t>Заборгованість на останню дату</t>
  </si>
  <si>
    <t>Бюджетне фінансування</t>
  </si>
  <si>
    <t>інші платежі (розшифрувати)</t>
  </si>
  <si>
    <t>Дата видачі / погашення (графік)</t>
  </si>
  <si>
    <t>кредити</t>
  </si>
  <si>
    <t>Отримання коштів  за довгостроковими зобов'язаннями, у тому числі:</t>
  </si>
  <si>
    <t>Повернення коштів за короткостроковими зобов'язаннями, у тому числі:</t>
  </si>
  <si>
    <t>Отримання коштів за короткостроковими зобов'язаннями, у тому числі:</t>
  </si>
  <si>
    <t>Повернення коштів  за довгостроковими зобов'язаннями, у тому числі:</t>
  </si>
  <si>
    <t xml:space="preserve">позики </t>
  </si>
  <si>
    <t>Фінансовий результат до оподаткування</t>
  </si>
  <si>
    <t>Чистий  фінансовий результат, у тому числі:</t>
  </si>
  <si>
    <t>І. Формування фінансових результатів</t>
  </si>
  <si>
    <t>плата за користування надрами</t>
  </si>
  <si>
    <t>Оптимальне значення</t>
  </si>
  <si>
    <t>&gt; 0</t>
  </si>
  <si>
    <t xml:space="preserve">         (ініціали, прізвище)    </t>
  </si>
  <si>
    <t>у тому числі:</t>
  </si>
  <si>
    <t>рентна плата за транспортування</t>
  </si>
  <si>
    <t>Середньооблікова кількість штатних працівників</t>
  </si>
  <si>
    <t>витрати, пов'язані з використанням власних службових автомобілів</t>
  </si>
  <si>
    <t>Чистий дохід від реалізації продукції (товарів, робіт, послуг) (розшифрувати)</t>
  </si>
  <si>
    <t>Дохід від участі в капіталі (розшифрувати)</t>
  </si>
  <si>
    <t>Інші фінансові доходи (розшифрувати)</t>
  </si>
  <si>
    <t>інші адміністративні витрати (розшифрувати)</t>
  </si>
  <si>
    <t>Втрати від участі в капіталі (розшифрувати)</t>
  </si>
  <si>
    <t>Інші витрати (розшифрувати)</t>
  </si>
  <si>
    <t>Інші фонди (розшифрувати)</t>
  </si>
  <si>
    <t>Інші цілі (розшифрувати)</t>
  </si>
  <si>
    <t>місцеві податки та збори (розшифрувати)</t>
  </si>
  <si>
    <t>Цільове фінансування  (розшифрувати)</t>
  </si>
  <si>
    <t xml:space="preserve">Інші надходження (розшифрувати) </t>
  </si>
  <si>
    <t xml:space="preserve">Придбання (створення) основних засобів (розшифрувати) </t>
  </si>
  <si>
    <t xml:space="preserve">Капітальне будівництво (розшифрувати) </t>
  </si>
  <si>
    <t xml:space="preserve">Придбання (створення) нематеріальних активів (розшифрувати) </t>
  </si>
  <si>
    <t>облігації</t>
  </si>
  <si>
    <t>інші витрати (розшифрувати)</t>
  </si>
  <si>
    <t>інші витрати на збут (розшифрувати)</t>
  </si>
  <si>
    <t>Собівартість реалізованої продукції (товарів, робіт, послуг) (розшифрувати)</t>
  </si>
  <si>
    <t>Найменування  банку</t>
  </si>
  <si>
    <t>Інші джерела (розшифрувати)</t>
  </si>
  <si>
    <t>за КОАТУУ</t>
  </si>
  <si>
    <t>за КОПФГ</t>
  </si>
  <si>
    <t xml:space="preserve">за ЄДРПОУ </t>
  </si>
  <si>
    <t>у тому числі за основними видами діяльності за КВЕД</t>
  </si>
  <si>
    <t>погашення реструктуризованих та відстрочених сум, що підлягають сплаті в поточному році до бюджетів та державних цільових фондів</t>
  </si>
  <si>
    <t>(найменування підприємства)</t>
  </si>
  <si>
    <t>Середньооблікова чисельність осіб, у тому числі:</t>
  </si>
  <si>
    <t>План минулого року</t>
  </si>
  <si>
    <t>Код за ЄДРПОУ</t>
  </si>
  <si>
    <t>Витрати на збут</t>
  </si>
  <si>
    <t>Витрати (дохід) з податку на прибуток</t>
  </si>
  <si>
    <t xml:space="preserve">Прибуток (збиток) від  припиненої діяльності після оподаткування </t>
  </si>
  <si>
    <t>Адміністративні витрати</t>
  </si>
  <si>
    <t>Інші операційні доходи/витрати</t>
  </si>
  <si>
    <t>EBITDA</t>
  </si>
  <si>
    <t>Доходи/витрати від фінансової та інвестиційної діяльності</t>
  </si>
  <si>
    <t>Грошові кошти на початок періоду</t>
  </si>
  <si>
    <t>Чистий рух грошових коштів від операційної діяльності</t>
  </si>
  <si>
    <t>Чистий рух грошових коштів від фінансової діяльності</t>
  </si>
  <si>
    <t>Грошові кошти на кінець періоду</t>
  </si>
  <si>
    <t>Необоротні активи</t>
  </si>
  <si>
    <t>Оборотні активи</t>
  </si>
  <si>
    <t>Власний капітал</t>
  </si>
  <si>
    <t>Розподіл чистого прибутку</t>
  </si>
  <si>
    <t xml:space="preserve">Нараховані до сплати обов'язкові платежі підприємства до бюджету та єдиний внесок на загальнообов'язкове державне соціальне страхування </t>
  </si>
  <si>
    <t>ІІІ. Рух грошових коштів</t>
  </si>
  <si>
    <t>Податок на прибуток підприємств</t>
  </si>
  <si>
    <t>IІ. Розрахунки з бюджетом</t>
  </si>
  <si>
    <t>Чистий рух грошових коштів операційної діяльності</t>
  </si>
  <si>
    <t>І. Рух коштів у результаті операційної діяльності</t>
  </si>
  <si>
    <t>II. Рух коштів у результаті інвестиційної діяльності</t>
  </si>
  <si>
    <t>Чистий рух коштів від інвестиційної діяльності </t>
  </si>
  <si>
    <t>III. Рух коштів у результаті фінансової діяльності</t>
  </si>
  <si>
    <t>Надходження від отриманих:</t>
  </si>
  <si>
    <t>відсотків </t>
  </si>
  <si>
    <t>дивідендів </t>
  </si>
  <si>
    <t>Надходження від деривативів</t>
  </si>
  <si>
    <t>Власного капіталу </t>
  </si>
  <si>
    <t>Розрахунок показника EBITDA</t>
  </si>
  <si>
    <t>Коефіцієнт рентабельності власного капіталу</t>
  </si>
  <si>
    <t xml:space="preserve">Вплив зміни валютних курсів на залишок коштів </t>
  </si>
  <si>
    <t>Довгострокові зобов'язання і забезпечення</t>
  </si>
  <si>
    <t>Поточні зобов'язання і забезпечення</t>
  </si>
  <si>
    <t>Коефіцієнт рентабельності активів</t>
  </si>
  <si>
    <t>погашення податкового боргу, у тому числі:</t>
  </si>
  <si>
    <t>Собівартість реалізованої продукції (товарів, робіт, послуг)</t>
  </si>
  <si>
    <t>&gt; 1</t>
  </si>
  <si>
    <t xml:space="preserve">Прибуток (збиток) від звичайної діяльності до оподаткування </t>
  </si>
  <si>
    <t>Коригування на:</t>
  </si>
  <si>
    <t>Грошові кошти від операційної діяльності</t>
  </si>
  <si>
    <t>Сплачений податок на прибуток</t>
  </si>
  <si>
    <t>амортизацію необоротних активів</t>
  </si>
  <si>
    <t xml:space="preserve">збільшення (зменшення) забезпечень  </t>
  </si>
  <si>
    <t xml:space="preserve">збиток (прибуток) від нереалізованих курсових різниць </t>
  </si>
  <si>
    <t>збиток (прибуток) від неопераційної діяльності та інших негрошових операцій (розшифрувати)</t>
  </si>
  <si>
    <t>Зменшення (збільшення) оборотних активів (розшифрувати)</t>
  </si>
  <si>
    <t>Збільшення (зменшення) поточних зобов’язань (розшифрувати)</t>
  </si>
  <si>
    <t>транспортні витрати</t>
  </si>
  <si>
    <t>витрати на зберігання та упаковку</t>
  </si>
  <si>
    <t>Коефіцієнти рентабельності та прибутковості</t>
  </si>
  <si>
    <t>Аналіз капітальних інвестицій</t>
  </si>
  <si>
    <t>Стандарти звітності П(с)БОУ</t>
  </si>
  <si>
    <t>Стандарти звітності МСФЗ</t>
  </si>
  <si>
    <t>Перенесено з додаткового капіталу</t>
  </si>
  <si>
    <t>Марка</t>
  </si>
  <si>
    <t>Рік придбання</t>
  </si>
  <si>
    <t>Витрати, усього</t>
  </si>
  <si>
    <t>матеріальні витрати</t>
  </si>
  <si>
    <t>оплата праці</t>
  </si>
  <si>
    <t>амортизація</t>
  </si>
  <si>
    <t>інші витрати</t>
  </si>
  <si>
    <t>Договір</t>
  </si>
  <si>
    <t>Дата початку оренди</t>
  </si>
  <si>
    <t>Сума орендної плати</t>
  </si>
  <si>
    <t>Основні фінансові показники</t>
  </si>
  <si>
    <t>Чистий дохід від реалізації продукції (товарів, робіт, послуг)</t>
  </si>
  <si>
    <t>Відрахування частини чистого прибутку, усього, у тому числі:</t>
  </si>
  <si>
    <t>витрати на оренду службових автомобілів</t>
  </si>
  <si>
    <t>№</t>
  </si>
  <si>
    <t>Загальна кошторисна вартість</t>
  </si>
  <si>
    <t>Первісна балансова вартість введених потужностей на початок планового року</t>
  </si>
  <si>
    <t>Капітальні інвестиції</t>
  </si>
  <si>
    <t>IV. Капітальні інвестиції</t>
  </si>
  <si>
    <t>VI. Звіт про фінансовий стан</t>
  </si>
  <si>
    <t>V. Коефіцієнтний аналіз</t>
  </si>
  <si>
    <t>8. Джерела капітальних інвестицій</t>
  </si>
  <si>
    <t>Інші операційні доходи (розшифрувати), у тому числі:</t>
  </si>
  <si>
    <t>курсові різниці</t>
  </si>
  <si>
    <t>Інші доходи (розшифрувати), у тому числі:</t>
  </si>
  <si>
    <t>Інші витрати (розшифрувати), у тому числі:</t>
  </si>
  <si>
    <t>2145/1</t>
  </si>
  <si>
    <t>2145/2</t>
  </si>
  <si>
    <t>4010</t>
  </si>
  <si>
    <t>Таблиця 1</t>
  </si>
  <si>
    <t>Таблиця 2</t>
  </si>
  <si>
    <t>Таблиця 3</t>
  </si>
  <si>
    <t>Адміністративні витрати, у тому числі:</t>
  </si>
  <si>
    <t>Витрати на збут, у тому числі:</t>
  </si>
  <si>
    <t>Рентабельність EBITDA</t>
  </si>
  <si>
    <t>Чистий  фінансовий результат</t>
  </si>
  <si>
    <t>Коефіцієнт рентабельності діяльності</t>
  </si>
  <si>
    <t>Коефіцієнт фінансової стійкості</t>
  </si>
  <si>
    <t>Інші доходи/витрати</t>
  </si>
  <si>
    <t>Чистий рух грошових коштів від інвестиційної діяльності</t>
  </si>
  <si>
    <t>Елементи операційних витрат</t>
  </si>
  <si>
    <t>тис. гривень (без ПДВ)</t>
  </si>
  <si>
    <t>Факт</t>
  </si>
  <si>
    <t>Додаток 3</t>
  </si>
  <si>
    <t>ЗВІТ</t>
  </si>
  <si>
    <t>Продовження додатка 3</t>
  </si>
  <si>
    <t>План</t>
  </si>
  <si>
    <t xml:space="preserve">чистий дохід  від реалізації продукції (товарів, робіт, послуг) </t>
  </si>
  <si>
    <t xml:space="preserve">кількість продукції/     наданих послуг </t>
  </si>
  <si>
    <t>Заборгованість за кредитами на початок звітного періоду</t>
  </si>
  <si>
    <t>Отримано залучених коштів за звітний період</t>
  </si>
  <si>
    <t>план</t>
  </si>
  <si>
    <t>факт</t>
  </si>
  <si>
    <t>Повернено залучених коштів  за звітний період</t>
  </si>
  <si>
    <t>Заборгованість на кінець звітного періоду</t>
  </si>
  <si>
    <t xml:space="preserve">      3. Інформація про бізнес підприємства (код рядка 1000 фінансового плану)</t>
  </si>
  <si>
    <t>6. Витрати, пов'язані з використанням власних службових автомобілів (у складі адміністративних витрат, рядок 1041)</t>
  </si>
  <si>
    <t>7. Витрати на оренду службових автомобілів (у складі адміністративних витрат, рядок 1042)</t>
  </si>
  <si>
    <t>Найменування об’єкта</t>
  </si>
  <si>
    <t>9. Капітальне будівництво (рядок 4010 таблиці 4)</t>
  </si>
  <si>
    <t>Прибуток (збиток) від операційної діяльності до змін в оборотному капіталі</t>
  </si>
  <si>
    <t>Інші поточні податки, збори, обов'язкові платежі до державного та місцевих бюджетів, у тому числі:</t>
  </si>
  <si>
    <t>Сплата інших податків, зборів, обов'язкових платежів до державного та місцевих бюджетів</t>
  </si>
  <si>
    <t xml:space="preserve">          </t>
  </si>
  <si>
    <t>Коди</t>
  </si>
  <si>
    <t>Таблиця 6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</si>
  <si>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</si>
  <si>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інші операційні витрати (розшифрувати)</t>
  </si>
  <si>
    <t>Неконтрольована частка</t>
  </si>
  <si>
    <t xml:space="preserve">план </t>
  </si>
  <si>
    <t>Валовий прибуток/збиток</t>
  </si>
  <si>
    <t>Усього виплат на користь держави</t>
  </si>
  <si>
    <t>Усього активи</t>
  </si>
  <si>
    <t>Усього зобов'язання і забезпечення</t>
  </si>
  <si>
    <t>у тому числі грошові кошти та їх еквіваленти</t>
  </si>
  <si>
    <t>у тому числі державні гранти і субсидії</t>
  </si>
  <si>
    <t>у тому числі фінансові запозичення</t>
  </si>
  <si>
    <t>Доходи і витрати (деталізація)</t>
  </si>
  <si>
    <t xml:space="preserve">пояснення та обґрунтування відхилення від запланованого рівня доходів/витрат                               </t>
  </si>
  <si>
    <t>відхилення,  +/–</t>
  </si>
  <si>
    <t>виконання, %</t>
  </si>
  <si>
    <t>Доходи і витрати (узагальнені показники)</t>
  </si>
  <si>
    <t>Інші операційні доходи/витрати
(рядок 1030 - рядок 1080)</t>
  </si>
  <si>
    <t>Доходи/витрати від фінансової та інвестиційної діяльності
(рядок 1110 + рядок 1120 - рядок 1130 - рядок 1140)</t>
  </si>
  <si>
    <t>Інші доходи/витрати
(рядок 1150 - рядок 1160)</t>
  </si>
  <si>
    <t>Фінансовий результат від операційної діяльності, рядок 1100</t>
  </si>
  <si>
    <t>плюс амортизація, рядок 1530</t>
  </si>
  <si>
    <t>мінус операційні доходи від курсових різниць, рядок 1031</t>
  </si>
  <si>
    <t>плюс операційні витрати від курсових різниць, рядок 1084</t>
  </si>
  <si>
    <t>Матеріальні витрати, у тому числі:</t>
  </si>
  <si>
    <t>витрати на сировину та основні матеріали</t>
  </si>
  <si>
    <t>Найменування показника</t>
  </si>
  <si>
    <t xml:space="preserve">Надходження </t>
  </si>
  <si>
    <t>Витрати</t>
  </si>
  <si>
    <t xml:space="preserve">вплив зміни валютних курсів на залишок коштів </t>
  </si>
  <si>
    <t>Продовження  таблиці 6</t>
  </si>
  <si>
    <t>Відхилення,  +/–</t>
  </si>
  <si>
    <t>Виконання, %</t>
  </si>
  <si>
    <t>керівники</t>
  </si>
  <si>
    <t>професіонали</t>
  </si>
  <si>
    <t>фахівці</t>
  </si>
  <si>
    <t>технічні службовці</t>
  </si>
  <si>
    <t>робітники</t>
  </si>
  <si>
    <t>інші категорії</t>
  </si>
  <si>
    <t>адміністративно-управлінський персонал</t>
  </si>
  <si>
    <t>директор</t>
  </si>
  <si>
    <t>працівники</t>
  </si>
  <si>
    <t>Середньомісячна заробітна плата одного працівника, гривень</t>
  </si>
  <si>
    <t>Середньомісячний дохід одного працівника, гривень</t>
  </si>
  <si>
    <t>У тому числі за їх видами</t>
  </si>
  <si>
    <t>освоєння капітальних вкладень</t>
  </si>
  <si>
    <t>власні кошти</t>
  </si>
  <si>
    <t>кредитні кошти</t>
  </si>
  <si>
    <t>фінансування капітальних інвестицій (оплата грошовими коштами), усього</t>
  </si>
  <si>
    <t xml:space="preserve">у тому числі </t>
  </si>
  <si>
    <t>Власні кошти (розшифрувати)</t>
  </si>
  <si>
    <t xml:space="preserve">Довгострокові зобов'язання, усього </t>
  </si>
  <si>
    <t>Короткострокові зобов'язання, усього</t>
  </si>
  <si>
    <t>Інші фінансові зобов'язання, усього</t>
  </si>
  <si>
    <t>Зміна ціни одиниці  (вартості продукції/     наданих послуг)</t>
  </si>
  <si>
    <t>ціна одиниці     (вартість  продукції/     наданих послуг), гривень</t>
  </si>
  <si>
    <t>кількість продукції/             наданих послуг, одиниця виміру</t>
  </si>
  <si>
    <t>чистий дохід  від реалізації продукції (товарів, робіт, послуг),     тис. гривень</t>
  </si>
  <si>
    <t>2120/2130</t>
  </si>
  <si>
    <t>Примітки</t>
  </si>
  <si>
    <t>Плановий рік, усього</t>
  </si>
  <si>
    <t>План звітного періоду</t>
  </si>
  <si>
    <t>Факт звітного періоду</t>
  </si>
  <si>
    <t>мінус/плюс значні нетипові операційні доходи/витрати (розшифрувати)</t>
  </si>
  <si>
    <t>Коефіцієнт фінансової стійкості
(власний капітал, рядок 6090 / довгострокові зобов'язання, рядок 6040 + поточні зобов'язання, рядок 6050)</t>
  </si>
  <si>
    <t>Коефіцієнт поточної ліквідності (покриття)
(оборотні активи, рядок 6010 / поточні зобов'язання, рядок 6050)</t>
  </si>
  <si>
    <t>Коефіцієнт відношення капітальних інвестицій до амортизації
(рядок 4000 / рядок 1530)</t>
  </si>
  <si>
    <t>Ковенанти/обмежувальні коефіцієнти</t>
  </si>
  <si>
    <t>Коефіцієнт відношення боргу до EBITDA
(довгострокові зобов'язання, рядок 6040 + поточні зобов'язання,                                                рядок 6050 / EBITDA, рядок 1410)</t>
  </si>
  <si>
    <t>Документ, яким затверджений титул будови, із зазначенням органу, який його погодив</t>
  </si>
  <si>
    <t>Податок на додану вартість, нарахований до сплати до державного бюджету за підсумками звітного періоду</t>
  </si>
  <si>
    <t>Податок на додану вартість, що підлягає відшкодуванню з державного бюджету за підсумками звітного періоду</t>
  </si>
  <si>
    <t>Збільшення</t>
  </si>
  <si>
    <t>Характеризує ефективність використання активів підприємства</t>
  </si>
  <si>
    <t>Характеризує ефективність господарської діяльності підприємства</t>
  </si>
  <si>
    <t>Характеризує співвідношення власних та позикових коштів і залежність підприємства від зовнішніх фінансових джерел</t>
  </si>
  <si>
    <t>Характеризує інвестиційну політику підприємства</t>
  </si>
  <si>
    <t>Показує достатність ресурсів підприємства, які може бути використано для погашення його поточних зобов'язань.  Нормативним значенням для цього показника є &gt; 1–1,5</t>
  </si>
  <si>
    <t>Мета використання</t>
  </si>
  <si>
    <t xml:space="preserve">У разі збільшення витрат  на оплату праці в плановому році порівняно до запланованих та порівняно з попереднім роком обов'язково надаються відповідні обґрунтування. </t>
  </si>
  <si>
    <t>Податок на додану вартість нарахований/до відшкодування                            (з мінусом)</t>
  </si>
  <si>
    <t>Валова рентабельність
(валовий прибуток, рядок 1020 / чистий дохід від реалізації продукції (товарів, робіт, послуг), рядок 1000, %)</t>
  </si>
  <si>
    <t>Рентабельність EBITDA
(EBITDA, рядок 1410 / чистий дохід від реалізації продукції (товарів, робіт, послуг), рядок 1000, %)</t>
  </si>
  <si>
    <t>Коефіцієнт зносу основних засобів 
(сума зносу / первісна вартість основних засобів) 
(форма 1, рядок 1012 / форма 1, рядок 1011)</t>
  </si>
  <si>
    <t>Інші коефіцієнти/ковенанти, якщо такі передбачені умовами кредитних договорів, із зазначенням банку, валюти та суми зобов'язання на дату останньої звітності, строку погашення. У графі "Оптимальне значення" вказати граничне значення коефіцієнта</t>
  </si>
  <si>
    <t>Звітний період</t>
  </si>
  <si>
    <t>(І квартал, півріччя, 9 місяців, рік)</t>
  </si>
  <si>
    <t>Минулий рік (аналогічний період)</t>
  </si>
  <si>
    <t>Відрахування частини чистого прибутку</t>
  </si>
  <si>
    <t xml:space="preserve">Усього виплат </t>
  </si>
  <si>
    <t>внесок 15 % чистого прибутку до загального фонду міського бюджету</t>
  </si>
  <si>
    <t>внесок 60 % частини прибутку, який залишається в розпорядженні підприємства після оподаткування відповідно до чинного законодавства та сплати 15 % чистого прибутку до загального фонду міського бюджету</t>
  </si>
  <si>
    <t>Коефіцієнт відношення капітальних інвестицій до чистого доходу (виручки) від реалізації продукції (товарів, робіт, послуг) (рядок 4000 / рядок 1000)</t>
  </si>
  <si>
    <t>Фонд оплати праці, тис. гривень,  у тому числі:</t>
  </si>
  <si>
    <t xml:space="preserve">      2. Перелік відокремлених підрозділів підприємства, які включені до консолідованого (зведеного) фінансового плану</t>
  </si>
  <si>
    <t>Найменування відокремленого підрозділу підприємства</t>
  </si>
  <si>
    <t xml:space="preserve"> </t>
  </si>
  <si>
    <t>Таблиця І. Формування фінансових результатів</t>
  </si>
  <si>
    <t>Таблиця IІ. Розрахунки з бюджетом</t>
  </si>
  <si>
    <t>Таблиця ІІІ. Рух грошових коштів</t>
  </si>
  <si>
    <t xml:space="preserve">Таблиця IV. Капітальні інвестиції </t>
  </si>
  <si>
    <t>Таблиця V. Коефіцієнтний аналіз</t>
  </si>
  <si>
    <t xml:space="preserve">      1. Дані про підприємство, персонал та фонд оплати праці</t>
  </si>
  <si>
    <t>ПРО ВИКОНАННЯ ФІНАНСОВОГО ПЛАНУ ПІДПРИЄМСТВА</t>
  </si>
  <si>
    <t>відхи-
лення,  +/–</t>
  </si>
  <si>
    <t>Минулий рік (анало-
гічний період)</t>
  </si>
  <si>
    <t>Усього доходів (рядок 1000 + рядок 1030 + рядок 1110 + рядок 1120 + рядок 1150)</t>
  </si>
  <si>
    <t>Усього витрат (рядок 1010 + рядок 1040 + рядок 1070 + рядок 1080 + рядок 1130 + рядок 1140 + рядок 1160 + рядок 1180 + рядок 1190)</t>
  </si>
  <si>
    <t xml:space="preserve">                                               (посада)</t>
  </si>
  <si>
    <t>Коефіцієнт рентабельності активів
(чистий фінансовий результат, рядок 1200 / вартість активів, рядок 6030)</t>
  </si>
  <si>
    <t>x</t>
  </si>
  <si>
    <t xml:space="preserve">Комунальне підприємство </t>
  </si>
  <si>
    <t>м.Дніпро</t>
  </si>
  <si>
    <t>міські районні у містах ради та їх виконавчі комітети</t>
  </si>
  <si>
    <t>організування поховань і надання суміжних послуг</t>
  </si>
  <si>
    <t>Одиниця виміру, тис. гривень без десяткових знаков</t>
  </si>
  <si>
    <t>комунальна</t>
  </si>
  <si>
    <t>пр.О Поля 18 прим.119 м.Дніпро</t>
  </si>
  <si>
    <t>96.03</t>
  </si>
  <si>
    <t>1018/1</t>
  </si>
  <si>
    <t>1018/2</t>
  </si>
  <si>
    <t>1018/3</t>
  </si>
  <si>
    <t>1018/4</t>
  </si>
  <si>
    <t>1018/5</t>
  </si>
  <si>
    <t>1018/6</t>
  </si>
  <si>
    <t>оренда приміщення</t>
  </si>
  <si>
    <t>запчастини</t>
  </si>
  <si>
    <t>резерв відпусток</t>
  </si>
  <si>
    <t>1018/7</t>
  </si>
  <si>
    <t>витрати на придбання ритуальної атрибутики</t>
  </si>
  <si>
    <t>1018/8</t>
  </si>
  <si>
    <t>1062/1</t>
  </si>
  <si>
    <t>1062/2</t>
  </si>
  <si>
    <t>касове обслуговування</t>
  </si>
  <si>
    <t>1062/3</t>
  </si>
  <si>
    <t>1062/4</t>
  </si>
  <si>
    <t>охорона приміщення</t>
  </si>
  <si>
    <t>1062/5</t>
  </si>
  <si>
    <t>1062/6</t>
  </si>
  <si>
    <t>передплата за періодичні видання</t>
  </si>
  <si>
    <t>1062/7</t>
  </si>
  <si>
    <t>1076/1</t>
  </si>
  <si>
    <t>1076/2</t>
  </si>
  <si>
    <t>оренда</t>
  </si>
  <si>
    <t>1076/3</t>
  </si>
  <si>
    <t>1076/4</t>
  </si>
  <si>
    <t>1076/5</t>
  </si>
  <si>
    <t>експлуатаційні витрати, в тому числі</t>
  </si>
  <si>
    <t>1076/6</t>
  </si>
  <si>
    <t>послуги зв"язку</t>
  </si>
  <si>
    <t>виплати по лікарн.листках, мат допомога</t>
  </si>
  <si>
    <t>1085/1</t>
  </si>
  <si>
    <t>1085/2</t>
  </si>
  <si>
    <t>1085/3</t>
  </si>
  <si>
    <t>1085/4</t>
  </si>
  <si>
    <t>штрафи, пені</t>
  </si>
  <si>
    <t>1085/5</t>
  </si>
  <si>
    <t>1085/6</t>
  </si>
  <si>
    <t>1120/1</t>
  </si>
  <si>
    <t>1150/1</t>
  </si>
  <si>
    <t>1160/1</t>
  </si>
  <si>
    <t>1160/2</t>
  </si>
  <si>
    <t>Профвнески</t>
  </si>
  <si>
    <t>податок на землю</t>
  </si>
  <si>
    <t>2416/1</t>
  </si>
  <si>
    <t>2147/1</t>
  </si>
  <si>
    <t>військовий збір</t>
  </si>
  <si>
    <t>3030/1</t>
  </si>
  <si>
    <t>3030/2</t>
  </si>
  <si>
    <t>3030/3</t>
  </si>
  <si>
    <t>3050/1</t>
  </si>
  <si>
    <t>коригування на динаміку поточної кредиторської заборгованості, доходів майбутніх періодів, інших поточних зобов'язань</t>
  </si>
  <si>
    <t>3060/1</t>
  </si>
  <si>
    <t xml:space="preserve">придбання (виготовлення) інших необоротних матеріальних активів </t>
  </si>
  <si>
    <t>3310/1</t>
  </si>
  <si>
    <t>3480/1</t>
  </si>
  <si>
    <t>Послуги з утримання міських кладовищ</t>
  </si>
  <si>
    <t>Послуги щодо поховання одиноких, безрідних громадян , осіб</t>
  </si>
  <si>
    <t>1030/1</t>
  </si>
  <si>
    <t>Розрахунки по нерухомості</t>
  </si>
  <si>
    <t>2147/2</t>
  </si>
  <si>
    <t>1150/2</t>
  </si>
  <si>
    <t>Сума доходу в частин ПДВ (за рахунок цільового фінансування)</t>
  </si>
  <si>
    <t>2060/1</t>
  </si>
  <si>
    <t>У звязку з ліквідацією підприємства, відсутністю договорів на утримання кладовищ та поховання безрідних</t>
  </si>
  <si>
    <t>комунальні витрати</t>
  </si>
  <si>
    <t>1062/8</t>
  </si>
  <si>
    <t>3470/1</t>
  </si>
  <si>
    <t>1150/3</t>
  </si>
  <si>
    <t>Фінансові витрати (проценти банку)</t>
  </si>
  <si>
    <t>Амортизація від безоплатно отриманих ОЗ</t>
  </si>
  <si>
    <t>Комунальне підприємство "Міьска ритуальна служба" Дніпровської міської ради</t>
  </si>
  <si>
    <t>Організація поховань і  надання суміжних послуг</t>
  </si>
  <si>
    <t>1000/1</t>
  </si>
  <si>
    <t>заходи з охорони праці татехніки безпеки</t>
  </si>
  <si>
    <t>інформаційно-технічне обслуговування</t>
  </si>
  <si>
    <t>прямі виробничі послуги на страхування</t>
  </si>
  <si>
    <t>Дохід від амортизації</t>
  </si>
  <si>
    <t>внесок 15% чистого прибутку до загального  фонду міського  бюджету</t>
  </si>
  <si>
    <t>внесок 60 % частини прибутку, який залишається в розпорядженні підприємства після оподаткування відповідно до чинного законодавства та сплати 15 % чистого прибутку до загального фонду міського бюджету</t>
  </si>
  <si>
    <t>1062/9</t>
  </si>
  <si>
    <t>Податок на землю</t>
  </si>
  <si>
    <t>добровiльне фiнансування заходiв з благоустрою кладовищ</t>
  </si>
  <si>
    <t>1150/4</t>
  </si>
  <si>
    <t>відсотки отримані по рахунку</t>
  </si>
  <si>
    <t>Витрати на оплату праці, тис. гривень, у тому числі:</t>
  </si>
  <si>
    <t>надходження до дадаткового капіталу право використання земельною ділянкою</t>
  </si>
  <si>
    <t>3010/1</t>
  </si>
  <si>
    <t>Чистий рух коштів від фінансової діяльності </t>
  </si>
  <si>
    <t>Грошові кошти</t>
  </si>
  <si>
    <t>3280/1</t>
  </si>
  <si>
    <t xml:space="preserve">Капітальне будівництво (розшифровка об'єктів табл.9 Капітальне будівництво) </t>
  </si>
  <si>
    <t>3480/2</t>
  </si>
  <si>
    <t>надходження до дадаткового капіталу амортизація від безоплатно отриманих основних фондів</t>
  </si>
  <si>
    <t>3030/5</t>
  </si>
  <si>
    <t>Придбання основних фондів (створення) (розшифровка а табл.4)</t>
  </si>
  <si>
    <t>до Порядку складання, затвердження та контролю виконання фінансових планів підприємств комунальної власності територіальної громади міста Дніпро</t>
  </si>
  <si>
    <t>ЄСВ на лікарняні</t>
  </si>
  <si>
    <t>ТО РРО</t>
  </si>
  <si>
    <t>внески до статутного фонду  на заробітну плату, придбання матеріалів, та інш.</t>
  </si>
  <si>
    <t>Усього на рік</t>
  </si>
  <si>
    <t>у тому числі за кварталами</t>
  </si>
  <si>
    <t>І квартал</t>
  </si>
  <si>
    <t>півріччя</t>
  </si>
  <si>
    <t>9 місяців</t>
  </si>
  <si>
    <t>рік</t>
  </si>
  <si>
    <t xml:space="preserve">Найменування об’єктів </t>
  </si>
  <si>
    <t>Рік початку                і закінчення будівництва</t>
  </si>
  <si>
    <t>Незавершене будівництво на початок планового року</t>
  </si>
  <si>
    <t>Плановий рік</t>
  </si>
  <si>
    <t>Інформація щодо проектно-кошторисної документації (стан розроблення, затвердження,                                     у разі затвердження зазначити орган, яким затверджено, та відповідний документ)</t>
  </si>
  <si>
    <t>інші джерела (кошти міського бюджету)</t>
  </si>
  <si>
    <t>1018/9</t>
  </si>
  <si>
    <t>1018/10</t>
  </si>
  <si>
    <t>реєстрація, переєдстрація автомобілів</t>
  </si>
  <si>
    <t>3030/4</t>
  </si>
  <si>
    <t>Ритуальні послуги</t>
  </si>
  <si>
    <t>сервісне обслуговування, ремонт оргтехніки, кліматичної техніки, та інш.</t>
  </si>
  <si>
    <t>Витрати на пожежну безпеку</t>
  </si>
  <si>
    <t>експлуатаційні витрати</t>
  </si>
  <si>
    <t>Директор</t>
  </si>
  <si>
    <t>цільове фінансування на виплату заробітної плати, придбання ритуальної атрибутики</t>
  </si>
  <si>
    <t>бензопила</t>
  </si>
  <si>
    <t>зарядно-пусковий прилад</t>
  </si>
  <si>
    <t>зварювальний напівавтомат</t>
  </si>
  <si>
    <t>свердлильний верстат</t>
  </si>
  <si>
    <t>точильний верстат</t>
  </si>
  <si>
    <t>прес гідравлічний</t>
  </si>
  <si>
    <t>відхилення +/-</t>
  </si>
  <si>
    <t>виконання %</t>
  </si>
  <si>
    <t xml:space="preserve">Реалізація ритуальної атрибутики </t>
  </si>
  <si>
    <t>1018/11</t>
  </si>
  <si>
    <t>копання могил</t>
  </si>
  <si>
    <t>придбання послуг стороних організацій по утриманню кладовищ: вивіз/утилізація сміття, біотуалети, вода, комунальні послуги</t>
  </si>
  <si>
    <t>водопостачання, дератизація, та інш</t>
  </si>
  <si>
    <t>Витрати на канцтовари, матеріали</t>
  </si>
  <si>
    <t>1076/7</t>
  </si>
  <si>
    <t>ритуал.атрибутика для поховання загиблих військових</t>
  </si>
  <si>
    <t>бетонні комірки</t>
  </si>
  <si>
    <t>оргтехніка</t>
  </si>
  <si>
    <t>лічильник води, мишка</t>
  </si>
  <si>
    <t>запаси</t>
  </si>
  <si>
    <t>інші оборотні активи</t>
  </si>
  <si>
    <t>3050/2</t>
  </si>
  <si>
    <t>3050/3</t>
  </si>
  <si>
    <t>Рік 2023</t>
  </si>
  <si>
    <t>план 2022</t>
  </si>
  <si>
    <t>факт 2022</t>
  </si>
  <si>
    <t>цільове фінансування  у розмірі амортизації</t>
  </si>
  <si>
    <t>безоплатно отримані основні засоби</t>
  </si>
  <si>
    <t>коригування суми амортизації</t>
  </si>
  <si>
    <t>коригування суми нерозподіленого прибутку/непокритого збитку</t>
  </si>
  <si>
    <t>списані основні засоби</t>
  </si>
  <si>
    <t>дебіторська заборгованість</t>
  </si>
  <si>
    <t>3570/1</t>
  </si>
  <si>
    <t>забезпечення резерва відпустки, цільове фінансування</t>
  </si>
  <si>
    <t>офісні меблі</t>
  </si>
  <si>
    <t>1076/7/1</t>
  </si>
  <si>
    <t>1076/7/2</t>
  </si>
  <si>
    <t>1076/7/3</t>
  </si>
  <si>
    <t>1076/7/4</t>
  </si>
  <si>
    <t>1076/7/5</t>
  </si>
  <si>
    <t>1076/7/6</t>
  </si>
  <si>
    <t>1076/7/7</t>
  </si>
  <si>
    <t xml:space="preserve">Придбання основних фондів </t>
  </si>
  <si>
    <t>Коефіцієнт рентабельності власного капіталу
(чистий фінансовий результат, рядок 1200 / власний капітал, рядок 6090)</t>
  </si>
  <si>
    <t>Коефіцієнт рентабельності діяльності
(чистий фінансовий результат, рядок 1200 / чистий дохід від реалізації продукції (товарів, робіт, послуг), рядок 1000)</t>
  </si>
  <si>
    <t>ТО та ремонт оргатехніки та інш</t>
  </si>
  <si>
    <t>Витрати на врегулювання спорів у судах, податок на землю</t>
  </si>
  <si>
    <t>Профвнески, лікарняні, поховання  співробітника згідно колдоговору</t>
  </si>
  <si>
    <t>побутова техніка</t>
  </si>
  <si>
    <t>прапори України</t>
  </si>
  <si>
    <t>Драбина</t>
  </si>
  <si>
    <t>Компресор</t>
  </si>
  <si>
    <t>контейнери типу мультиліфт</t>
  </si>
  <si>
    <t>інші витрати (списання ОЗ,адм збір, інф землевпоряд)</t>
  </si>
  <si>
    <t>Volkswagen Polo</t>
  </si>
  <si>
    <t>Договір оренди авітомобільного транспорту від 05.07.2023</t>
  </si>
  <si>
    <t>1062/10</t>
  </si>
  <si>
    <t>Паливо для використання орендованого автомобіля</t>
  </si>
  <si>
    <t>для службового використання працівниками підприємства</t>
  </si>
  <si>
    <t>Валерій ТЄТЯКІН</t>
  </si>
  <si>
    <t xml:space="preserve">послуги підприємств, що займаються невиробничими видами побутового обслуговування населення </t>
  </si>
  <si>
    <t>за  2023 рік</t>
  </si>
  <si>
    <t>Таблиця VI. Інформація до фінансового плану  за   2023 рік</t>
  </si>
  <si>
    <t>Комунальне підприємство "Міська ритуальна служба" Дніпровської міської ради</t>
  </si>
  <si>
    <t>3270/1</t>
  </si>
  <si>
    <t>канцтовари, електротовари, інші товари</t>
  </si>
  <si>
    <t>списання основних засобів</t>
  </si>
  <si>
    <t>зменьшення додаткового капіталу</t>
  </si>
  <si>
    <t>лобове скло</t>
  </si>
  <si>
    <t>навантажувач та причеп</t>
  </si>
  <si>
    <t>Керівник 
Директор КП "Міська ритуальна служба"</t>
  </si>
  <si>
    <r>
      <t xml:space="preserve">Орган державного управління  </t>
    </r>
    <r>
      <rPr>
        <i/>
        <sz val="12"/>
        <color theme="1"/>
        <rFont val="Times New Roman"/>
        <family val="1"/>
        <charset val="204"/>
      </rPr>
      <t xml:space="preserve"> </t>
    </r>
  </si>
  <si>
    <r>
      <t>у тому числі:</t>
    </r>
    <r>
      <rPr>
        <i/>
        <sz val="12"/>
        <color theme="1"/>
        <rFont val="Times New Roman"/>
        <family val="1"/>
        <charset val="204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</si>
</sst>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164" formatCode="_-* #,##0.00_₴_-;\-* #,##0.00_₴_-;_-* &quot;-&quot;??_₴_-;_-@_-"/>
    <numFmt numFmtId="165" formatCode="_-* #,##0.00\ _г_р_н_._-;\-* #,##0.00\ _г_р_н_._-;_-* &quot;-&quot;??\ _г_р_н_._-;_-@_-"/>
    <numFmt numFmtId="166" formatCode="#,##0&quot;р.&quot;;[Red]\-#,##0&quot;р.&quot;"/>
    <numFmt numFmtId="167" formatCode="#,##0.00&quot;р.&quot;;\-#,##0.00&quot;р.&quot;"/>
    <numFmt numFmtId="168" formatCode="_-* #,##0.00_р_._-;\-* #,##0.00_р_._-;_-* &quot;-&quot;??_р_._-;_-@_-"/>
    <numFmt numFmtId="169" formatCode="0.0"/>
    <numFmt numFmtId="170" formatCode="#,##0.0"/>
    <numFmt numFmtId="171" formatCode="###\ ##0.000"/>
    <numFmt numFmtId="172" formatCode="_(&quot;$&quot;* #,##0.00_);_(&quot;$&quot;* \(#,##0.00\);_(&quot;$&quot;* &quot;-&quot;??_);_(@_)"/>
    <numFmt numFmtId="173" formatCode="_(* #,##0_);_(* \(#,##0\);_(* &quot;-&quot;_);_(@_)"/>
    <numFmt numFmtId="174" formatCode="_(* #,##0.00_);_(* \(#,##0.00\);_(* &quot;-&quot;??_);_(@_)"/>
    <numFmt numFmtId="175" formatCode="#,##0.0_ ;[Red]\-#,##0.0\ "/>
    <numFmt numFmtId="176" formatCode="0.0;\(0.0\);\ ;\-"/>
    <numFmt numFmtId="177" formatCode="_-* #,##0_₴_-;\-* #,##0_₴_-;_-* &quot;-&quot;??_₴_-;_-@_-"/>
    <numFmt numFmtId="178" formatCode="0.0%"/>
    <numFmt numFmtId="179" formatCode="#,##0.000"/>
  </numFmts>
  <fonts count="79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sz val="8"/>
      <name val="Arial"/>
      <family val="2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  <charset val="204"/>
    </font>
    <font>
      <sz val="11"/>
      <color indexed="8"/>
      <name val="Arial Cyr"/>
      <family val="2"/>
      <charset val="204"/>
    </font>
    <font>
      <sz val="11"/>
      <color indexed="9"/>
      <name val="Arial Cyr"/>
      <family val="2"/>
      <charset val="204"/>
    </font>
    <font>
      <b/>
      <sz val="12"/>
      <name val="Arial"/>
      <family val="2"/>
      <charset val="204"/>
    </font>
    <font>
      <sz val="10"/>
      <name val="FreeSet"/>
      <family val="2"/>
    </font>
    <font>
      <u/>
      <sz val="10"/>
      <color indexed="12"/>
      <name val="Arial"/>
      <family val="2"/>
      <charset val="204"/>
    </font>
    <font>
      <b/>
      <sz val="14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4"/>
      <color indexed="9"/>
      <name val="Arial"/>
      <family val="2"/>
      <charset val="204"/>
    </font>
    <font>
      <b/>
      <i/>
      <sz val="12"/>
      <color indexed="9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9"/>
      <name val="Arial"/>
      <family val="2"/>
      <charset val="204"/>
    </font>
    <font>
      <sz val="12"/>
      <color indexed="9"/>
      <name val="Bookman Old Style"/>
      <family val="1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color indexed="9"/>
      <name val="Arial"/>
      <family val="2"/>
      <charset val="204"/>
    </font>
    <font>
      <b/>
      <sz val="10"/>
      <name val="Arial"/>
      <family val="2"/>
      <charset val="204"/>
    </font>
    <font>
      <sz val="11"/>
      <color indexed="62"/>
      <name val="Arial Cyr"/>
      <family val="2"/>
      <charset val="204"/>
    </font>
    <font>
      <b/>
      <sz val="11"/>
      <color indexed="63"/>
      <name val="Arial Cyr"/>
      <family val="2"/>
      <charset val="204"/>
    </font>
    <font>
      <b/>
      <sz val="11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1"/>
      <color indexed="8"/>
      <name val="Arial Cyr"/>
      <family val="2"/>
      <charset val="204"/>
    </font>
    <font>
      <b/>
      <sz val="11"/>
      <color indexed="9"/>
      <name val="Arial Cyr"/>
      <family val="2"/>
      <charset val="204"/>
    </font>
    <font>
      <sz val="11"/>
      <color indexed="60"/>
      <name val="Arial Cyr"/>
      <family val="2"/>
      <charset val="204"/>
    </font>
    <font>
      <sz val="11"/>
      <color indexed="20"/>
      <name val="Arial Cyr"/>
      <family val="2"/>
      <charset val="204"/>
    </font>
    <font>
      <i/>
      <sz val="11"/>
      <color indexed="23"/>
      <name val="Arial Cyr"/>
      <family val="2"/>
      <charset val="204"/>
    </font>
    <font>
      <sz val="12"/>
      <name val="Arial Cyr"/>
      <family val="2"/>
      <charset val="204"/>
    </font>
    <font>
      <sz val="11"/>
      <color indexed="52"/>
      <name val="Arial Cyr"/>
      <family val="2"/>
      <charset val="204"/>
    </font>
    <font>
      <sz val="10"/>
      <name val="Helv"/>
    </font>
    <font>
      <sz val="11"/>
      <color indexed="10"/>
      <name val="Arial Cyr"/>
      <family val="2"/>
      <charset val="204"/>
    </font>
    <font>
      <sz val="12"/>
      <name val="Journal"/>
    </font>
    <font>
      <sz val="11"/>
      <color indexed="17"/>
      <name val="Arial Cyr"/>
      <family val="2"/>
      <charset val="204"/>
    </font>
    <font>
      <sz val="10"/>
      <name val="Tahoma"/>
      <family val="2"/>
      <charset val="204"/>
    </font>
    <font>
      <sz val="10"/>
      <name val="Petersburg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0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Arial Cyr"/>
      <charset val="204"/>
    </font>
    <font>
      <u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4"/>
      <color theme="1"/>
      <name val="Arial Cyr"/>
      <charset val="204"/>
    </font>
    <font>
      <sz val="16"/>
      <color theme="1"/>
      <name val="Arial Cyr"/>
      <charset val="204"/>
    </font>
    <font>
      <i/>
      <sz val="14"/>
      <color theme="1"/>
      <name val="Times New Roman"/>
      <family val="1"/>
      <charset val="204"/>
    </font>
    <font>
      <sz val="8"/>
      <color theme="1"/>
      <name val="Arial"/>
      <family val="2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55">
    <xf numFmtId="0" fontId="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4" fillId="2" borderId="0" applyNumberFormat="0" applyBorder="0" applyAlignment="0" applyProtection="0"/>
    <xf numFmtId="0" fontId="1" fillId="2" borderId="0" applyNumberFormat="0" applyBorder="0" applyAlignment="0" applyProtection="0"/>
    <xf numFmtId="0" fontId="24" fillId="3" borderId="0" applyNumberFormat="0" applyBorder="0" applyAlignment="0" applyProtection="0"/>
    <xf numFmtId="0" fontId="1" fillId="3" borderId="0" applyNumberFormat="0" applyBorder="0" applyAlignment="0" applyProtection="0"/>
    <xf numFmtId="0" fontId="24" fillId="4" borderId="0" applyNumberFormat="0" applyBorder="0" applyAlignment="0" applyProtection="0"/>
    <xf numFmtId="0" fontId="1" fillId="4" borderId="0" applyNumberFormat="0" applyBorder="0" applyAlignment="0" applyProtection="0"/>
    <xf numFmtId="0" fontId="24" fillId="5" borderId="0" applyNumberFormat="0" applyBorder="0" applyAlignment="0" applyProtection="0"/>
    <xf numFmtId="0" fontId="1" fillId="5" borderId="0" applyNumberFormat="0" applyBorder="0" applyAlignment="0" applyProtection="0"/>
    <xf numFmtId="0" fontId="24" fillId="6" borderId="0" applyNumberFormat="0" applyBorder="0" applyAlignment="0" applyProtection="0"/>
    <xf numFmtId="0" fontId="1" fillId="6" borderId="0" applyNumberFormat="0" applyBorder="0" applyAlignment="0" applyProtection="0"/>
    <xf numFmtId="0" fontId="24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8" borderId="0" applyNumberFormat="0" applyBorder="0" applyAlignment="0" applyProtection="0"/>
    <xf numFmtId="0" fontId="1" fillId="8" borderId="0" applyNumberFormat="0" applyBorder="0" applyAlignment="0" applyProtection="0"/>
    <xf numFmtId="0" fontId="24" fillId="9" borderId="0" applyNumberFormat="0" applyBorder="0" applyAlignment="0" applyProtection="0"/>
    <xf numFmtId="0" fontId="1" fillId="9" borderId="0" applyNumberFormat="0" applyBorder="0" applyAlignment="0" applyProtection="0"/>
    <xf numFmtId="0" fontId="24" fillId="10" borderId="0" applyNumberFormat="0" applyBorder="0" applyAlignment="0" applyProtection="0"/>
    <xf numFmtId="0" fontId="1" fillId="10" borderId="0" applyNumberFormat="0" applyBorder="0" applyAlignment="0" applyProtection="0"/>
    <xf numFmtId="0" fontId="24" fillId="5" borderId="0" applyNumberFormat="0" applyBorder="0" applyAlignment="0" applyProtection="0"/>
    <xf numFmtId="0" fontId="1" fillId="5" borderId="0" applyNumberFormat="0" applyBorder="0" applyAlignment="0" applyProtection="0"/>
    <xf numFmtId="0" fontId="24" fillId="8" borderId="0" applyNumberFormat="0" applyBorder="0" applyAlignment="0" applyProtection="0"/>
    <xf numFmtId="0" fontId="1" fillId="8" borderId="0" applyNumberFormat="0" applyBorder="0" applyAlignment="0" applyProtection="0"/>
    <xf numFmtId="0" fontId="24" fillId="11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5" fillId="12" borderId="0" applyNumberFormat="0" applyBorder="0" applyAlignment="0" applyProtection="0"/>
    <xf numFmtId="0" fontId="7" fillId="12" borderId="0" applyNumberFormat="0" applyBorder="0" applyAlignment="0" applyProtection="0"/>
    <xf numFmtId="0" fontId="25" fillId="9" borderId="0" applyNumberFormat="0" applyBorder="0" applyAlignment="0" applyProtection="0"/>
    <xf numFmtId="0" fontId="7" fillId="9" borderId="0" applyNumberFormat="0" applyBorder="0" applyAlignment="0" applyProtection="0"/>
    <xf numFmtId="0" fontId="25" fillId="10" borderId="0" applyNumberFormat="0" applyBorder="0" applyAlignment="0" applyProtection="0"/>
    <xf numFmtId="0" fontId="7" fillId="10" borderId="0" applyNumberFormat="0" applyBorder="0" applyAlignment="0" applyProtection="0"/>
    <xf numFmtId="0" fontId="25" fillId="13" borderId="0" applyNumberFormat="0" applyBorder="0" applyAlignment="0" applyProtection="0"/>
    <xf numFmtId="0" fontId="7" fillId="13" borderId="0" applyNumberFormat="0" applyBorder="0" applyAlignment="0" applyProtection="0"/>
    <xf numFmtId="0" fontId="25" fillId="14" borderId="0" applyNumberFormat="0" applyBorder="0" applyAlignment="0" applyProtection="0"/>
    <xf numFmtId="0" fontId="7" fillId="14" borderId="0" applyNumberFormat="0" applyBorder="0" applyAlignment="0" applyProtection="0"/>
    <xf numFmtId="0" fontId="25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18" fillId="3" borderId="0" applyNumberFormat="0" applyBorder="0" applyAlignment="0" applyProtection="0"/>
    <xf numFmtId="0" fontId="10" fillId="20" borderId="1" applyNumberFormat="0" applyAlignment="0" applyProtection="0"/>
    <xf numFmtId="0" fontId="15" fillId="21" borderId="2" applyNumberFormat="0" applyAlignment="0" applyProtection="0"/>
    <xf numFmtId="49" fontId="26" fillId="0" borderId="3">
      <alignment horizontal="center" vertical="center"/>
      <protection locked="0"/>
    </xf>
    <xf numFmtId="49" fontId="26" fillId="0" borderId="3">
      <alignment horizontal="center" vertical="center"/>
      <protection locked="0"/>
    </xf>
    <xf numFmtId="49" fontId="26" fillId="0" borderId="3">
      <alignment horizontal="center" vertical="center"/>
      <protection locked="0"/>
    </xf>
    <xf numFmtId="49" fontId="26" fillId="0" borderId="3">
      <alignment horizontal="center" vertical="center"/>
      <protection locked="0"/>
    </xf>
    <xf numFmtId="49" fontId="26" fillId="0" borderId="3">
      <alignment horizontal="center" vertical="center"/>
      <protection locked="0"/>
    </xf>
    <xf numFmtId="49" fontId="26" fillId="0" borderId="3">
      <alignment horizontal="center" vertical="center"/>
      <protection locked="0"/>
    </xf>
    <xf numFmtId="49" fontId="26" fillId="0" borderId="3">
      <alignment horizontal="center" vertical="center"/>
      <protection locked="0"/>
    </xf>
    <xf numFmtId="49" fontId="26" fillId="0" borderId="3">
      <alignment horizontal="center" vertical="center"/>
      <protection locked="0"/>
    </xf>
    <xf numFmtId="49" fontId="26" fillId="0" borderId="3">
      <alignment horizontal="center" vertical="center"/>
      <protection locked="0"/>
    </xf>
    <xf numFmtId="49" fontId="26" fillId="0" borderId="3">
      <alignment horizontal="center" vertical="center"/>
      <protection locked="0"/>
    </xf>
    <xf numFmtId="49" fontId="26" fillId="0" borderId="3">
      <alignment horizontal="center" vertical="center"/>
      <protection locked="0"/>
    </xf>
    <xf numFmtId="49" fontId="26" fillId="0" borderId="3">
      <alignment horizontal="center" vertical="center"/>
      <protection locked="0"/>
    </xf>
    <xf numFmtId="49" fontId="26" fillId="0" borderId="3">
      <alignment horizontal="center" vertical="center"/>
      <protection locked="0"/>
    </xf>
    <xf numFmtId="165" fontId="5" fillId="0" borderId="0" applyFont="0" applyFill="0" applyBorder="0" applyAlignment="0" applyProtection="0"/>
    <xf numFmtId="49" fontId="5" fillId="0" borderId="3">
      <alignment horizontal="left" vertical="center"/>
      <protection locked="0"/>
    </xf>
    <xf numFmtId="49" fontId="5" fillId="0" borderId="3">
      <alignment horizontal="left" vertical="center"/>
      <protection locked="0"/>
    </xf>
    <xf numFmtId="49" fontId="5" fillId="0" borderId="3">
      <alignment horizontal="left" vertical="center"/>
      <protection locked="0"/>
    </xf>
    <xf numFmtId="49" fontId="5" fillId="0" borderId="3">
      <alignment horizontal="left" vertical="center"/>
      <protection locked="0"/>
    </xf>
    <xf numFmtId="49" fontId="5" fillId="0" borderId="3">
      <alignment horizontal="left" vertical="center"/>
      <protection locked="0"/>
    </xf>
    <xf numFmtId="49" fontId="5" fillId="0" borderId="3">
      <alignment horizontal="left" vertical="center"/>
      <protection locked="0"/>
    </xf>
    <xf numFmtId="49" fontId="5" fillId="0" borderId="3">
      <alignment horizontal="left" vertical="center"/>
      <protection locked="0"/>
    </xf>
    <xf numFmtId="49" fontId="5" fillId="0" borderId="3">
      <alignment horizontal="left" vertical="center"/>
      <protection locked="0"/>
    </xf>
    <xf numFmtId="49" fontId="5" fillId="0" borderId="3">
      <alignment horizontal="left" vertical="center"/>
      <protection locked="0"/>
    </xf>
    <xf numFmtId="49" fontId="5" fillId="0" borderId="3">
      <alignment horizontal="left" vertical="center"/>
      <protection locked="0"/>
    </xf>
    <xf numFmtId="49" fontId="5" fillId="0" borderId="3">
      <alignment horizontal="left" vertical="center"/>
      <protection locked="0"/>
    </xf>
    <xf numFmtId="49" fontId="5" fillId="0" borderId="3">
      <alignment horizontal="left" vertical="center"/>
      <protection locked="0"/>
    </xf>
    <xf numFmtId="49" fontId="5" fillId="0" borderId="3">
      <alignment horizontal="left" vertical="center"/>
      <protection locked="0"/>
    </xf>
    <xf numFmtId="49" fontId="5" fillId="0" borderId="3">
      <alignment horizontal="left" vertical="center"/>
      <protection locked="0"/>
    </xf>
    <xf numFmtId="49" fontId="5" fillId="0" borderId="3">
      <alignment horizontal="left" vertical="center"/>
      <protection locked="0"/>
    </xf>
    <xf numFmtId="49" fontId="5" fillId="0" borderId="3">
      <alignment horizontal="left" vertical="center"/>
      <protection locked="0"/>
    </xf>
    <xf numFmtId="49" fontId="5" fillId="0" borderId="3">
      <alignment horizontal="left" vertical="center"/>
      <protection locked="0"/>
    </xf>
    <xf numFmtId="0" fontId="19" fillId="0" borderId="0" applyNumberFormat="0" applyFill="0" applyBorder="0" applyAlignment="0" applyProtection="0"/>
    <xf numFmtId="171" fontId="27" fillId="0" borderId="0" applyAlignment="0">
      <alignment wrapText="1"/>
    </xf>
    <xf numFmtId="0" fontId="22" fillId="4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8" fillId="7" borderId="1" applyNumberFormat="0" applyAlignment="0" applyProtection="0"/>
    <xf numFmtId="49" fontId="5" fillId="0" borderId="0" applyNumberFormat="0" applyFont="0" applyAlignment="0">
      <alignment vertical="top" wrapText="1"/>
      <protection locked="0"/>
    </xf>
    <xf numFmtId="49" fontId="5" fillId="0" borderId="0" applyNumberFormat="0" applyFont="0" applyAlignment="0">
      <alignment vertical="top" wrapText="1"/>
    </xf>
    <xf numFmtId="49" fontId="5" fillId="0" borderId="0" applyNumberFormat="0" applyFont="0" applyAlignment="0">
      <alignment vertical="top" wrapText="1"/>
    </xf>
    <xf numFmtId="49" fontId="5" fillId="0" borderId="0" applyNumberFormat="0" applyFont="0" applyAlignment="0">
      <alignment vertical="top" wrapText="1"/>
      <protection locked="0"/>
    </xf>
    <xf numFmtId="49" fontId="5" fillId="0" borderId="0" applyNumberFormat="0" applyFont="0" applyAlignment="0">
      <alignment vertical="top" wrapText="1"/>
    </xf>
    <xf numFmtId="49" fontId="5" fillId="0" borderId="0" applyNumberFormat="0" applyFont="0" applyAlignment="0">
      <alignment vertical="top" wrapText="1"/>
      <protection locked="0"/>
    </xf>
    <xf numFmtId="49" fontId="5" fillId="0" borderId="0" applyNumberFormat="0" applyFont="0" applyAlignment="0">
      <alignment vertical="top" wrapText="1"/>
    </xf>
    <xf numFmtId="49" fontId="5" fillId="0" borderId="0" applyNumberFormat="0" applyFont="0" applyAlignment="0">
      <alignment vertical="top" wrapText="1"/>
      <protection locked="0"/>
    </xf>
    <xf numFmtId="49" fontId="5" fillId="0" borderId="0" applyNumberFormat="0" applyFont="0" applyAlignment="0">
      <alignment vertical="top" wrapText="1"/>
      <protection locked="0"/>
    </xf>
    <xf numFmtId="49" fontId="5" fillId="0" borderId="0" applyNumberFormat="0" applyFont="0" applyAlignment="0">
      <alignment vertical="top" wrapText="1"/>
      <protection locked="0"/>
    </xf>
    <xf numFmtId="49" fontId="5" fillId="0" borderId="0" applyNumberFormat="0" applyFont="0" applyAlignment="0">
      <alignment vertical="top" wrapText="1"/>
      <protection locked="0"/>
    </xf>
    <xf numFmtId="49" fontId="5" fillId="0" borderId="0" applyNumberFormat="0" applyFont="0" applyAlignment="0">
      <alignment vertical="top" wrapText="1"/>
      <protection locked="0"/>
    </xf>
    <xf numFmtId="49" fontId="5" fillId="0" borderId="0" applyNumberFormat="0" applyFont="0" applyAlignment="0">
      <alignment vertical="top" wrapText="1"/>
      <protection locked="0"/>
    </xf>
    <xf numFmtId="49" fontId="5" fillId="0" borderId="0" applyNumberFormat="0" applyFont="0" applyAlignment="0">
      <alignment vertical="top" wrapText="1"/>
      <protection locked="0"/>
    </xf>
    <xf numFmtId="49" fontId="5" fillId="0" borderId="0" applyNumberFormat="0" applyFont="0" applyAlignment="0">
      <alignment vertical="top" wrapText="1"/>
      <protection locked="0"/>
    </xf>
    <xf numFmtId="49" fontId="5" fillId="0" borderId="0" applyNumberFormat="0" applyFont="0" applyAlignment="0">
      <alignment vertical="top" wrapText="1"/>
      <protection locked="0"/>
    </xf>
    <xf numFmtId="49" fontId="5" fillId="0" borderId="0" applyNumberFormat="0" applyFont="0" applyAlignment="0">
      <alignment vertical="top" wrapText="1"/>
      <protection locked="0"/>
    </xf>
    <xf numFmtId="49" fontId="5" fillId="0" borderId="0" applyNumberFormat="0" applyFont="0" applyAlignment="0">
      <alignment vertical="top" wrapText="1"/>
      <protection locked="0"/>
    </xf>
    <xf numFmtId="49" fontId="5" fillId="0" borderId="0" applyNumberFormat="0" applyFont="0" applyAlignment="0">
      <alignment vertical="top" wrapText="1"/>
      <protection locked="0"/>
    </xf>
    <xf numFmtId="49" fontId="5" fillId="0" borderId="0" applyNumberFormat="0" applyFont="0" applyAlignment="0">
      <alignment vertical="top" wrapText="1"/>
      <protection locked="0"/>
    </xf>
    <xf numFmtId="49" fontId="29" fillId="22" borderId="7">
      <alignment horizontal="left" vertical="center"/>
      <protection locked="0"/>
    </xf>
    <xf numFmtId="49" fontId="29" fillId="22" borderId="7">
      <alignment horizontal="left" vertical="center"/>
    </xf>
    <xf numFmtId="4" fontId="29" fillId="22" borderId="7">
      <alignment horizontal="right" vertical="center"/>
      <protection locked="0"/>
    </xf>
    <xf numFmtId="4" fontId="29" fillId="22" borderId="7">
      <alignment horizontal="right" vertical="center"/>
    </xf>
    <xf numFmtId="4" fontId="30" fillId="22" borderId="7">
      <alignment horizontal="right" vertical="center"/>
      <protection locked="0"/>
    </xf>
    <xf numFmtId="49" fontId="31" fillId="22" borderId="3">
      <alignment horizontal="left" vertical="center"/>
      <protection locked="0"/>
    </xf>
    <xf numFmtId="49" fontId="31" fillId="22" borderId="3">
      <alignment horizontal="left" vertical="center"/>
    </xf>
    <xf numFmtId="49" fontId="32" fillId="22" borderId="3">
      <alignment horizontal="left" vertical="center"/>
      <protection locked="0"/>
    </xf>
    <xf numFmtId="49" fontId="32" fillId="22" borderId="3">
      <alignment horizontal="left" vertical="center"/>
    </xf>
    <xf numFmtId="4" fontId="31" fillId="22" borderId="3">
      <alignment horizontal="right" vertical="center"/>
      <protection locked="0"/>
    </xf>
    <xf numFmtId="4" fontId="31" fillId="22" borderId="3">
      <alignment horizontal="right" vertical="center"/>
    </xf>
    <xf numFmtId="4" fontId="33" fillId="22" borderId="3">
      <alignment horizontal="right" vertical="center"/>
      <protection locked="0"/>
    </xf>
    <xf numFmtId="49" fontId="26" fillId="22" borderId="3">
      <alignment horizontal="left" vertical="center"/>
      <protection locked="0"/>
    </xf>
    <xf numFmtId="49" fontId="26" fillId="22" borderId="3">
      <alignment horizontal="left" vertical="center"/>
      <protection locked="0"/>
    </xf>
    <xf numFmtId="49" fontId="26" fillId="22" borderId="3">
      <alignment horizontal="left" vertical="center"/>
    </xf>
    <xf numFmtId="49" fontId="26" fillId="22" borderId="3">
      <alignment horizontal="left" vertical="center"/>
    </xf>
    <xf numFmtId="49" fontId="30" fillId="22" borderId="3">
      <alignment horizontal="left" vertical="center"/>
      <protection locked="0"/>
    </xf>
    <xf numFmtId="49" fontId="30" fillId="22" borderId="3">
      <alignment horizontal="left" vertical="center"/>
    </xf>
    <xf numFmtId="4" fontId="26" fillId="22" borderId="3">
      <alignment horizontal="right" vertical="center"/>
      <protection locked="0"/>
    </xf>
    <xf numFmtId="4" fontId="26" fillId="22" borderId="3">
      <alignment horizontal="right" vertical="center"/>
      <protection locked="0"/>
    </xf>
    <xf numFmtId="4" fontId="26" fillId="22" borderId="3">
      <alignment horizontal="right" vertical="center"/>
    </xf>
    <xf numFmtId="4" fontId="26" fillId="22" borderId="3">
      <alignment horizontal="right" vertical="center"/>
    </xf>
    <xf numFmtId="4" fontId="30" fillId="22" borderId="3">
      <alignment horizontal="right" vertical="center"/>
      <protection locked="0"/>
    </xf>
    <xf numFmtId="49" fontId="34" fillId="22" borderId="3">
      <alignment horizontal="left" vertical="center"/>
      <protection locked="0"/>
    </xf>
    <xf numFmtId="49" fontId="34" fillId="22" borderId="3">
      <alignment horizontal="left" vertical="center"/>
    </xf>
    <xf numFmtId="49" fontId="35" fillId="22" borderId="3">
      <alignment horizontal="left" vertical="center"/>
      <protection locked="0"/>
    </xf>
    <xf numFmtId="49" fontId="35" fillId="22" borderId="3">
      <alignment horizontal="left" vertical="center"/>
    </xf>
    <xf numFmtId="4" fontId="34" fillId="22" borderId="3">
      <alignment horizontal="right" vertical="center"/>
      <protection locked="0"/>
    </xf>
    <xf numFmtId="4" fontId="34" fillId="22" borderId="3">
      <alignment horizontal="right" vertical="center"/>
    </xf>
    <xf numFmtId="4" fontId="36" fillId="22" borderId="3">
      <alignment horizontal="right" vertical="center"/>
      <protection locked="0"/>
    </xf>
    <xf numFmtId="49" fontId="37" fillId="0" borderId="3">
      <alignment horizontal="left" vertical="center"/>
      <protection locked="0"/>
    </xf>
    <xf numFmtId="49" fontId="37" fillId="0" borderId="3">
      <alignment horizontal="left" vertical="center"/>
    </xf>
    <xf numFmtId="49" fontId="38" fillId="0" borderId="3">
      <alignment horizontal="left" vertical="center"/>
      <protection locked="0"/>
    </xf>
    <xf numFmtId="49" fontId="38" fillId="0" borderId="3">
      <alignment horizontal="left" vertical="center"/>
    </xf>
    <xf numFmtId="4" fontId="37" fillId="0" borderId="3">
      <alignment horizontal="right" vertical="center"/>
      <protection locked="0"/>
    </xf>
    <xf numFmtId="4" fontId="37" fillId="0" borderId="3">
      <alignment horizontal="right" vertical="center"/>
    </xf>
    <xf numFmtId="4" fontId="38" fillId="0" borderId="3">
      <alignment horizontal="right" vertical="center"/>
      <protection locked="0"/>
    </xf>
    <xf numFmtId="49" fontId="39" fillId="0" borderId="3">
      <alignment horizontal="left" vertical="center"/>
      <protection locked="0"/>
    </xf>
    <xf numFmtId="49" fontId="39" fillId="0" borderId="3">
      <alignment horizontal="left" vertical="center"/>
    </xf>
    <xf numFmtId="49" fontId="40" fillId="0" borderId="3">
      <alignment horizontal="left" vertical="center"/>
      <protection locked="0"/>
    </xf>
    <xf numFmtId="49" fontId="40" fillId="0" borderId="3">
      <alignment horizontal="left" vertical="center"/>
    </xf>
    <xf numFmtId="4" fontId="39" fillId="0" borderId="3">
      <alignment horizontal="right" vertical="center"/>
      <protection locked="0"/>
    </xf>
    <xf numFmtId="4" fontId="39" fillId="0" borderId="3">
      <alignment horizontal="right" vertical="center"/>
    </xf>
    <xf numFmtId="49" fontId="37" fillId="0" borderId="3">
      <alignment horizontal="left" vertical="center"/>
      <protection locked="0"/>
    </xf>
    <xf numFmtId="49" fontId="38" fillId="0" borderId="3">
      <alignment horizontal="left" vertical="center"/>
      <protection locked="0"/>
    </xf>
    <xf numFmtId="4" fontId="37" fillId="0" borderId="3">
      <alignment horizontal="right" vertical="center"/>
      <protection locked="0"/>
    </xf>
    <xf numFmtId="0" fontId="20" fillId="0" borderId="8" applyNumberFormat="0" applyFill="0" applyAlignment="0" applyProtection="0"/>
    <xf numFmtId="0" fontId="17" fillId="23" borderId="0" applyNumberFormat="0" applyBorder="0" applyAlignment="0" applyProtection="0"/>
    <xf numFmtId="0" fontId="5" fillId="0" borderId="0"/>
    <xf numFmtId="0" fontId="5" fillId="0" borderId="0"/>
    <xf numFmtId="0" fontId="5" fillId="24" borderId="0" applyNumberFormat="0" applyFill="0" applyAlignment="0">
      <alignment horizontal="center"/>
      <protection locked="0"/>
    </xf>
    <xf numFmtId="0" fontId="2" fillId="25" borderId="9" applyNumberFormat="0" applyFont="0" applyAlignment="0" applyProtection="0"/>
    <xf numFmtId="4" fontId="41" fillId="26" borderId="3">
      <alignment horizontal="right" vertical="center"/>
      <protection locked="0"/>
    </xf>
    <xf numFmtId="4" fontId="41" fillId="27" borderId="3">
      <alignment horizontal="right" vertical="center"/>
      <protection locked="0"/>
    </xf>
    <xf numFmtId="4" fontId="41" fillId="28" borderId="3">
      <alignment horizontal="right" vertical="center"/>
      <protection locked="0"/>
    </xf>
    <xf numFmtId="0" fontId="9" fillId="20" borderId="10" applyNumberFormat="0" applyAlignment="0" applyProtection="0"/>
    <xf numFmtId="49" fontId="26" fillId="0" borderId="3">
      <alignment horizontal="left" vertical="center" wrapText="1"/>
      <protection locked="0"/>
    </xf>
    <xf numFmtId="49" fontId="26" fillId="0" borderId="3">
      <alignment horizontal="left" vertical="center" wrapText="1"/>
      <protection locked="0"/>
    </xf>
    <xf numFmtId="0" fontId="16" fillId="0" borderId="0" applyNumberFormat="0" applyFill="0" applyBorder="0" applyAlignment="0" applyProtection="0"/>
    <xf numFmtId="0" fontId="14" fillId="0" borderId="11" applyNumberFormat="0" applyFill="0" applyAlignment="0" applyProtection="0"/>
    <xf numFmtId="0" fontId="21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7" fillId="16" borderId="0" applyNumberFormat="0" applyBorder="0" applyAlignment="0" applyProtection="0"/>
    <xf numFmtId="0" fontId="25" fillId="17" borderId="0" applyNumberFormat="0" applyBorder="0" applyAlignment="0" applyProtection="0"/>
    <xf numFmtId="0" fontId="7" fillId="17" borderId="0" applyNumberFormat="0" applyBorder="0" applyAlignment="0" applyProtection="0"/>
    <xf numFmtId="0" fontId="25" fillId="18" borderId="0" applyNumberFormat="0" applyBorder="0" applyAlignment="0" applyProtection="0"/>
    <xf numFmtId="0" fontId="7" fillId="18" borderId="0" applyNumberFormat="0" applyBorder="0" applyAlignment="0" applyProtection="0"/>
    <xf numFmtId="0" fontId="25" fillId="13" borderId="0" applyNumberFormat="0" applyBorder="0" applyAlignment="0" applyProtection="0"/>
    <xf numFmtId="0" fontId="7" fillId="13" borderId="0" applyNumberFormat="0" applyBorder="0" applyAlignment="0" applyProtection="0"/>
    <xf numFmtId="0" fontId="25" fillId="14" borderId="0" applyNumberFormat="0" applyBorder="0" applyAlignment="0" applyProtection="0"/>
    <xf numFmtId="0" fontId="7" fillId="14" borderId="0" applyNumberFormat="0" applyBorder="0" applyAlignment="0" applyProtection="0"/>
    <xf numFmtId="0" fontId="25" fillId="19" borderId="0" applyNumberFormat="0" applyBorder="0" applyAlignment="0" applyProtection="0"/>
    <xf numFmtId="0" fontId="7" fillId="19" borderId="0" applyNumberFormat="0" applyBorder="0" applyAlignment="0" applyProtection="0"/>
    <xf numFmtId="0" fontId="42" fillId="7" borderId="1" applyNumberFormat="0" applyAlignment="0" applyProtection="0"/>
    <xf numFmtId="0" fontId="8" fillId="7" borderId="1" applyNumberFormat="0" applyAlignment="0" applyProtection="0"/>
    <xf numFmtId="0" fontId="43" fillId="20" borderId="10" applyNumberFormat="0" applyAlignment="0" applyProtection="0"/>
    <xf numFmtId="0" fontId="9" fillId="20" borderId="10" applyNumberFormat="0" applyAlignment="0" applyProtection="0"/>
    <xf numFmtId="0" fontId="44" fillId="20" borderId="1" applyNumberFormat="0" applyAlignment="0" applyProtection="0"/>
    <xf numFmtId="0" fontId="10" fillId="20" borderId="1" applyNumberFormat="0" applyAlignment="0" applyProtection="0"/>
    <xf numFmtId="172" fontId="5" fillId="0" borderId="0" applyFont="0" applyFill="0" applyBorder="0" applyAlignment="0" applyProtection="0"/>
    <xf numFmtId="0" fontId="45" fillId="0" borderId="4" applyNumberFormat="0" applyFill="0" applyAlignment="0" applyProtection="0"/>
    <xf numFmtId="0" fontId="11" fillId="0" borderId="4" applyNumberFormat="0" applyFill="0" applyAlignment="0" applyProtection="0"/>
    <xf numFmtId="0" fontId="46" fillId="0" borderId="5" applyNumberFormat="0" applyFill="0" applyAlignment="0" applyProtection="0"/>
    <xf numFmtId="0" fontId="12" fillId="0" borderId="5" applyNumberFormat="0" applyFill="0" applyAlignment="0" applyProtection="0"/>
    <xf numFmtId="0" fontId="47" fillId="0" borderId="6" applyNumberFormat="0" applyFill="0" applyAlignment="0" applyProtection="0"/>
    <xf numFmtId="0" fontId="13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8" fillId="0" borderId="11" applyNumberFormat="0" applyFill="0" applyAlignment="0" applyProtection="0"/>
    <xf numFmtId="0" fontId="14" fillId="0" borderId="11" applyNumberFormat="0" applyFill="0" applyAlignment="0" applyProtection="0"/>
    <xf numFmtId="0" fontId="49" fillId="21" borderId="2" applyNumberFormat="0" applyAlignment="0" applyProtection="0"/>
    <xf numFmtId="0" fontId="15" fillId="21" borderId="2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17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" fillId="0" borderId="0"/>
    <xf numFmtId="0" fontId="62" fillId="0" borderId="0"/>
    <xf numFmtId="0" fontId="5" fillId="0" borderId="0"/>
    <xf numFmtId="0" fontId="2" fillId="0" borderId="0"/>
    <xf numFmtId="0" fontId="5" fillId="0" borderId="0"/>
    <xf numFmtId="0" fontId="5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1" fillId="3" borderId="0" applyNumberFormat="0" applyBorder="0" applyAlignment="0" applyProtection="0"/>
    <xf numFmtId="0" fontId="18" fillId="3" borderId="0" applyNumberFormat="0" applyBorder="0" applyAlignment="0" applyProtection="0"/>
    <xf numFmtId="0" fontId="5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3" fillId="25" borderId="9" applyNumberFormat="0" applyFont="0" applyAlignment="0" applyProtection="0"/>
    <xf numFmtId="0" fontId="5" fillId="25" borderId="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4" fillId="0" borderId="8" applyNumberFormat="0" applyFill="0" applyAlignment="0" applyProtection="0"/>
    <xf numFmtId="0" fontId="20" fillId="0" borderId="8" applyNumberFormat="0" applyFill="0" applyAlignment="0" applyProtection="0"/>
    <xf numFmtId="0" fontId="23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3" fontId="57" fillId="0" borderId="0" applyFont="0" applyFill="0" applyBorder="0" applyAlignment="0" applyProtection="0"/>
    <xf numFmtId="174" fontId="57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58" fillId="4" borderId="0" applyNumberFormat="0" applyBorder="0" applyAlignment="0" applyProtection="0"/>
    <xf numFmtId="0" fontId="22" fillId="4" borderId="0" applyNumberFormat="0" applyBorder="0" applyAlignment="0" applyProtection="0"/>
    <xf numFmtId="176" fontId="59" fillId="22" borderId="12" applyFill="0" applyBorder="0">
      <alignment horizontal="center" vertical="center" wrapText="1"/>
      <protection locked="0"/>
    </xf>
    <xf numFmtId="171" fontId="60" fillId="0" borderId="0">
      <alignment wrapText="1"/>
    </xf>
    <xf numFmtId="171" fontId="27" fillId="0" borderId="0">
      <alignment wrapText="1"/>
    </xf>
    <xf numFmtId="0" fontId="4" fillId="0" borderId="0"/>
  </cellStyleXfs>
  <cellXfs count="357">
    <xf numFmtId="0" fontId="0" fillId="0" borderId="0" xfId="0"/>
    <xf numFmtId="0" fontId="61" fillId="0" borderId="3" xfId="182" applyFont="1" applyFill="1" applyBorder="1" applyAlignment="1">
      <alignment horizontal="left" vertical="top" wrapText="1"/>
      <protection locked="0"/>
    </xf>
    <xf numFmtId="170" fontId="63" fillId="0" borderId="3" xfId="0" applyNumberFormat="1" applyFont="1" applyBorder="1" applyAlignment="1">
      <alignment horizontal="center" vertical="top" wrapText="1"/>
    </xf>
    <xf numFmtId="3" fontId="64" fillId="0" borderId="3" xfId="0" applyNumberFormat="1" applyFont="1" applyBorder="1" applyAlignment="1" applyProtection="1">
      <alignment horizontal="center" vertical="top" wrapText="1"/>
      <protection locked="0"/>
    </xf>
    <xf numFmtId="0" fontId="64" fillId="0" borderId="0" xfId="0" applyFont="1" applyAlignment="1">
      <alignment horizontal="left" vertical="top"/>
    </xf>
    <xf numFmtId="0" fontId="64" fillId="0" borderId="3" xfId="0" applyFont="1" applyBorder="1" applyAlignment="1">
      <alignment horizontal="center" vertical="top" wrapText="1"/>
    </xf>
    <xf numFmtId="0" fontId="64" fillId="0" borderId="0" xfId="0" applyFont="1" applyAlignment="1" applyProtection="1">
      <alignment horizontal="center" vertical="top"/>
      <protection locked="0"/>
    </xf>
    <xf numFmtId="0" fontId="64" fillId="0" borderId="0" xfId="0" applyFont="1" applyAlignment="1">
      <alignment horizontal="center" vertical="top"/>
    </xf>
    <xf numFmtId="0" fontId="64" fillId="0" borderId="0" xfId="0" applyFont="1" applyAlignment="1">
      <alignment vertical="top"/>
    </xf>
    <xf numFmtId="170" fontId="64" fillId="0" borderId="3" xfId="0" applyNumberFormat="1" applyFont="1" applyBorder="1" applyAlignment="1">
      <alignment horizontal="center" vertical="top" wrapText="1"/>
    </xf>
    <xf numFmtId="3" fontId="64" fillId="0" borderId="3" xfId="0" applyNumberFormat="1" applyFont="1" applyBorder="1" applyAlignment="1">
      <alignment horizontal="center" vertical="top" wrapText="1"/>
    </xf>
    <xf numFmtId="0" fontId="64" fillId="0" borderId="0" xfId="0" applyFont="1" applyAlignment="1" applyProtection="1">
      <alignment vertical="top"/>
      <protection locked="0"/>
    </xf>
    <xf numFmtId="0" fontId="64" fillId="0" borderId="0" xfId="0" applyFont="1" applyAlignment="1" applyProtection="1">
      <alignment horizontal="right" vertical="top"/>
      <protection locked="0"/>
    </xf>
    <xf numFmtId="0" fontId="70" fillId="0" borderId="0" xfId="0" applyFont="1" applyAlignment="1">
      <alignment vertical="top"/>
    </xf>
    <xf numFmtId="0" fontId="71" fillId="0" borderId="0" xfId="0" applyFont="1" applyAlignment="1" applyProtection="1">
      <alignment vertical="top"/>
      <protection locked="0"/>
    </xf>
    <xf numFmtId="0" fontId="64" fillId="0" borderId="0" xfId="0" applyFont="1" applyAlignment="1" applyProtection="1">
      <alignment vertical="top" wrapText="1"/>
      <protection locked="0"/>
    </xf>
    <xf numFmtId="0" fontId="64" fillId="0" borderId="14" xfId="0" applyFont="1" applyBorder="1" applyAlignment="1" applyProtection="1">
      <alignment vertical="top"/>
      <protection locked="0"/>
    </xf>
    <xf numFmtId="0" fontId="64" fillId="0" borderId="18" xfId="0" applyFont="1" applyBorder="1" applyAlignment="1" applyProtection="1">
      <alignment horizontal="left" vertical="top" wrapText="1"/>
      <protection locked="0"/>
    </xf>
    <xf numFmtId="0" fontId="64" fillId="0" borderId="17" xfId="0" applyFont="1" applyBorder="1" applyAlignment="1" applyProtection="1">
      <alignment vertical="top"/>
      <protection locked="0"/>
    </xf>
    <xf numFmtId="0" fontId="64" fillId="0" borderId="3" xfId="0" applyFont="1" applyBorder="1" applyAlignment="1" applyProtection="1">
      <alignment horizontal="left" vertical="top"/>
      <protection locked="0"/>
    </xf>
    <xf numFmtId="0" fontId="64" fillId="0" borderId="3" xfId="0" applyFont="1" applyBorder="1" applyAlignment="1" applyProtection="1">
      <alignment horizontal="center" vertical="top"/>
      <protection locked="0"/>
    </xf>
    <xf numFmtId="0" fontId="64" fillId="0" borderId="14" xfId="0" applyFont="1" applyBorder="1" applyAlignment="1" applyProtection="1">
      <alignment vertical="top" wrapText="1"/>
      <protection locked="0"/>
    </xf>
    <xf numFmtId="0" fontId="64" fillId="0" borderId="17" xfId="0" applyFont="1" applyBorder="1" applyAlignment="1" applyProtection="1">
      <alignment vertical="top" wrapText="1"/>
      <protection locked="0"/>
    </xf>
    <xf numFmtId="0" fontId="64" fillId="0" borderId="3" xfId="0" applyFont="1" applyBorder="1" applyAlignment="1" applyProtection="1">
      <alignment vertical="top"/>
      <protection locked="0"/>
    </xf>
    <xf numFmtId="0" fontId="64" fillId="0" borderId="17" xfId="0" applyFont="1" applyBorder="1" applyAlignment="1" applyProtection="1">
      <alignment horizontal="left" vertical="top" wrapText="1"/>
      <protection locked="0"/>
    </xf>
    <xf numFmtId="0" fontId="64" fillId="0" borderId="3" xfId="0" applyFont="1" applyBorder="1" applyAlignment="1" applyProtection="1">
      <alignment vertical="top" wrapText="1"/>
      <protection locked="0"/>
    </xf>
    <xf numFmtId="0" fontId="70" fillId="0" borderId="17" xfId="0" applyFont="1" applyBorder="1" applyAlignment="1" applyProtection="1">
      <alignment horizontal="left" vertical="top" wrapText="1"/>
      <protection locked="0"/>
    </xf>
    <xf numFmtId="0" fontId="64" fillId="0" borderId="18" xfId="0" applyFont="1" applyBorder="1" applyAlignment="1" applyProtection="1">
      <alignment vertical="top" wrapText="1"/>
      <protection locked="0"/>
    </xf>
    <xf numFmtId="0" fontId="64" fillId="0" borderId="18" xfId="0" applyFont="1" applyBorder="1" applyAlignment="1" applyProtection="1">
      <alignment vertical="top"/>
      <protection locked="0"/>
    </xf>
    <xf numFmtId="0" fontId="64" fillId="0" borderId="0" xfId="0" applyFont="1" applyAlignment="1" applyProtection="1">
      <alignment horizontal="left" vertical="top"/>
      <protection locked="0"/>
    </xf>
    <xf numFmtId="0" fontId="64" fillId="0" borderId="0" xfId="0" applyFont="1" applyAlignment="1" applyProtection="1">
      <alignment horizontal="center" vertical="top"/>
      <protection locked="0"/>
    </xf>
    <xf numFmtId="0" fontId="64" fillId="0" borderId="3" xfId="0" applyFont="1" applyBorder="1" applyAlignment="1">
      <alignment horizontal="center" vertical="top"/>
    </xf>
    <xf numFmtId="0" fontId="64" fillId="0" borderId="3" xfId="0" applyFont="1" applyBorder="1" applyAlignment="1">
      <alignment horizontal="center" vertical="top" wrapText="1"/>
    </xf>
    <xf numFmtId="0" fontId="64" fillId="0" borderId="13" xfId="0" applyFont="1" applyBorder="1" applyAlignment="1">
      <alignment horizontal="center" vertical="top" wrapText="1"/>
    </xf>
    <xf numFmtId="0" fontId="64" fillId="0" borderId="3" xfId="245" applyFont="1" applyBorder="1" applyAlignment="1">
      <alignment horizontal="center" vertical="top"/>
    </xf>
    <xf numFmtId="0" fontId="64" fillId="0" borderId="19" xfId="0" applyFont="1" applyBorder="1" applyAlignment="1">
      <alignment horizontal="center" vertical="top" wrapText="1"/>
    </xf>
    <xf numFmtId="0" fontId="64" fillId="0" borderId="13" xfId="0" applyFont="1" applyBorder="1" applyAlignment="1">
      <alignment horizontal="center" vertical="top" wrapText="1"/>
    </xf>
    <xf numFmtId="0" fontId="64" fillId="0" borderId="3" xfId="0" applyFont="1" applyBorder="1" applyAlignment="1">
      <alignment horizontal="center" vertical="top"/>
    </xf>
    <xf numFmtId="0" fontId="64" fillId="0" borderId="3" xfId="182" applyFont="1" applyFill="1" applyBorder="1" applyAlignment="1">
      <alignment horizontal="left" vertical="top" wrapText="1"/>
      <protection locked="0"/>
    </xf>
    <xf numFmtId="0" fontId="64" fillId="0" borderId="3" xfId="0" applyFont="1" applyBorder="1" applyAlignment="1" applyProtection="1">
      <alignment horizontal="left" vertical="top" wrapText="1"/>
      <protection locked="0"/>
    </xf>
    <xf numFmtId="9" fontId="64" fillId="0" borderId="3" xfId="0" applyNumberFormat="1" applyFont="1" applyBorder="1" applyAlignment="1">
      <alignment horizontal="center" vertical="top" wrapText="1"/>
    </xf>
    <xf numFmtId="0" fontId="64" fillId="0" borderId="3" xfId="0" applyFont="1" applyBorder="1" applyAlignment="1">
      <alignment horizontal="left" vertical="top" wrapText="1"/>
    </xf>
    <xf numFmtId="179" fontId="64" fillId="0" borderId="3" xfId="0" applyNumberFormat="1" applyFont="1" applyBorder="1" applyAlignment="1">
      <alignment horizontal="center" vertical="top" wrapText="1"/>
    </xf>
    <xf numFmtId="4" fontId="64" fillId="0" borderId="3" xfId="0" applyNumberFormat="1" applyFont="1" applyBorder="1" applyAlignment="1">
      <alignment horizontal="center" vertical="top" wrapText="1"/>
    </xf>
    <xf numFmtId="0" fontId="64" fillId="0" borderId="3" xfId="245" applyFont="1" applyBorder="1" applyAlignment="1">
      <alignment horizontal="left" vertical="top" wrapText="1"/>
    </xf>
    <xf numFmtId="0" fontId="64" fillId="0" borderId="0" xfId="0" applyFont="1" applyAlignment="1" applyProtection="1">
      <alignment horizontal="left" vertical="top" wrapText="1"/>
      <protection locked="0"/>
    </xf>
    <xf numFmtId="3" fontId="64" fillId="0" borderId="0" xfId="0" applyNumberFormat="1" applyFont="1" applyAlignment="1" applyProtection="1">
      <alignment horizontal="center" vertical="top"/>
      <protection locked="0"/>
    </xf>
    <xf numFmtId="0" fontId="64" fillId="0" borderId="0" xfId="0" quotePrefix="1" applyFont="1" applyAlignment="1" applyProtection="1">
      <alignment horizontal="center" vertical="top"/>
      <protection locked="0"/>
    </xf>
    <xf numFmtId="0" fontId="64" fillId="0" borderId="0" xfId="0" applyFont="1" applyAlignment="1" applyProtection="1">
      <alignment vertical="center"/>
      <protection locked="0"/>
    </xf>
    <xf numFmtId="0" fontId="64" fillId="0" borderId="0" xfId="0" applyFont="1" applyAlignment="1">
      <alignment horizontal="left" vertical="top" wrapText="1"/>
    </xf>
    <xf numFmtId="0" fontId="64" fillId="0" borderId="0" xfId="0" applyFont="1" applyAlignment="1">
      <alignment vertical="top" wrapText="1"/>
    </xf>
    <xf numFmtId="0" fontId="71" fillId="0" borderId="0" xfId="0" applyFont="1" applyAlignment="1" applyProtection="1">
      <alignment horizontal="center" vertical="top"/>
      <protection locked="0"/>
    </xf>
    <xf numFmtId="0" fontId="64" fillId="0" borderId="0" xfId="0" applyFont="1" applyAlignment="1">
      <alignment horizontal="center" vertical="top"/>
    </xf>
    <xf numFmtId="0" fontId="64" fillId="0" borderId="14" xfId="0" applyFont="1" applyBorder="1" applyAlignment="1">
      <alignment horizontal="center" vertical="top" wrapText="1"/>
    </xf>
    <xf numFmtId="0" fontId="64" fillId="0" borderId="18" xfId="0" applyFont="1" applyBorder="1" applyAlignment="1">
      <alignment horizontal="center" vertical="top" wrapText="1"/>
    </xf>
    <xf numFmtId="0" fontId="64" fillId="0" borderId="17" xfId="0" applyFont="1" applyBorder="1" applyAlignment="1">
      <alignment horizontal="center" vertical="top" wrapText="1"/>
    </xf>
    <xf numFmtId="0" fontId="64" fillId="0" borderId="14" xfId="0" applyFont="1" applyBorder="1" applyAlignment="1" applyProtection="1">
      <alignment horizontal="center" vertical="top" wrapText="1"/>
      <protection locked="0"/>
    </xf>
    <xf numFmtId="0" fontId="64" fillId="0" borderId="18" xfId="0" applyFont="1" applyBorder="1" applyAlignment="1" applyProtection="1">
      <alignment horizontal="center" vertical="top" wrapText="1"/>
      <protection locked="0"/>
    </xf>
    <xf numFmtId="0" fontId="64" fillId="0" borderId="3" xfId="237" applyFont="1" applyBorder="1" applyAlignment="1">
      <alignment horizontal="center" vertical="top" wrapText="1"/>
    </xf>
    <xf numFmtId="0" fontId="61" fillId="0" borderId="0" xfId="0" applyFont="1" applyFill="1" applyAlignment="1">
      <alignment vertical="top"/>
    </xf>
    <xf numFmtId="0" fontId="61" fillId="0" borderId="0" xfId="0" applyFont="1" applyFill="1" applyAlignment="1">
      <alignment horizontal="left" vertical="top"/>
    </xf>
    <xf numFmtId="0" fontId="61" fillId="0" borderId="0" xfId="0" applyFont="1" applyFill="1" applyAlignment="1">
      <alignment horizontal="right" vertical="top"/>
    </xf>
    <xf numFmtId="0" fontId="64" fillId="0" borderId="0" xfId="0" applyFont="1" applyFill="1" applyAlignment="1">
      <alignment horizontal="left" vertical="top"/>
    </xf>
    <xf numFmtId="0" fontId="61" fillId="0" borderId="0" xfId="0" applyFont="1" applyFill="1" applyAlignment="1">
      <alignment horizontal="center" vertical="top" wrapText="1"/>
    </xf>
    <xf numFmtId="0" fontId="61" fillId="0" borderId="0" xfId="0" applyFont="1" applyFill="1" applyAlignment="1">
      <alignment horizontal="right" vertical="top" wrapText="1"/>
    </xf>
    <xf numFmtId="0" fontId="64" fillId="0" borderId="0" xfId="0" applyFont="1" applyFill="1" applyAlignment="1">
      <alignment horizontal="center" vertical="top" wrapText="1"/>
    </xf>
    <xf numFmtId="0" fontId="68" fillId="0" borderId="3" xfId="0" applyFont="1" applyFill="1" applyBorder="1" applyAlignment="1">
      <alignment horizontal="center" vertical="top"/>
    </xf>
    <xf numFmtId="0" fontId="68" fillId="0" borderId="3" xfId="0" applyFont="1" applyFill="1" applyBorder="1" applyAlignment="1">
      <alignment horizontal="center" vertical="top" wrapText="1"/>
    </xf>
    <xf numFmtId="0" fontId="68" fillId="0" borderId="3" xfId="0" applyFont="1" applyFill="1" applyBorder="1" applyAlignment="1">
      <alignment horizontal="center" vertical="top" wrapText="1"/>
    </xf>
    <xf numFmtId="0" fontId="61" fillId="0" borderId="3" xfId="0" applyFont="1" applyFill="1" applyBorder="1" applyAlignment="1">
      <alignment horizontal="center" vertical="top"/>
    </xf>
    <xf numFmtId="0" fontId="61" fillId="0" borderId="3" xfId="0" applyFont="1" applyFill="1" applyBorder="1" applyAlignment="1">
      <alignment horizontal="center" vertical="top" wrapText="1"/>
    </xf>
    <xf numFmtId="0" fontId="61" fillId="0" borderId="3" xfId="0" applyFont="1" applyFill="1" applyBorder="1" applyAlignment="1">
      <alignment horizontal="right" vertical="top" wrapText="1"/>
    </xf>
    <xf numFmtId="0" fontId="64" fillId="0" borderId="3" xfId="0" applyFont="1" applyFill="1" applyBorder="1" applyAlignment="1">
      <alignment horizontal="center" vertical="top" wrapText="1"/>
    </xf>
    <xf numFmtId="3" fontId="64" fillId="0" borderId="3" xfId="0" quotePrefix="1" applyNumberFormat="1" applyFont="1" applyFill="1" applyBorder="1" applyAlignment="1" applyProtection="1">
      <alignment horizontal="center" vertical="top" wrapText="1"/>
      <protection locked="0"/>
    </xf>
    <xf numFmtId="170" fontId="61" fillId="0" borderId="3" xfId="0" quotePrefix="1" applyNumberFormat="1" applyFont="1" applyFill="1" applyBorder="1" applyAlignment="1" applyProtection="1">
      <alignment horizontal="center" vertical="top" wrapText="1"/>
      <protection locked="0"/>
    </xf>
    <xf numFmtId="49" fontId="61" fillId="0" borderId="3" xfId="0" quotePrefix="1" applyNumberFormat="1" applyFont="1" applyFill="1" applyBorder="1" applyAlignment="1" applyProtection="1">
      <alignment horizontal="left" vertical="top" wrapText="1"/>
      <protection locked="0"/>
    </xf>
    <xf numFmtId="0" fontId="61" fillId="0" borderId="3" xfId="0" applyFont="1" applyFill="1" applyBorder="1" applyAlignment="1">
      <alignment horizontal="left" vertical="top" wrapText="1"/>
    </xf>
    <xf numFmtId="0" fontId="61" fillId="0" borderId="3" xfId="0" quotePrefix="1" applyFont="1" applyFill="1" applyBorder="1" applyAlignment="1">
      <alignment horizontal="center" vertical="top"/>
    </xf>
    <xf numFmtId="49" fontId="61" fillId="0" borderId="3" xfId="0" quotePrefix="1" applyNumberFormat="1" applyFont="1" applyFill="1" applyBorder="1" applyAlignment="1">
      <alignment horizontal="left" vertical="top" wrapText="1"/>
    </xf>
    <xf numFmtId="3" fontId="61" fillId="0" borderId="3" xfId="0" applyNumberFormat="1" applyFont="1" applyFill="1" applyBorder="1" applyAlignment="1" applyProtection="1">
      <alignment horizontal="center" vertical="top" wrapText="1"/>
      <protection locked="0"/>
    </xf>
    <xf numFmtId="49" fontId="61" fillId="0" borderId="3" xfId="0" applyNumberFormat="1" applyFont="1" applyFill="1" applyBorder="1" applyAlignment="1" applyProtection="1">
      <alignment horizontal="left" vertical="top" wrapText="1"/>
      <protection locked="0"/>
    </xf>
    <xf numFmtId="0" fontId="65" fillId="0" borderId="3" xfId="0" applyFont="1" applyFill="1" applyBorder="1" applyAlignment="1">
      <alignment horizontal="left" vertical="top" wrapText="1"/>
    </xf>
    <xf numFmtId="3" fontId="64" fillId="0" borderId="3" xfId="0" applyNumberFormat="1" applyFont="1" applyFill="1" applyBorder="1" applyAlignment="1" applyProtection="1">
      <alignment horizontal="center" vertical="top" wrapText="1"/>
      <protection locked="0"/>
    </xf>
    <xf numFmtId="170" fontId="61" fillId="0" borderId="3" xfId="0" applyNumberFormat="1" applyFont="1" applyFill="1" applyBorder="1" applyAlignment="1" applyProtection="1">
      <alignment horizontal="center" vertical="top" wrapText="1"/>
      <protection locked="0"/>
    </xf>
    <xf numFmtId="3" fontId="61" fillId="0" borderId="3" xfId="0" quotePrefix="1" applyNumberFormat="1" applyFont="1" applyFill="1" applyBorder="1" applyAlignment="1" applyProtection="1">
      <alignment horizontal="center" vertical="top" wrapText="1"/>
      <protection locked="0"/>
    </xf>
    <xf numFmtId="3" fontId="61" fillId="0" borderId="3" xfId="0" quotePrefix="1" applyNumberFormat="1" applyFont="1" applyFill="1" applyBorder="1" applyAlignment="1">
      <alignment horizontal="center" vertical="top"/>
    </xf>
    <xf numFmtId="170" fontId="63" fillId="0" borderId="3" xfId="0" quotePrefix="1" applyNumberFormat="1" applyFont="1" applyFill="1" applyBorder="1" applyAlignment="1" applyProtection="1">
      <alignment horizontal="center" vertical="top" wrapText="1"/>
      <protection locked="0"/>
    </xf>
    <xf numFmtId="3" fontId="61" fillId="0" borderId="3" xfId="0" applyNumberFormat="1" applyFont="1" applyFill="1" applyBorder="1" applyAlignment="1">
      <alignment horizontal="center" vertical="top"/>
    </xf>
    <xf numFmtId="1" fontId="61" fillId="0" borderId="3" xfId="0" applyNumberFormat="1" applyFont="1" applyFill="1" applyBorder="1" applyAlignment="1" applyProtection="1">
      <alignment horizontal="center" vertical="top" wrapText="1"/>
      <protection locked="0"/>
    </xf>
    <xf numFmtId="1" fontId="64" fillId="0" borderId="3" xfId="0" applyNumberFormat="1" applyFont="1" applyFill="1" applyBorder="1" applyAlignment="1" applyProtection="1">
      <alignment horizontal="center" vertical="top" wrapText="1"/>
      <protection locked="0"/>
    </xf>
    <xf numFmtId="0" fontId="61" fillId="0" borderId="3" xfId="0" applyFont="1" applyFill="1" applyBorder="1" applyAlignment="1" applyProtection="1">
      <alignment horizontal="left" vertical="top" wrapText="1"/>
      <protection locked="0"/>
    </xf>
    <xf numFmtId="0" fontId="61" fillId="0" borderId="3" xfId="0" quotePrefix="1" applyFont="1" applyFill="1" applyBorder="1" applyAlignment="1" applyProtection="1">
      <alignment horizontal="center" vertical="top"/>
      <protection locked="0"/>
    </xf>
    <xf numFmtId="3" fontId="65" fillId="0" borderId="3" xfId="0" quotePrefix="1" applyNumberFormat="1" applyFont="1" applyFill="1" applyBorder="1" applyAlignment="1" applyProtection="1">
      <alignment horizontal="center" vertical="top" wrapText="1"/>
      <protection locked="0"/>
    </xf>
    <xf numFmtId="3" fontId="61" fillId="0" borderId="3" xfId="0" applyNumberFormat="1" applyFont="1" applyFill="1" applyBorder="1" applyAlignment="1">
      <alignment horizontal="center" vertical="top" wrapText="1"/>
    </xf>
    <xf numFmtId="3" fontId="61" fillId="0" borderId="3" xfId="0" quotePrefix="1" applyNumberFormat="1" applyFont="1" applyFill="1" applyBorder="1" applyAlignment="1">
      <alignment horizontal="center" vertical="top" wrapText="1"/>
    </xf>
    <xf numFmtId="0" fontId="61" fillId="0" borderId="0" xfId="0" quotePrefix="1" applyFont="1" applyFill="1" applyAlignment="1" applyProtection="1">
      <alignment horizontal="center" vertical="top"/>
      <protection locked="0"/>
    </xf>
    <xf numFmtId="0" fontId="61" fillId="0" borderId="0" xfId="0" applyFont="1" applyFill="1" applyAlignment="1" applyProtection="1">
      <alignment vertical="top"/>
      <protection locked="0"/>
    </xf>
    <xf numFmtId="0" fontId="61" fillId="0" borderId="0" xfId="0" applyFont="1" applyFill="1" applyAlignment="1" applyProtection="1">
      <alignment vertical="top" wrapText="1"/>
      <protection locked="0"/>
    </xf>
    <xf numFmtId="0" fontId="61" fillId="0" borderId="0" xfId="0" applyFont="1" applyFill="1" applyAlignment="1" applyProtection="1">
      <alignment vertical="center"/>
      <protection locked="0"/>
    </xf>
    <xf numFmtId="0" fontId="61" fillId="0" borderId="0" xfId="0" applyFont="1" applyFill="1" applyAlignment="1" applyProtection="1">
      <alignment horizontal="left" vertical="top"/>
      <protection locked="0"/>
    </xf>
    <xf numFmtId="0" fontId="61" fillId="0" borderId="0" xfId="0" applyFont="1" applyFill="1" applyAlignment="1" applyProtection="1">
      <alignment horizontal="center" vertical="top"/>
      <protection locked="0"/>
    </xf>
    <xf numFmtId="0" fontId="61" fillId="0" borderId="0" xfId="0" applyFont="1" applyFill="1" applyAlignment="1" applyProtection="1">
      <alignment horizontal="left" vertical="top" wrapText="1"/>
      <protection locked="0"/>
    </xf>
    <xf numFmtId="0" fontId="61" fillId="0" borderId="0" xfId="0" applyFont="1" applyFill="1" applyAlignment="1" applyProtection="1">
      <alignment horizontal="center" vertical="top"/>
      <protection locked="0"/>
    </xf>
    <xf numFmtId="0" fontId="61" fillId="0" borderId="0" xfId="0" applyFont="1" applyFill="1" applyAlignment="1" applyProtection="1">
      <alignment horizontal="right" vertical="top"/>
      <protection locked="0"/>
    </xf>
    <xf numFmtId="0" fontId="64" fillId="0" borderId="0" xfId="0" applyFont="1" applyFill="1" applyAlignment="1" applyProtection="1">
      <alignment horizontal="center" vertical="top"/>
      <protection locked="0"/>
    </xf>
    <xf numFmtId="0" fontId="61" fillId="0" borderId="0" xfId="0" applyFont="1" applyFill="1" applyAlignment="1">
      <alignment horizontal="left" vertical="top" wrapText="1"/>
    </xf>
    <xf numFmtId="0" fontId="61" fillId="0" borderId="0" xfId="0" applyFont="1" applyFill="1" applyAlignment="1">
      <alignment horizontal="left" vertical="top" wrapText="1"/>
    </xf>
    <xf numFmtId="0" fontId="61" fillId="0" borderId="0" xfId="0" applyFont="1" applyFill="1" applyAlignment="1">
      <alignment horizontal="center" vertical="top"/>
    </xf>
    <xf numFmtId="0" fontId="64" fillId="0" borderId="0" xfId="0" applyFont="1" applyFill="1" applyAlignment="1">
      <alignment horizontal="center" vertical="top"/>
    </xf>
    <xf numFmtId="0" fontId="61" fillId="0" borderId="0" xfId="0" applyFont="1" applyFill="1" applyAlignment="1">
      <alignment vertical="top" wrapText="1"/>
    </xf>
    <xf numFmtId="14" fontId="61" fillId="0" borderId="0" xfId="0" applyNumberFormat="1" applyFont="1" applyFill="1" applyAlignment="1">
      <alignment horizontal="center" vertical="top"/>
    </xf>
    <xf numFmtId="0" fontId="61" fillId="0" borderId="13" xfId="0" applyFont="1" applyFill="1" applyBorder="1" applyAlignment="1">
      <alignment horizontal="center" vertical="top" wrapText="1"/>
    </xf>
    <xf numFmtId="0" fontId="61" fillId="0" borderId="13" xfId="0" applyFont="1" applyFill="1" applyBorder="1" applyAlignment="1">
      <alignment horizontal="center" vertical="top" wrapText="1"/>
    </xf>
    <xf numFmtId="170" fontId="61" fillId="0" borderId="3" xfId="0" applyNumberFormat="1" applyFont="1" applyFill="1" applyBorder="1" applyAlignment="1">
      <alignment horizontal="center" vertical="top" wrapText="1"/>
    </xf>
    <xf numFmtId="170" fontId="63" fillId="0" borderId="3" xfId="0" applyNumberFormat="1" applyFont="1" applyFill="1" applyBorder="1" applyAlignment="1">
      <alignment horizontal="center" vertical="top" wrapText="1"/>
    </xf>
    <xf numFmtId="0" fontId="61" fillId="0" borderId="3" xfId="0" applyFont="1" applyFill="1" applyBorder="1" applyAlignment="1">
      <alignment horizontal="center" vertical="top" wrapText="1"/>
    </xf>
    <xf numFmtId="0" fontId="61" fillId="0" borderId="14" xfId="245" applyFont="1" applyFill="1" applyBorder="1" applyAlignment="1">
      <alignment horizontal="center" vertical="top"/>
    </xf>
    <xf numFmtId="3" fontId="64" fillId="0" borderId="3" xfId="0" quotePrefix="1" applyNumberFormat="1" applyFont="1" applyFill="1" applyBorder="1" applyAlignment="1">
      <alignment horizontal="center" vertical="top" wrapText="1"/>
    </xf>
    <xf numFmtId="170" fontId="64" fillId="0" borderId="3" xfId="0" applyNumberFormat="1" applyFont="1" applyFill="1" applyBorder="1" applyAlignment="1">
      <alignment horizontal="center" vertical="top" wrapText="1"/>
    </xf>
    <xf numFmtId="3" fontId="64" fillId="0" borderId="3" xfId="0" applyNumberFormat="1" applyFont="1" applyFill="1" applyBorder="1" applyAlignment="1">
      <alignment horizontal="center" vertical="top" wrapText="1"/>
    </xf>
    <xf numFmtId="170" fontId="64" fillId="0" borderId="3" xfId="0" quotePrefix="1" applyNumberFormat="1" applyFont="1" applyFill="1" applyBorder="1" applyAlignment="1">
      <alignment horizontal="center" vertical="top" wrapText="1"/>
    </xf>
    <xf numFmtId="170" fontId="61" fillId="0" borderId="3" xfId="0" quotePrefix="1" applyNumberFormat="1" applyFont="1" applyFill="1" applyBorder="1" applyAlignment="1">
      <alignment horizontal="center" vertical="top" wrapText="1"/>
    </xf>
    <xf numFmtId="170" fontId="64" fillId="0" borderId="3" xfId="0" applyNumberFormat="1" applyFont="1" applyFill="1" applyBorder="1" applyAlignment="1">
      <alignment vertical="top"/>
    </xf>
    <xf numFmtId="0" fontId="61" fillId="0" borderId="15" xfId="0" applyFont="1" applyFill="1" applyBorder="1" applyAlignment="1">
      <alignment vertical="top"/>
    </xf>
    <xf numFmtId="0" fontId="61" fillId="0" borderId="13" xfId="0" applyFont="1" applyFill="1" applyBorder="1" applyAlignment="1">
      <alignment horizontal="center" vertical="top"/>
    </xf>
    <xf numFmtId="0" fontId="61" fillId="0" borderId="18" xfId="245" applyFont="1" applyFill="1" applyBorder="1" applyAlignment="1">
      <alignment horizontal="center" vertical="top"/>
    </xf>
    <xf numFmtId="0" fontId="61" fillId="0" borderId="17" xfId="245" applyFont="1" applyFill="1" applyBorder="1" applyAlignment="1">
      <alignment horizontal="center" vertical="top"/>
    </xf>
    <xf numFmtId="0" fontId="61" fillId="0" borderId="19" xfId="0" applyFont="1" applyFill="1" applyBorder="1" applyAlignment="1">
      <alignment horizontal="center" vertical="top"/>
    </xf>
    <xf numFmtId="0" fontId="61" fillId="0" borderId="19" xfId="0" applyFont="1" applyFill="1" applyBorder="1" applyAlignment="1">
      <alignment horizontal="center" vertical="top" wrapText="1"/>
    </xf>
    <xf numFmtId="1" fontId="66" fillId="0" borderId="3" xfId="0" applyNumberFormat="1" applyFont="1" applyFill="1" applyBorder="1" applyAlignment="1">
      <alignment horizontal="center" vertical="center" wrapText="1"/>
    </xf>
    <xf numFmtId="1" fontId="66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61" fillId="0" borderId="13" xfId="237" applyFont="1" applyFill="1" applyBorder="1" applyAlignment="1">
      <alignment horizontal="center" vertical="top" wrapText="1"/>
    </xf>
    <xf numFmtId="0" fontId="61" fillId="0" borderId="21" xfId="0" applyFont="1" applyFill="1" applyBorder="1" applyAlignment="1">
      <alignment horizontal="center" vertical="top" wrapText="1"/>
    </xf>
    <xf numFmtId="0" fontId="61" fillId="0" borderId="19" xfId="237" applyFont="1" applyFill="1" applyBorder="1" applyAlignment="1">
      <alignment horizontal="center" vertical="top" wrapText="1"/>
    </xf>
    <xf numFmtId="0" fontId="61" fillId="0" borderId="22" xfId="0" applyFont="1" applyFill="1" applyBorder="1" applyAlignment="1">
      <alignment horizontal="center" vertical="top" wrapText="1"/>
    </xf>
    <xf numFmtId="0" fontId="61" fillId="0" borderId="3" xfId="237" applyFont="1" applyFill="1" applyBorder="1" applyAlignment="1">
      <alignment horizontal="center" vertical="top"/>
    </xf>
    <xf numFmtId="0" fontId="61" fillId="0" borderId="3" xfId="237" applyFont="1" applyFill="1" applyBorder="1" applyAlignment="1">
      <alignment horizontal="center" vertical="top" wrapText="1"/>
    </xf>
    <xf numFmtId="178" fontId="61" fillId="0" borderId="3" xfId="237" applyNumberFormat="1" applyFont="1" applyFill="1" applyBorder="1" applyAlignment="1">
      <alignment horizontal="center" vertical="top" wrapText="1"/>
    </xf>
    <xf numFmtId="3" fontId="61" fillId="0" borderId="3" xfId="237" applyNumberFormat="1" applyFont="1" applyFill="1" applyBorder="1" applyAlignment="1">
      <alignment horizontal="left" vertical="top" wrapText="1"/>
    </xf>
    <xf numFmtId="0" fontId="61" fillId="0" borderId="3" xfId="237" applyFont="1" applyFill="1" applyBorder="1" applyAlignment="1">
      <alignment horizontal="left" vertical="top" wrapText="1"/>
    </xf>
    <xf numFmtId="170" fontId="61" fillId="0" borderId="3" xfId="237" applyNumberFormat="1" applyFont="1" applyFill="1" applyBorder="1" applyAlignment="1">
      <alignment horizontal="center" vertical="top" wrapText="1"/>
    </xf>
    <xf numFmtId="4" fontId="61" fillId="0" borderId="3" xfId="237" applyNumberFormat="1" applyFont="1" applyFill="1" applyBorder="1" applyAlignment="1">
      <alignment horizontal="center" vertical="top" wrapText="1"/>
    </xf>
    <xf numFmtId="49" fontId="61" fillId="0" borderId="3" xfId="237" applyNumberFormat="1" applyFont="1" applyFill="1" applyBorder="1" applyAlignment="1">
      <alignment horizontal="left" vertical="top" wrapText="1"/>
    </xf>
    <xf numFmtId="0" fontId="61" fillId="0" borderId="0" xfId="0" applyFont="1" applyFill="1" applyAlignment="1">
      <alignment horizontal="center" vertical="top"/>
    </xf>
    <xf numFmtId="0" fontId="64" fillId="0" borderId="0" xfId="0" applyFont="1" applyFill="1" applyAlignment="1">
      <alignment vertical="top"/>
    </xf>
    <xf numFmtId="0" fontId="61" fillId="0" borderId="3" xfId="0" applyFont="1" applyFill="1" applyBorder="1" applyAlignment="1">
      <alignment horizontal="left" vertical="top" wrapText="1"/>
    </xf>
    <xf numFmtId="1" fontId="67" fillId="0" borderId="3" xfId="0" applyNumberFormat="1" applyFont="1" applyFill="1" applyBorder="1" applyAlignment="1">
      <alignment vertical="top" wrapText="1"/>
    </xf>
    <xf numFmtId="4" fontId="67" fillId="0" borderId="3" xfId="0" applyNumberFormat="1" applyFont="1" applyFill="1" applyBorder="1" applyAlignment="1">
      <alignment vertical="top" wrapText="1"/>
    </xf>
    <xf numFmtId="0" fontId="67" fillId="0" borderId="3" xfId="0" applyFont="1" applyFill="1" applyBorder="1" applyAlignment="1">
      <alignment vertical="top" wrapText="1"/>
    </xf>
    <xf numFmtId="10" fontId="67" fillId="0" borderId="3" xfId="0" applyNumberFormat="1" applyFont="1" applyFill="1" applyBorder="1" applyAlignment="1">
      <alignment vertical="top" wrapText="1"/>
    </xf>
    <xf numFmtId="0" fontId="61" fillId="0" borderId="0" xfId="0" applyFont="1" applyFill="1" applyAlignment="1">
      <alignment horizontal="center" vertical="top" wrapText="1"/>
    </xf>
    <xf numFmtId="0" fontId="61" fillId="0" borderId="3" xfId="0" applyFont="1" applyFill="1" applyBorder="1" applyAlignment="1">
      <alignment horizontal="left" vertical="top" wrapText="1" shrinkToFit="1"/>
    </xf>
    <xf numFmtId="3" fontId="61" fillId="0" borderId="0" xfId="0" quotePrefix="1" applyNumberFormat="1" applyFont="1" applyFill="1" applyAlignment="1" applyProtection="1">
      <alignment horizontal="center" vertical="top"/>
      <protection locked="0"/>
    </xf>
    <xf numFmtId="0" fontId="64" fillId="0" borderId="0" xfId="0" quotePrefix="1" applyFont="1" applyFill="1" applyAlignment="1" applyProtection="1">
      <alignment horizontal="center" vertical="top"/>
      <protection locked="0"/>
    </xf>
    <xf numFmtId="0" fontId="61" fillId="0" borderId="0" xfId="237" applyFont="1" applyFill="1" applyAlignment="1">
      <alignment horizontal="center" vertical="top" wrapText="1"/>
    </xf>
    <xf numFmtId="0" fontId="61" fillId="0" borderId="14" xfId="237" applyFont="1" applyFill="1" applyBorder="1" applyAlignment="1">
      <alignment horizontal="center" vertical="top"/>
    </xf>
    <xf numFmtId="0" fontId="61" fillId="0" borderId="18" xfId="237" applyFont="1" applyFill="1" applyBorder="1" applyAlignment="1">
      <alignment horizontal="center" vertical="top"/>
    </xf>
    <xf numFmtId="0" fontId="61" fillId="0" borderId="17" xfId="237" applyFont="1" applyFill="1" applyBorder="1" applyAlignment="1">
      <alignment horizontal="center" vertical="top"/>
    </xf>
    <xf numFmtId="0" fontId="67" fillId="0" borderId="0" xfId="0" applyFont="1" applyFill="1" applyAlignment="1">
      <alignment horizontal="center" vertical="top"/>
    </xf>
    <xf numFmtId="0" fontId="67" fillId="0" borderId="0" xfId="0" applyFont="1" applyFill="1" applyAlignment="1">
      <alignment vertical="top"/>
    </xf>
    <xf numFmtId="0" fontId="67" fillId="0" borderId="0" xfId="0" applyFont="1" applyFill="1" applyAlignment="1">
      <alignment horizontal="right" vertical="top"/>
    </xf>
    <xf numFmtId="0" fontId="67" fillId="0" borderId="0" xfId="0" applyFont="1" applyFill="1" applyAlignment="1">
      <alignment horizontal="right" vertical="top" wrapText="1"/>
    </xf>
    <xf numFmtId="0" fontId="67" fillId="0" borderId="0" xfId="0" applyFont="1" applyFill="1" applyAlignment="1">
      <alignment horizontal="center" vertical="top"/>
    </xf>
    <xf numFmtId="0" fontId="67" fillId="0" borderId="0" xfId="0" applyFont="1" applyFill="1" applyAlignment="1">
      <alignment horizontal="left" vertical="top" wrapText="1"/>
    </xf>
    <xf numFmtId="0" fontId="67" fillId="0" borderId="15" xfId="0" applyFont="1" applyFill="1" applyBorder="1" applyAlignment="1">
      <alignment horizontal="left" vertical="top" wrapText="1"/>
    </xf>
    <xf numFmtId="0" fontId="67" fillId="0" borderId="13" xfId="0" applyFont="1" applyFill="1" applyBorder="1" applyAlignment="1">
      <alignment horizontal="center" vertical="top" wrapText="1" shrinkToFit="1"/>
    </xf>
    <xf numFmtId="0" fontId="67" fillId="0" borderId="23" xfId="0" applyFont="1" applyFill="1" applyBorder="1" applyAlignment="1">
      <alignment horizontal="center" vertical="top" wrapText="1" shrinkToFit="1"/>
    </xf>
    <xf numFmtId="0" fontId="67" fillId="0" borderId="16" xfId="0" applyFont="1" applyFill="1" applyBorder="1" applyAlignment="1">
      <alignment horizontal="center" vertical="top" wrapText="1" shrinkToFit="1"/>
    </xf>
    <xf numFmtId="0" fontId="67" fillId="0" borderId="21" xfId="0" applyFont="1" applyFill="1" applyBorder="1" applyAlignment="1">
      <alignment horizontal="center" vertical="top" wrapText="1" shrinkToFit="1"/>
    </xf>
    <xf numFmtId="0" fontId="67" fillId="0" borderId="23" xfId="0" applyFont="1" applyFill="1" applyBorder="1" applyAlignment="1">
      <alignment horizontal="center" vertical="top" wrapText="1"/>
    </xf>
    <xf numFmtId="0" fontId="67" fillId="0" borderId="21" xfId="0" applyFont="1" applyFill="1" applyBorder="1" applyAlignment="1">
      <alignment horizontal="center" vertical="top" wrapText="1"/>
    </xf>
    <xf numFmtId="0" fontId="67" fillId="0" borderId="16" xfId="0" applyFont="1" applyFill="1" applyBorder="1" applyAlignment="1">
      <alignment horizontal="center" vertical="top" wrapText="1"/>
    </xf>
    <xf numFmtId="0" fontId="67" fillId="0" borderId="14" xfId="0" applyFont="1" applyFill="1" applyBorder="1" applyAlignment="1">
      <alignment horizontal="center" vertical="top" wrapText="1"/>
    </xf>
    <xf numFmtId="0" fontId="67" fillId="0" borderId="18" xfId="0" applyFont="1" applyFill="1" applyBorder="1" applyAlignment="1">
      <alignment horizontal="center" vertical="top" wrapText="1"/>
    </xf>
    <xf numFmtId="0" fontId="67" fillId="0" borderId="17" xfId="0" applyFont="1" applyFill="1" applyBorder="1" applyAlignment="1">
      <alignment horizontal="center" vertical="top" wrapText="1"/>
    </xf>
    <xf numFmtId="0" fontId="67" fillId="0" borderId="19" xfId="0" applyFont="1" applyFill="1" applyBorder="1" applyAlignment="1">
      <alignment horizontal="center" vertical="top" wrapText="1" shrinkToFit="1"/>
    </xf>
    <xf numFmtId="0" fontId="67" fillId="0" borderId="25" xfId="0" applyFont="1" applyFill="1" applyBorder="1" applyAlignment="1">
      <alignment horizontal="center" vertical="top" wrapText="1" shrinkToFit="1"/>
    </xf>
    <xf numFmtId="0" fontId="67" fillId="0" borderId="0" xfId="0" applyFont="1" applyFill="1" applyAlignment="1">
      <alignment horizontal="center" vertical="top" wrapText="1" shrinkToFit="1"/>
    </xf>
    <xf numFmtId="0" fontId="67" fillId="0" borderId="26" xfId="0" applyFont="1" applyFill="1" applyBorder="1" applyAlignment="1">
      <alignment horizontal="center" vertical="top" wrapText="1" shrinkToFit="1"/>
    </xf>
    <xf numFmtId="0" fontId="67" fillId="0" borderId="24" xfId="0" applyFont="1" applyFill="1" applyBorder="1" applyAlignment="1">
      <alignment horizontal="center" vertical="top" wrapText="1"/>
    </xf>
    <xf numFmtId="0" fontId="67" fillId="0" borderId="22" xfId="0" applyFont="1" applyFill="1" applyBorder="1" applyAlignment="1">
      <alignment horizontal="center" vertical="top" wrapText="1"/>
    </xf>
    <xf numFmtId="0" fontId="67" fillId="0" borderId="15" xfId="0" applyFont="1" applyFill="1" applyBorder="1" applyAlignment="1">
      <alignment horizontal="center" vertical="top" wrapText="1"/>
    </xf>
    <xf numFmtId="0" fontId="64" fillId="0" borderId="3" xfId="0" applyFont="1" applyFill="1" applyBorder="1" applyAlignment="1">
      <alignment horizontal="center" vertical="top" wrapText="1" shrinkToFit="1"/>
    </xf>
    <xf numFmtId="0" fontId="64" fillId="0" borderId="3" xfId="0" applyFont="1" applyFill="1" applyBorder="1" applyAlignment="1">
      <alignment horizontal="center" vertical="top" wrapText="1" shrinkToFit="1"/>
    </xf>
    <xf numFmtId="0" fontId="64" fillId="0" borderId="14" xfId="0" applyFont="1" applyFill="1" applyBorder="1" applyAlignment="1">
      <alignment horizontal="center" vertical="top" wrapText="1" shrinkToFit="1"/>
    </xf>
    <xf numFmtId="0" fontId="64" fillId="0" borderId="17" xfId="0" applyFont="1" applyFill="1" applyBorder="1" applyAlignment="1">
      <alignment horizontal="center" vertical="top" wrapText="1" shrinkToFit="1"/>
    </xf>
    <xf numFmtId="0" fontId="64" fillId="0" borderId="18" xfId="0" applyFont="1" applyFill="1" applyBorder="1" applyAlignment="1">
      <alignment horizontal="center" vertical="top" wrapText="1" shrinkToFit="1"/>
    </xf>
    <xf numFmtId="0" fontId="64" fillId="0" borderId="14" xfId="0" applyFont="1" applyFill="1" applyBorder="1" applyAlignment="1">
      <alignment horizontal="left" vertical="top" wrapText="1" shrinkToFit="1"/>
    </xf>
    <xf numFmtId="0" fontId="64" fillId="0" borderId="18" xfId="0" applyFont="1" applyFill="1" applyBorder="1" applyAlignment="1">
      <alignment horizontal="left" vertical="top" wrapText="1" shrinkToFit="1"/>
    </xf>
    <xf numFmtId="0" fontId="64" fillId="0" borderId="17" xfId="0" applyFont="1" applyFill="1" applyBorder="1" applyAlignment="1">
      <alignment horizontal="left" vertical="top" wrapText="1" shrinkToFit="1"/>
    </xf>
    <xf numFmtId="169" fontId="67" fillId="0" borderId="0" xfId="0" applyNumberFormat="1" applyFont="1" applyFill="1" applyAlignment="1">
      <alignment horizontal="right" vertical="top" wrapText="1"/>
    </xf>
    <xf numFmtId="0" fontId="67" fillId="0" borderId="0" xfId="0" applyFont="1" applyFill="1" applyAlignment="1">
      <alignment horizontal="left" vertical="top"/>
    </xf>
    <xf numFmtId="0" fontId="67" fillId="0" borderId="13" xfId="0" applyFont="1" applyFill="1" applyBorder="1" applyAlignment="1">
      <alignment horizontal="center" vertical="top" wrapText="1"/>
    </xf>
    <xf numFmtId="0" fontId="67" fillId="0" borderId="3" xfId="0" applyFont="1" applyFill="1" applyBorder="1" applyAlignment="1">
      <alignment horizontal="center" vertical="top" wrapText="1"/>
    </xf>
    <xf numFmtId="0" fontId="67" fillId="0" borderId="20" xfId="0" applyFont="1" applyFill="1" applyBorder="1" applyAlignment="1">
      <alignment horizontal="center" vertical="top" wrapText="1" shrinkToFit="1"/>
    </xf>
    <xf numFmtId="0" fontId="67" fillId="0" borderId="25" xfId="0" applyFont="1" applyFill="1" applyBorder="1" applyAlignment="1">
      <alignment horizontal="center" vertical="top" wrapText="1"/>
    </xf>
    <xf numFmtId="0" fontId="67" fillId="0" borderId="0" xfId="0" applyFont="1" applyFill="1" applyAlignment="1">
      <alignment horizontal="center" vertical="top" wrapText="1"/>
    </xf>
    <xf numFmtId="0" fontId="67" fillId="0" borderId="26" xfId="0" applyFont="1" applyFill="1" applyBorder="1" applyAlignment="1">
      <alignment horizontal="center" vertical="top" wrapText="1"/>
    </xf>
    <xf numFmtId="0" fontId="67" fillId="0" borderId="20" xfId="0" applyFont="1" applyFill="1" applyBorder="1" applyAlignment="1">
      <alignment horizontal="center" vertical="top" wrapText="1"/>
    </xf>
    <xf numFmtId="0" fontId="67" fillId="0" borderId="24" xfId="0" applyFont="1" applyFill="1" applyBorder="1" applyAlignment="1">
      <alignment horizontal="center" vertical="top" wrapText="1" shrinkToFit="1"/>
    </xf>
    <xf numFmtId="0" fontId="67" fillId="0" borderId="15" xfId="0" applyFont="1" applyFill="1" applyBorder="1" applyAlignment="1">
      <alignment horizontal="center" vertical="top" wrapText="1" shrinkToFit="1"/>
    </xf>
    <xf numFmtId="0" fontId="67" fillId="0" borderId="22" xfId="0" applyFont="1" applyFill="1" applyBorder="1" applyAlignment="1">
      <alignment horizontal="center" vertical="top" wrapText="1" shrinkToFit="1"/>
    </xf>
    <xf numFmtId="0" fontId="67" fillId="0" borderId="19" xfId="0" applyFont="1" applyFill="1" applyBorder="1" applyAlignment="1">
      <alignment horizontal="center" vertical="top" wrapText="1"/>
    </xf>
    <xf numFmtId="0" fontId="67" fillId="0" borderId="14" xfId="0" applyFont="1" applyFill="1" applyBorder="1" applyAlignment="1">
      <alignment horizontal="left" vertical="top" wrapText="1"/>
    </xf>
    <xf numFmtId="0" fontId="67" fillId="0" borderId="18" xfId="0" applyFont="1" applyFill="1" applyBorder="1" applyAlignment="1">
      <alignment horizontal="left" vertical="top" wrapText="1"/>
    </xf>
    <xf numFmtId="0" fontId="67" fillId="0" borderId="17" xfId="0" applyFont="1" applyFill="1" applyBorder="1" applyAlignment="1">
      <alignment horizontal="left" vertical="top" wrapText="1"/>
    </xf>
    <xf numFmtId="0" fontId="73" fillId="0" borderId="0" xfId="0" applyFont="1" applyFill="1" applyAlignment="1">
      <alignment horizontal="justify" vertical="top"/>
    </xf>
    <xf numFmtId="0" fontId="67" fillId="0" borderId="15" xfId="0" applyFont="1" applyFill="1" applyBorder="1" applyAlignment="1">
      <alignment vertical="top"/>
    </xf>
    <xf numFmtId="0" fontId="67" fillId="0" borderId="15" xfId="0" applyFont="1" applyFill="1" applyBorder="1" applyAlignment="1">
      <alignment horizontal="center" vertical="top"/>
    </xf>
    <xf numFmtId="0" fontId="74" fillId="0" borderId="0" xfId="0" applyFont="1" applyFill="1" applyAlignment="1">
      <alignment vertical="top"/>
    </xf>
    <xf numFmtId="0" fontId="74" fillId="0" borderId="0" xfId="0" applyFont="1" applyFill="1" applyAlignment="1">
      <alignment horizontal="right" vertical="top"/>
    </xf>
    <xf numFmtId="0" fontId="67" fillId="0" borderId="3" xfId="0" applyFont="1" applyFill="1" applyBorder="1" applyAlignment="1">
      <alignment horizontal="center" vertical="top" wrapText="1"/>
    </xf>
    <xf numFmtId="0" fontId="67" fillId="0" borderId="17" xfId="0" applyFont="1" applyFill="1" applyBorder="1" applyAlignment="1">
      <alignment vertical="top" wrapText="1"/>
    </xf>
    <xf numFmtId="0" fontId="67" fillId="0" borderId="3" xfId="0" applyFont="1" applyFill="1" applyBorder="1" applyAlignment="1">
      <alignment vertical="center" wrapText="1"/>
    </xf>
    <xf numFmtId="1" fontId="74" fillId="0" borderId="3" xfId="0" applyNumberFormat="1" applyFont="1" applyFill="1" applyBorder="1" applyAlignment="1">
      <alignment horizontal="center" vertical="top" wrapText="1"/>
    </xf>
    <xf numFmtId="0" fontId="74" fillId="0" borderId="3" xfId="0" applyFont="1" applyFill="1" applyBorder="1" applyAlignment="1">
      <alignment horizontal="center" vertical="top" wrapText="1"/>
    </xf>
    <xf numFmtId="169" fontId="67" fillId="0" borderId="0" xfId="0" applyNumberFormat="1" applyFont="1" applyFill="1" applyAlignment="1">
      <alignment horizontal="right" vertical="top"/>
    </xf>
    <xf numFmtId="0" fontId="75" fillId="0" borderId="0" xfId="0" applyFont="1" applyFill="1" applyAlignment="1">
      <alignment vertical="top"/>
    </xf>
    <xf numFmtId="0" fontId="76" fillId="0" borderId="0" xfId="0" applyFont="1" applyFill="1" applyAlignment="1">
      <alignment vertical="top"/>
    </xf>
    <xf numFmtId="0" fontId="67" fillId="0" borderId="3" xfId="0" applyFont="1" applyFill="1" applyBorder="1" applyAlignment="1">
      <alignment horizontal="center" vertical="top"/>
    </xf>
    <xf numFmtId="0" fontId="75" fillId="0" borderId="0" xfId="0" applyFont="1" applyFill="1" applyAlignment="1">
      <alignment horizontal="center" vertical="top"/>
    </xf>
    <xf numFmtId="0" fontId="67" fillId="0" borderId="3" xfId="0" applyFont="1" applyFill="1" applyBorder="1" applyAlignment="1">
      <alignment horizontal="center" vertical="top"/>
    </xf>
    <xf numFmtId="0" fontId="67" fillId="0" borderId="3" xfId="0" applyFont="1" applyFill="1" applyBorder="1" applyAlignment="1">
      <alignment horizontal="left" vertical="top"/>
    </xf>
    <xf numFmtId="0" fontId="67" fillId="0" borderId="0" xfId="0" applyFont="1" applyFill="1" applyAlignment="1">
      <alignment vertical="top" wrapText="1"/>
    </xf>
    <xf numFmtId="0" fontId="67" fillId="0" borderId="15" xfId="0" applyFont="1" applyFill="1" applyBorder="1" applyAlignment="1" applyProtection="1">
      <alignment vertical="top" wrapText="1"/>
      <protection locked="0"/>
    </xf>
    <xf numFmtId="170" fontId="67" fillId="0" borderId="0" xfId="0" applyNumberFormat="1" applyFont="1" applyFill="1" applyAlignment="1" applyProtection="1">
      <alignment vertical="top" wrapText="1"/>
      <protection locked="0"/>
    </xf>
    <xf numFmtId="170" fontId="67" fillId="0" borderId="15" xfId="0" quotePrefix="1" applyNumberFormat="1" applyFont="1" applyFill="1" applyBorder="1" applyAlignment="1" applyProtection="1">
      <alignment vertical="top" wrapText="1"/>
      <protection locked="0"/>
    </xf>
    <xf numFmtId="170" fontId="77" fillId="0" borderId="0" xfId="0" applyNumberFormat="1" applyFont="1" applyFill="1" applyAlignment="1" applyProtection="1">
      <alignment vertical="top"/>
      <protection locked="0"/>
    </xf>
    <xf numFmtId="0" fontId="74" fillId="0" borderId="15" xfId="0" applyFont="1" applyFill="1" applyBorder="1" applyAlignment="1" applyProtection="1">
      <alignment horizontal="left" vertical="top"/>
      <protection locked="0"/>
    </xf>
    <xf numFmtId="0" fontId="67" fillId="0" borderId="0" xfId="0" applyFont="1" applyFill="1" applyAlignment="1" applyProtection="1">
      <alignment horizontal="center" vertical="top"/>
      <protection locked="0"/>
    </xf>
    <xf numFmtId="0" fontId="67" fillId="0" borderId="0" xfId="0" applyFont="1" applyFill="1" applyAlignment="1" applyProtection="1">
      <alignment horizontal="center" vertical="top"/>
      <protection locked="0"/>
    </xf>
    <xf numFmtId="0" fontId="67" fillId="0" borderId="0" xfId="0" applyFont="1" applyFill="1" applyAlignment="1" applyProtection="1">
      <alignment horizontal="left" vertical="top"/>
      <protection locked="0"/>
    </xf>
    <xf numFmtId="0" fontId="67" fillId="0" borderId="16" xfId="0" applyFont="1" applyFill="1" applyBorder="1" applyAlignment="1" applyProtection="1">
      <alignment horizontal="left" vertical="top"/>
      <protection locked="0"/>
    </xf>
    <xf numFmtId="0" fontId="67" fillId="0" borderId="0" xfId="0" applyFont="1" applyFill="1" applyAlignment="1">
      <alignment vertical="top" wrapText="1" shrinkToFit="1"/>
    </xf>
    <xf numFmtId="0" fontId="77" fillId="0" borderId="0" xfId="0" applyFont="1" applyFill="1" applyAlignment="1">
      <alignment vertical="top"/>
    </xf>
    <xf numFmtId="0" fontId="64" fillId="0" borderId="0" xfId="0" applyFont="1" applyFill="1" applyAlignment="1">
      <alignment horizontal="right" vertical="top" wrapText="1"/>
    </xf>
    <xf numFmtId="0" fontId="64" fillId="0" borderId="0" xfId="0" applyFont="1" applyFill="1" applyAlignment="1" applyProtection="1">
      <alignment horizontal="center" vertical="top"/>
      <protection locked="0"/>
    </xf>
    <xf numFmtId="0" fontId="64" fillId="0" borderId="0" xfId="0" applyFont="1" applyFill="1" applyAlignment="1">
      <alignment vertical="top" wrapText="1"/>
    </xf>
    <xf numFmtId="0" fontId="64" fillId="0" borderId="0" xfId="0" applyFont="1" applyFill="1" applyAlignment="1">
      <alignment vertical="top"/>
    </xf>
    <xf numFmtId="0" fontId="64" fillId="0" borderId="3" xfId="0" applyFont="1" applyFill="1" applyBorder="1" applyAlignment="1">
      <alignment horizontal="center" vertical="top" wrapText="1"/>
    </xf>
    <xf numFmtId="0" fontId="64" fillId="0" borderId="14" xfId="0" applyFont="1" applyFill="1" applyBorder="1" applyAlignment="1">
      <alignment horizontal="center" vertical="top" wrapText="1"/>
    </xf>
    <xf numFmtId="0" fontId="64" fillId="0" borderId="17" xfId="0" applyFont="1" applyFill="1" applyBorder="1" applyAlignment="1">
      <alignment horizontal="center" vertical="top" wrapText="1"/>
    </xf>
    <xf numFmtId="0" fontId="64" fillId="0" borderId="18" xfId="0" applyFont="1" applyFill="1" applyBorder="1" applyAlignment="1">
      <alignment horizontal="center" vertical="top" wrapText="1"/>
    </xf>
    <xf numFmtId="0" fontId="64" fillId="0" borderId="3" xfId="0" applyFont="1" applyFill="1" applyBorder="1" applyAlignment="1">
      <alignment horizontal="left" vertical="top" wrapText="1"/>
    </xf>
    <xf numFmtId="3" fontId="64" fillId="0" borderId="3" xfId="0" applyNumberFormat="1" applyFont="1" applyFill="1" applyBorder="1" applyAlignment="1">
      <alignment horizontal="center" vertical="top" wrapText="1"/>
    </xf>
    <xf numFmtId="170" fontId="64" fillId="0" borderId="3" xfId="0" applyNumberFormat="1" applyFont="1" applyFill="1" applyBorder="1" applyAlignment="1">
      <alignment horizontal="center" vertical="top" wrapText="1"/>
    </xf>
    <xf numFmtId="0" fontId="64" fillId="0" borderId="0" xfId="0" applyFont="1" applyFill="1" applyAlignment="1">
      <alignment horizontal="left" vertical="top" wrapText="1"/>
    </xf>
    <xf numFmtId="3" fontId="64" fillId="0" borderId="0" xfId="0" applyNumberFormat="1" applyFont="1" applyFill="1" applyAlignment="1">
      <alignment horizontal="center" vertical="top" wrapText="1"/>
    </xf>
    <xf numFmtId="170" fontId="64" fillId="0" borderId="0" xfId="0" applyNumberFormat="1" applyFont="1" applyFill="1" applyAlignment="1">
      <alignment horizontal="center" vertical="top" wrapText="1"/>
    </xf>
    <xf numFmtId="0" fontId="64" fillId="0" borderId="0" xfId="0" applyFont="1" applyFill="1" applyAlignment="1">
      <alignment horizontal="justify" vertical="top" wrapText="1" shrinkToFit="1"/>
    </xf>
    <xf numFmtId="0" fontId="64" fillId="0" borderId="0" xfId="0" applyFont="1" applyFill="1" applyAlignment="1">
      <alignment horizontal="left" vertical="top" wrapText="1" shrinkToFit="1"/>
    </xf>
    <xf numFmtId="0" fontId="64" fillId="0" borderId="15" xfId="0" applyFont="1" applyFill="1" applyBorder="1" applyAlignment="1">
      <alignment horizontal="center" vertical="top"/>
    </xf>
    <xf numFmtId="0" fontId="64" fillId="0" borderId="14" xfId="0" applyFont="1" applyFill="1" applyBorder="1" applyAlignment="1">
      <alignment horizontal="center" vertical="top"/>
    </xf>
    <xf numFmtId="0" fontId="64" fillId="0" borderId="3" xfId="0" applyFont="1" applyFill="1" applyBorder="1" applyAlignment="1">
      <alignment horizontal="center" vertical="top"/>
    </xf>
    <xf numFmtId="0" fontId="64" fillId="0" borderId="14" xfId="0" applyFont="1" applyFill="1" applyBorder="1" applyAlignment="1">
      <alignment horizontal="center" vertical="top"/>
    </xf>
    <xf numFmtId="0" fontId="64" fillId="0" borderId="18" xfId="0" applyFont="1" applyFill="1" applyBorder="1" applyAlignment="1">
      <alignment horizontal="center" vertical="top"/>
    </xf>
    <xf numFmtId="49" fontId="64" fillId="0" borderId="14" xfId="0" applyNumberFormat="1" applyFont="1" applyFill="1" applyBorder="1" applyAlignment="1">
      <alignment horizontal="center" vertical="top" wrapText="1"/>
    </xf>
    <xf numFmtId="49" fontId="64" fillId="0" borderId="18" xfId="0" applyNumberFormat="1" applyFont="1" applyFill="1" applyBorder="1" applyAlignment="1">
      <alignment horizontal="center" vertical="top" wrapText="1"/>
    </xf>
    <xf numFmtId="49" fontId="64" fillId="0" borderId="3" xfId="0" applyNumberFormat="1" applyFont="1" applyFill="1" applyBorder="1" applyAlignment="1">
      <alignment horizontal="left" vertical="top" wrapText="1"/>
    </xf>
    <xf numFmtId="49" fontId="64" fillId="0" borderId="0" xfId="0" applyNumberFormat="1" applyFont="1" applyFill="1" applyAlignment="1">
      <alignment horizontal="center" vertical="top" wrapText="1"/>
    </xf>
    <xf numFmtId="49" fontId="64" fillId="0" borderId="0" xfId="0" applyNumberFormat="1" applyFont="1" applyFill="1" applyAlignment="1">
      <alignment horizontal="left" vertical="top" wrapText="1"/>
    </xf>
    <xf numFmtId="49" fontId="64" fillId="0" borderId="16" xfId="0" applyNumberFormat="1" applyFont="1" applyFill="1" applyBorder="1" applyAlignment="1">
      <alignment horizontal="right" vertical="top" wrapText="1"/>
    </xf>
    <xf numFmtId="49" fontId="64" fillId="0" borderId="0" xfId="0" applyNumberFormat="1" applyFont="1" applyFill="1" applyAlignment="1">
      <alignment horizontal="right" vertical="top" wrapText="1"/>
    </xf>
    <xf numFmtId="0" fontId="64" fillId="0" borderId="0" xfId="0" applyFont="1" applyFill="1" applyAlignment="1">
      <alignment horizontal="center" vertical="top"/>
    </xf>
    <xf numFmtId="0" fontId="64" fillId="0" borderId="23" xfId="0" applyFont="1" applyFill="1" applyBorder="1" applyAlignment="1">
      <alignment horizontal="center" vertical="top" wrapText="1"/>
    </xf>
    <xf numFmtId="0" fontId="64" fillId="0" borderId="16" xfId="0" applyFont="1" applyFill="1" applyBorder="1" applyAlignment="1">
      <alignment horizontal="center" vertical="top" wrapText="1"/>
    </xf>
    <xf numFmtId="0" fontId="64" fillId="0" borderId="21" xfId="0" applyFont="1" applyFill="1" applyBorder="1" applyAlignment="1">
      <alignment horizontal="center" vertical="top" wrapText="1"/>
    </xf>
    <xf numFmtId="0" fontId="64" fillId="0" borderId="13" xfId="0" applyFont="1" applyFill="1" applyBorder="1" applyAlignment="1">
      <alignment horizontal="center" vertical="top" wrapText="1"/>
    </xf>
    <xf numFmtId="0" fontId="64" fillId="0" borderId="24" xfId="0" applyFont="1" applyFill="1" applyBorder="1" applyAlignment="1">
      <alignment horizontal="center" vertical="top" wrapText="1"/>
    </xf>
    <xf numFmtId="0" fontId="64" fillId="0" borderId="15" xfId="0" applyFont="1" applyFill="1" applyBorder="1" applyAlignment="1">
      <alignment horizontal="center" vertical="top" wrapText="1"/>
    </xf>
    <xf numFmtId="0" fontId="64" fillId="0" borderId="22" xfId="0" applyFont="1" applyFill="1" applyBorder="1" applyAlignment="1">
      <alignment horizontal="center" vertical="top" wrapText="1"/>
    </xf>
    <xf numFmtId="0" fontId="64" fillId="0" borderId="19" xfId="0" applyFont="1" applyFill="1" applyBorder="1" applyAlignment="1">
      <alignment horizontal="center" vertical="top" wrapText="1"/>
    </xf>
    <xf numFmtId="0" fontId="64" fillId="0" borderId="3" xfId="0" applyFont="1" applyFill="1" applyBorder="1" applyAlignment="1">
      <alignment horizontal="center" vertical="top"/>
    </xf>
    <xf numFmtId="0" fontId="64" fillId="0" borderId="14" xfId="0" applyFont="1" applyFill="1" applyBorder="1" applyAlignment="1" applyProtection="1">
      <alignment horizontal="left" vertical="top" wrapText="1"/>
      <protection locked="0"/>
    </xf>
    <xf numFmtId="0" fontId="64" fillId="0" borderId="18" xfId="0" applyFont="1" applyFill="1" applyBorder="1" applyAlignment="1" applyProtection="1">
      <alignment horizontal="left" vertical="top" wrapText="1"/>
      <protection locked="0"/>
    </xf>
    <xf numFmtId="0" fontId="64" fillId="0" borderId="17" xfId="0" applyFont="1" applyFill="1" applyBorder="1" applyAlignment="1" applyProtection="1">
      <alignment horizontal="left" vertical="top" wrapText="1"/>
      <protection locked="0"/>
    </xf>
    <xf numFmtId="177" fontId="64" fillId="0" borderId="3" xfId="323" applyNumberFormat="1" applyFont="1" applyFill="1" applyBorder="1" applyAlignment="1" applyProtection="1">
      <alignment horizontal="right" vertical="top" wrapText="1"/>
      <protection locked="0"/>
    </xf>
    <xf numFmtId="177" fontId="64" fillId="0" borderId="3" xfId="323" applyNumberFormat="1" applyFont="1" applyFill="1" applyBorder="1" applyAlignment="1" applyProtection="1">
      <alignment horizontal="center" vertical="top" wrapText="1"/>
      <protection locked="0"/>
    </xf>
    <xf numFmtId="177" fontId="64" fillId="0" borderId="3" xfId="0" applyNumberFormat="1" applyFont="1" applyFill="1" applyBorder="1" applyAlignment="1">
      <alignment horizontal="center" vertical="top"/>
    </xf>
    <xf numFmtId="0" fontId="64" fillId="0" borderId="14" xfId="0" applyFont="1" applyFill="1" applyBorder="1" applyAlignment="1">
      <alignment horizontal="left" vertical="top"/>
    </xf>
    <xf numFmtId="0" fontId="64" fillId="0" borderId="18" xfId="0" applyFont="1" applyFill="1" applyBorder="1" applyAlignment="1">
      <alignment horizontal="left" vertical="top"/>
    </xf>
    <xf numFmtId="0" fontId="64" fillId="0" borderId="17" xfId="0" applyFont="1" applyFill="1" applyBorder="1" applyAlignment="1">
      <alignment horizontal="left" vertical="top"/>
    </xf>
    <xf numFmtId="3" fontId="64" fillId="0" borderId="3" xfId="0" applyNumberFormat="1" applyFont="1" applyFill="1" applyBorder="1" applyAlignment="1">
      <alignment horizontal="right" vertical="top" wrapText="1"/>
    </xf>
    <xf numFmtId="0" fontId="64" fillId="0" borderId="0" xfId="0" applyFont="1" applyFill="1" applyAlignment="1">
      <alignment horizontal="right" vertical="top"/>
    </xf>
    <xf numFmtId="1" fontId="64" fillId="0" borderId="0" xfId="0" applyNumberFormat="1" applyFont="1" applyFill="1" applyAlignment="1">
      <alignment horizontal="center" vertical="top"/>
    </xf>
    <xf numFmtId="1" fontId="64" fillId="0" borderId="0" xfId="0" applyNumberFormat="1" applyFont="1" applyFill="1" applyAlignment="1">
      <alignment horizontal="right" vertical="top"/>
    </xf>
    <xf numFmtId="3" fontId="78" fillId="0" borderId="0" xfId="354" applyNumberFormat="1" applyFont="1" applyFill="1"/>
    <xf numFmtId="3" fontId="64" fillId="0" borderId="0" xfId="0" applyNumberFormat="1" applyFont="1" applyFill="1" applyAlignment="1">
      <alignment horizontal="center" vertical="top"/>
    </xf>
    <xf numFmtId="3" fontId="64" fillId="0" borderId="0" xfId="0" applyNumberFormat="1" applyFont="1" applyFill="1" applyAlignment="1">
      <alignment horizontal="center" vertical="top"/>
    </xf>
    <xf numFmtId="0" fontId="64" fillId="0" borderId="17" xfId="0" applyFont="1" applyFill="1" applyBorder="1" applyAlignment="1">
      <alignment horizontal="center" vertical="top"/>
    </xf>
    <xf numFmtId="49" fontId="64" fillId="0" borderId="3" xfId="0" applyNumberFormat="1" applyFont="1" applyFill="1" applyBorder="1" applyAlignment="1">
      <alignment horizontal="left" vertical="top" wrapText="1"/>
    </xf>
    <xf numFmtId="3" fontId="64" fillId="0" borderId="14" xfId="0" applyNumberFormat="1" applyFont="1" applyFill="1" applyBorder="1" applyAlignment="1">
      <alignment horizontal="center" vertical="top" wrapText="1"/>
    </xf>
    <xf numFmtId="3" fontId="64" fillId="0" borderId="17" xfId="0" applyNumberFormat="1" applyFont="1" applyFill="1" applyBorder="1" applyAlignment="1">
      <alignment horizontal="center" vertical="top" wrapText="1"/>
    </xf>
    <xf numFmtId="49" fontId="64" fillId="0" borderId="14" xfId="0" applyNumberFormat="1" applyFont="1" applyFill="1" applyBorder="1" applyAlignment="1">
      <alignment horizontal="left" vertical="top" wrapText="1"/>
    </xf>
    <xf numFmtId="49" fontId="64" fillId="0" borderId="17" xfId="0" applyNumberFormat="1" applyFont="1" applyFill="1" applyBorder="1" applyAlignment="1">
      <alignment horizontal="left" vertical="top" wrapText="1"/>
    </xf>
    <xf numFmtId="170" fontId="64" fillId="0" borderId="14" xfId="0" applyNumberFormat="1" applyFont="1" applyFill="1" applyBorder="1" applyAlignment="1">
      <alignment horizontal="center" vertical="top" wrapText="1"/>
    </xf>
    <xf numFmtId="170" fontId="64" fillId="0" borderId="17" xfId="0" applyNumberFormat="1" applyFont="1" applyFill="1" applyBorder="1" applyAlignment="1">
      <alignment horizontal="center" vertical="top" wrapText="1"/>
    </xf>
    <xf numFmtId="3" fontId="64" fillId="0" borderId="18" xfId="0" applyNumberFormat="1" applyFont="1" applyFill="1" applyBorder="1" applyAlignment="1">
      <alignment horizontal="center" vertical="top" wrapText="1"/>
    </xf>
    <xf numFmtId="49" fontId="64" fillId="0" borderId="17" xfId="0" applyNumberFormat="1" applyFont="1" applyFill="1" applyBorder="1" applyAlignment="1">
      <alignment horizontal="center" vertical="top" wrapText="1"/>
    </xf>
    <xf numFmtId="0" fontId="64" fillId="0" borderId="3" xfId="0" applyFont="1" applyFill="1" applyBorder="1" applyAlignment="1">
      <alignment horizontal="left" vertical="top"/>
    </xf>
    <xf numFmtId="0" fontId="64" fillId="0" borderId="3" xfId="0" applyFont="1" applyFill="1" applyBorder="1" applyAlignment="1">
      <alignment horizontal="left" vertical="top" wrapText="1"/>
    </xf>
    <xf numFmtId="170" fontId="64" fillId="0" borderId="0" xfId="0" applyNumberFormat="1" applyFont="1" applyFill="1" applyAlignment="1">
      <alignment vertical="top"/>
    </xf>
    <xf numFmtId="0" fontId="64" fillId="0" borderId="3" xfId="245" applyFont="1" applyFill="1" applyBorder="1" applyAlignment="1">
      <alignment horizontal="center" vertical="top"/>
    </xf>
    <xf numFmtId="0" fontId="70" fillId="0" borderId="0" xfId="245" applyFont="1" applyFill="1" applyAlignment="1">
      <alignment vertical="top"/>
    </xf>
    <xf numFmtId="0" fontId="64" fillId="0" borderId="3" xfId="245" applyFont="1" applyFill="1" applyBorder="1" applyAlignment="1">
      <alignment horizontal="left" vertical="top" wrapText="1"/>
    </xf>
    <xf numFmtId="0" fontId="64" fillId="0" borderId="3" xfId="0" quotePrefix="1" applyFont="1" applyFill="1" applyBorder="1" applyAlignment="1">
      <alignment horizontal="center" vertical="top"/>
    </xf>
    <xf numFmtId="0" fontId="64" fillId="0" borderId="3" xfId="0" applyFont="1" applyFill="1" applyBorder="1" applyAlignment="1">
      <alignment vertical="top"/>
    </xf>
    <xf numFmtId="1" fontId="67" fillId="0" borderId="3" xfId="0" applyNumberFormat="1" applyFont="1" applyFill="1" applyBorder="1" applyAlignment="1" applyProtection="1">
      <alignment horizontal="center" vertical="top" wrapText="1"/>
      <protection locked="0"/>
    </xf>
    <xf numFmtId="0" fontId="64" fillId="0" borderId="3" xfId="245" applyFont="1" applyFill="1" applyBorder="1" applyAlignment="1">
      <alignment horizontal="left" vertical="top"/>
    </xf>
    <xf numFmtId="0" fontId="64" fillId="0" borderId="3" xfId="0" applyFont="1" applyFill="1" applyBorder="1" applyAlignment="1" applyProtection="1">
      <alignment horizontal="center" vertical="top" wrapText="1"/>
      <protection locked="0"/>
    </xf>
    <xf numFmtId="3" fontId="64" fillId="0" borderId="3" xfId="0" applyNumberFormat="1" applyFont="1" applyFill="1" applyBorder="1" applyAlignment="1">
      <alignment vertical="top"/>
    </xf>
    <xf numFmtId="0" fontId="64" fillId="0" borderId="3" xfId="0" applyFont="1" applyFill="1" applyBorder="1" applyAlignment="1" applyProtection="1">
      <alignment horizontal="left" vertical="top" wrapText="1"/>
      <protection locked="0"/>
    </xf>
    <xf numFmtId="0" fontId="64" fillId="0" borderId="0" xfId="0" applyFont="1" applyFill="1" applyAlignment="1" applyProtection="1">
      <alignment vertical="top"/>
      <protection locked="0"/>
    </xf>
    <xf numFmtId="0" fontId="64" fillId="0" borderId="0" xfId="0" applyFont="1" applyFill="1" applyAlignment="1" applyProtection="1">
      <alignment horizontal="left" vertical="top" wrapText="1"/>
      <protection locked="0"/>
    </xf>
    <xf numFmtId="0" fontId="64" fillId="0" borderId="0" xfId="0" applyFont="1" applyFill="1" applyAlignment="1" applyProtection="1">
      <alignment vertical="top" wrapText="1"/>
      <protection locked="0"/>
    </xf>
    <xf numFmtId="0" fontId="64" fillId="0" borderId="0" xfId="0" applyFont="1" applyFill="1" applyAlignment="1" applyProtection="1">
      <alignment horizontal="left" vertical="top"/>
      <protection locked="0"/>
    </xf>
    <xf numFmtId="0" fontId="64" fillId="0" borderId="0" xfId="0" applyFont="1" applyFill="1" applyAlignment="1">
      <alignment horizontal="left" vertical="top" wrapText="1"/>
    </xf>
    <xf numFmtId="0" fontId="64" fillId="0" borderId="0" xfId="245" applyFont="1" applyFill="1" applyAlignment="1">
      <alignment vertical="top"/>
    </xf>
    <xf numFmtId="0" fontId="64" fillId="0" borderId="0" xfId="245" applyFont="1" applyFill="1" applyAlignment="1">
      <alignment horizontal="center" vertical="top"/>
    </xf>
    <xf numFmtId="0" fontId="64" fillId="0" borderId="0" xfId="245" applyFont="1" applyFill="1" applyAlignment="1">
      <alignment horizontal="center" vertical="top"/>
    </xf>
    <xf numFmtId="0" fontId="64" fillId="0" borderId="3" xfId="245" applyFont="1" applyFill="1" applyBorder="1" applyAlignment="1">
      <alignment horizontal="center" vertical="top" wrapText="1"/>
    </xf>
    <xf numFmtId="0" fontId="64" fillId="0" borderId="3" xfId="245" applyFont="1" applyFill="1" applyBorder="1" applyAlignment="1">
      <alignment horizontal="center" vertical="top"/>
    </xf>
    <xf numFmtId="0" fontId="64" fillId="0" borderId="3" xfId="245" applyFont="1" applyFill="1" applyBorder="1" applyAlignment="1">
      <alignment horizontal="center" vertical="top" wrapText="1"/>
    </xf>
    <xf numFmtId="3" fontId="64" fillId="0" borderId="3" xfId="245" applyNumberFormat="1" applyFont="1" applyFill="1" applyBorder="1" applyAlignment="1">
      <alignment horizontal="center" vertical="top" wrapText="1"/>
    </xf>
    <xf numFmtId="0" fontId="64" fillId="0" borderId="0" xfId="245" applyFont="1" applyFill="1" applyAlignment="1" applyProtection="1">
      <alignment horizontal="left" vertical="top" wrapText="1"/>
      <protection locked="0"/>
    </xf>
    <xf numFmtId="0" fontId="64" fillId="0" borderId="0" xfId="245" applyFont="1" applyFill="1" applyAlignment="1" applyProtection="1">
      <alignment horizontal="center" vertical="top"/>
      <protection locked="0"/>
    </xf>
    <xf numFmtId="0" fontId="64" fillId="0" borderId="0" xfId="245" applyFont="1" applyFill="1" applyAlignment="1" applyProtection="1">
      <alignment vertical="top" wrapText="1"/>
      <protection locked="0"/>
    </xf>
    <xf numFmtId="0" fontId="64" fillId="0" borderId="0" xfId="245" applyFont="1" applyFill="1" applyAlignment="1">
      <alignment vertical="top" wrapText="1"/>
    </xf>
    <xf numFmtId="1" fontId="64" fillId="0" borderId="3" xfId="0" applyNumberFormat="1" applyFont="1" applyFill="1" applyBorder="1" applyAlignment="1">
      <alignment horizontal="center" vertical="top" wrapText="1"/>
    </xf>
    <xf numFmtId="0" fontId="64" fillId="0" borderId="0" xfId="0" quotePrefix="1" applyFont="1" applyFill="1" applyBorder="1" applyAlignment="1" applyProtection="1">
      <alignment horizontal="center" vertical="top"/>
      <protection locked="0"/>
    </xf>
    <xf numFmtId="170" fontId="64" fillId="0" borderId="0" xfId="0" applyNumberFormat="1" applyFont="1" applyFill="1" applyBorder="1" applyAlignment="1" applyProtection="1">
      <alignment horizontal="center" vertical="top" wrapText="1"/>
      <protection locked="0"/>
    </xf>
    <xf numFmtId="170" fontId="64" fillId="0" borderId="0" xfId="0" quotePrefix="1" applyNumberFormat="1" applyFont="1" applyFill="1" applyBorder="1" applyAlignment="1" applyProtection="1">
      <alignment vertical="top" wrapText="1"/>
      <protection locked="0"/>
    </xf>
    <xf numFmtId="3" fontId="64" fillId="0" borderId="0" xfId="0" applyNumberFormat="1" applyFont="1" applyFill="1" applyBorder="1" applyAlignment="1" applyProtection="1">
      <alignment vertical="top"/>
      <protection locked="0"/>
    </xf>
    <xf numFmtId="0" fontId="64" fillId="0" borderId="0" xfId="0" applyFont="1" applyFill="1" applyBorder="1" applyAlignment="1" applyProtection="1">
      <alignment vertical="top"/>
      <protection locked="0"/>
    </xf>
    <xf numFmtId="0" fontId="64" fillId="0" borderId="0" xfId="0" applyFont="1" applyFill="1" applyBorder="1" applyAlignment="1" applyProtection="1">
      <alignment vertical="top"/>
      <protection locked="0"/>
    </xf>
    <xf numFmtId="0" fontId="64" fillId="0" borderId="0" xfId="0" applyFont="1" applyFill="1" applyBorder="1" applyAlignment="1" applyProtection="1">
      <alignment vertical="top" wrapText="1"/>
      <protection locked="0"/>
    </xf>
    <xf numFmtId="0" fontId="64" fillId="0" borderId="0" xfId="0" applyFont="1" applyFill="1" applyBorder="1" applyAlignment="1" applyProtection="1">
      <alignment vertical="center"/>
      <protection locked="0"/>
    </xf>
    <xf numFmtId="0" fontId="64" fillId="0" borderId="0" xfId="0" applyFont="1" applyFill="1" applyBorder="1" applyAlignment="1" applyProtection="1">
      <alignment horizontal="center" vertical="top"/>
      <protection locked="0"/>
    </xf>
    <xf numFmtId="0" fontId="64" fillId="0" borderId="0" xfId="0" applyFont="1" applyFill="1" applyBorder="1" applyAlignment="1">
      <alignment horizontal="left" vertical="top" wrapText="1"/>
    </xf>
    <xf numFmtId="0" fontId="64" fillId="0" borderId="0" xfId="0" applyFont="1" applyFill="1" applyBorder="1" applyAlignment="1">
      <alignment vertical="top"/>
    </xf>
    <xf numFmtId="0" fontId="68" fillId="0" borderId="3" xfId="0" applyFont="1" applyFill="1" applyBorder="1" applyAlignment="1">
      <alignment horizontal="right" vertical="top" wrapText="1"/>
    </xf>
    <xf numFmtId="0" fontId="69" fillId="0" borderId="3" xfId="0" applyFont="1" applyFill="1" applyBorder="1" applyAlignment="1">
      <alignment horizontal="center" vertical="top" wrapText="1"/>
    </xf>
    <xf numFmtId="0" fontId="61" fillId="0" borderId="3" xfId="0" applyFont="1" applyFill="1" applyBorder="1" applyAlignment="1">
      <alignment horizontal="left" vertical="top"/>
    </xf>
    <xf numFmtId="0" fontId="64" fillId="0" borderId="13" xfId="0" applyFont="1" applyFill="1" applyBorder="1" applyAlignment="1">
      <alignment horizontal="left" vertical="top" wrapText="1"/>
    </xf>
    <xf numFmtId="0" fontId="64" fillId="0" borderId="13" xfId="0" applyFont="1" applyFill="1" applyBorder="1" applyAlignment="1">
      <alignment horizontal="center" vertical="top"/>
    </xf>
    <xf numFmtId="3" fontId="64" fillId="0" borderId="13" xfId="0" applyNumberFormat="1" applyFont="1" applyFill="1" applyBorder="1" applyAlignment="1">
      <alignment horizontal="center" vertical="top" wrapText="1"/>
    </xf>
    <xf numFmtId="3" fontId="64" fillId="0" borderId="13" xfId="0" quotePrefix="1" applyNumberFormat="1" applyFont="1" applyFill="1" applyBorder="1" applyAlignment="1">
      <alignment horizontal="center" vertical="top" wrapText="1"/>
    </xf>
    <xf numFmtId="170" fontId="64" fillId="0" borderId="13" xfId="0" quotePrefix="1" applyNumberFormat="1" applyFont="1" applyFill="1" applyBorder="1" applyAlignment="1">
      <alignment horizontal="center" vertical="top" wrapText="1"/>
    </xf>
    <xf numFmtId="0" fontId="64" fillId="0" borderId="0" xfId="0" applyFont="1" applyFill="1" applyBorder="1" applyAlignment="1" applyProtection="1">
      <alignment horizontal="left" vertical="top" wrapText="1"/>
      <protection locked="0"/>
    </xf>
    <xf numFmtId="0" fontId="64" fillId="0" borderId="0" xfId="0" applyFont="1" applyFill="1" applyBorder="1" applyAlignment="1" applyProtection="1">
      <alignment horizontal="left" vertical="top"/>
      <protection locked="0"/>
    </xf>
    <xf numFmtId="0" fontId="64" fillId="0" borderId="16" xfId="0" applyFont="1" applyFill="1" applyBorder="1" applyAlignment="1" applyProtection="1">
      <alignment vertical="top"/>
      <protection locked="0"/>
    </xf>
    <xf numFmtId="0" fontId="64" fillId="0" borderId="16" xfId="0" quotePrefix="1" applyFont="1" applyFill="1" applyBorder="1" applyAlignment="1" applyProtection="1">
      <alignment horizontal="center" vertical="top"/>
      <protection locked="0"/>
    </xf>
    <xf numFmtId="1" fontId="64" fillId="0" borderId="3" xfId="0" applyNumberFormat="1" applyFont="1" applyBorder="1" applyAlignment="1" applyProtection="1">
      <alignment horizontal="center" vertical="center" wrapText="1"/>
      <protection locked="0"/>
    </xf>
    <xf numFmtId="0" fontId="64" fillId="0" borderId="3" xfId="0" applyFont="1" applyBorder="1" applyAlignment="1" applyProtection="1">
      <alignment horizontal="center" vertical="center" wrapText="1"/>
      <protection locked="0"/>
    </xf>
    <xf numFmtId="0" fontId="69" fillId="0" borderId="0" xfId="0" applyFont="1" applyAlignment="1" applyProtection="1">
      <alignment vertical="top"/>
      <protection locked="0"/>
    </xf>
    <xf numFmtId="0" fontId="69" fillId="0" borderId="0" xfId="0" applyFont="1" applyAlignment="1" applyProtection="1">
      <alignment horizontal="left" vertical="top" wrapText="1"/>
      <protection locked="0"/>
    </xf>
    <xf numFmtId="0" fontId="69" fillId="0" borderId="15" xfId="0" applyFont="1" applyBorder="1" applyAlignment="1" applyProtection="1">
      <alignment horizontal="left" vertical="top" wrapText="1"/>
      <protection locked="0"/>
    </xf>
  </cellXfs>
  <cellStyles count="355">
    <cellStyle name="_Fakt_2" xfId="1" xr:uid="{00000000-0005-0000-0000-000000000000}"/>
    <cellStyle name="_rozhufrovka 2009" xfId="2" xr:uid="{00000000-0005-0000-0000-000001000000}"/>
    <cellStyle name="_АТиСТ 5а МТР липень 2008" xfId="3" xr:uid="{00000000-0005-0000-0000-000002000000}"/>
    <cellStyle name="_ПРГК сводний_" xfId="4" xr:uid="{00000000-0005-0000-0000-000003000000}"/>
    <cellStyle name="_УТГ" xfId="5" xr:uid="{00000000-0005-0000-0000-000004000000}"/>
    <cellStyle name="_Феодосия 5а МТР липень 2008" xfId="6" xr:uid="{00000000-0005-0000-0000-000005000000}"/>
    <cellStyle name="_ХТГ довідка." xfId="7" xr:uid="{00000000-0005-0000-0000-000006000000}"/>
    <cellStyle name="_Шебелинка 5а МТР липень 2008" xfId="8" xr:uid="{00000000-0005-0000-0000-000007000000}"/>
    <cellStyle name="20% - Accent1" xfId="9" xr:uid="{00000000-0005-0000-0000-000008000000}"/>
    <cellStyle name="20% - Accent2" xfId="10" xr:uid="{00000000-0005-0000-0000-000009000000}"/>
    <cellStyle name="20% - Accent3" xfId="11" xr:uid="{00000000-0005-0000-0000-00000A000000}"/>
    <cellStyle name="20% - Accent4" xfId="12" xr:uid="{00000000-0005-0000-0000-00000B000000}"/>
    <cellStyle name="20% - Accent5" xfId="13" xr:uid="{00000000-0005-0000-0000-00000C000000}"/>
    <cellStyle name="20% - Accent6" xfId="14" xr:uid="{00000000-0005-0000-0000-00000D000000}"/>
    <cellStyle name="20% - Акцент1 2" xfId="15" xr:uid="{00000000-0005-0000-0000-00000E000000}"/>
    <cellStyle name="20% - Акцент1 3" xfId="16" xr:uid="{00000000-0005-0000-0000-00000F000000}"/>
    <cellStyle name="20% - Акцент2 2" xfId="17" xr:uid="{00000000-0005-0000-0000-000010000000}"/>
    <cellStyle name="20% - Акцент2 3" xfId="18" xr:uid="{00000000-0005-0000-0000-000011000000}"/>
    <cellStyle name="20% - Акцент3 2" xfId="19" xr:uid="{00000000-0005-0000-0000-000012000000}"/>
    <cellStyle name="20% - Акцент3 3" xfId="20" xr:uid="{00000000-0005-0000-0000-000013000000}"/>
    <cellStyle name="20% - Акцент4 2" xfId="21" xr:uid="{00000000-0005-0000-0000-000014000000}"/>
    <cellStyle name="20% - Акцент4 3" xfId="22" xr:uid="{00000000-0005-0000-0000-000015000000}"/>
    <cellStyle name="20% - Акцент5 2" xfId="23" xr:uid="{00000000-0005-0000-0000-000016000000}"/>
    <cellStyle name="20% - Акцент5 3" xfId="24" xr:uid="{00000000-0005-0000-0000-000017000000}"/>
    <cellStyle name="20% - Акцент6 2" xfId="25" xr:uid="{00000000-0005-0000-0000-000018000000}"/>
    <cellStyle name="20% - Акцент6 3" xfId="26" xr:uid="{00000000-0005-0000-0000-000019000000}"/>
    <cellStyle name="40% - Accent1" xfId="27" xr:uid="{00000000-0005-0000-0000-00001A000000}"/>
    <cellStyle name="40% - Accent2" xfId="28" xr:uid="{00000000-0005-0000-0000-00001B000000}"/>
    <cellStyle name="40% - Accent3" xfId="29" xr:uid="{00000000-0005-0000-0000-00001C000000}"/>
    <cellStyle name="40% - Accent4" xfId="30" xr:uid="{00000000-0005-0000-0000-00001D000000}"/>
    <cellStyle name="40% - Accent5" xfId="31" xr:uid="{00000000-0005-0000-0000-00001E000000}"/>
    <cellStyle name="40% - Accent6" xfId="32" xr:uid="{00000000-0005-0000-0000-00001F000000}"/>
    <cellStyle name="40% - Акцент1 2" xfId="33" xr:uid="{00000000-0005-0000-0000-000020000000}"/>
    <cellStyle name="40% - Акцент1 3" xfId="34" xr:uid="{00000000-0005-0000-0000-000021000000}"/>
    <cellStyle name="40% - Акцент2 2" xfId="35" xr:uid="{00000000-0005-0000-0000-000022000000}"/>
    <cellStyle name="40% - Акцент2 3" xfId="36" xr:uid="{00000000-0005-0000-0000-000023000000}"/>
    <cellStyle name="40% - Акцент3 2" xfId="37" xr:uid="{00000000-0005-0000-0000-000024000000}"/>
    <cellStyle name="40% - Акцент3 3" xfId="38" xr:uid="{00000000-0005-0000-0000-000025000000}"/>
    <cellStyle name="40% - Акцент4 2" xfId="39" xr:uid="{00000000-0005-0000-0000-000026000000}"/>
    <cellStyle name="40% - Акцент4 3" xfId="40" xr:uid="{00000000-0005-0000-0000-000027000000}"/>
    <cellStyle name="40% - Акцент5 2" xfId="41" xr:uid="{00000000-0005-0000-0000-000028000000}"/>
    <cellStyle name="40% - Акцент5 3" xfId="42" xr:uid="{00000000-0005-0000-0000-000029000000}"/>
    <cellStyle name="40% - Акцент6 2" xfId="43" xr:uid="{00000000-0005-0000-0000-00002A000000}"/>
    <cellStyle name="40% - Акцент6 3" xfId="44" xr:uid="{00000000-0005-0000-0000-00002B000000}"/>
    <cellStyle name="60% - Accent1" xfId="45" xr:uid="{00000000-0005-0000-0000-00002C000000}"/>
    <cellStyle name="60% - Accent2" xfId="46" xr:uid="{00000000-0005-0000-0000-00002D000000}"/>
    <cellStyle name="60% - Accent3" xfId="47" xr:uid="{00000000-0005-0000-0000-00002E000000}"/>
    <cellStyle name="60% - Accent4" xfId="48" xr:uid="{00000000-0005-0000-0000-00002F000000}"/>
    <cellStyle name="60% - Accent5" xfId="49" xr:uid="{00000000-0005-0000-0000-000030000000}"/>
    <cellStyle name="60% - Accent6" xfId="50" xr:uid="{00000000-0005-0000-0000-000031000000}"/>
    <cellStyle name="60% - Акцент1 2" xfId="51" xr:uid="{00000000-0005-0000-0000-000032000000}"/>
    <cellStyle name="60% - Акцент1 3" xfId="52" xr:uid="{00000000-0005-0000-0000-000033000000}"/>
    <cellStyle name="60% - Акцент2 2" xfId="53" xr:uid="{00000000-0005-0000-0000-000034000000}"/>
    <cellStyle name="60% - Акцент2 3" xfId="54" xr:uid="{00000000-0005-0000-0000-000035000000}"/>
    <cellStyle name="60% - Акцент3 2" xfId="55" xr:uid="{00000000-0005-0000-0000-000036000000}"/>
    <cellStyle name="60% - Акцент3 3" xfId="56" xr:uid="{00000000-0005-0000-0000-000037000000}"/>
    <cellStyle name="60% - Акцент4 2" xfId="57" xr:uid="{00000000-0005-0000-0000-000038000000}"/>
    <cellStyle name="60% - Акцент4 3" xfId="58" xr:uid="{00000000-0005-0000-0000-000039000000}"/>
    <cellStyle name="60% - Акцент5 2" xfId="59" xr:uid="{00000000-0005-0000-0000-00003A000000}"/>
    <cellStyle name="60% - Акцент5 3" xfId="60" xr:uid="{00000000-0005-0000-0000-00003B000000}"/>
    <cellStyle name="60% - Акцент6 2" xfId="61" xr:uid="{00000000-0005-0000-0000-00003C000000}"/>
    <cellStyle name="60% - Акцент6 3" xfId="62" xr:uid="{00000000-0005-0000-0000-00003D000000}"/>
    <cellStyle name="Accent1" xfId="63" xr:uid="{00000000-0005-0000-0000-00003E000000}"/>
    <cellStyle name="Accent2" xfId="64" xr:uid="{00000000-0005-0000-0000-00003F000000}"/>
    <cellStyle name="Accent3" xfId="65" xr:uid="{00000000-0005-0000-0000-000040000000}"/>
    <cellStyle name="Accent4" xfId="66" xr:uid="{00000000-0005-0000-0000-000041000000}"/>
    <cellStyle name="Accent5" xfId="67" xr:uid="{00000000-0005-0000-0000-000042000000}"/>
    <cellStyle name="Accent6" xfId="68" xr:uid="{00000000-0005-0000-0000-000043000000}"/>
    <cellStyle name="Bad" xfId="69" xr:uid="{00000000-0005-0000-0000-000044000000}"/>
    <cellStyle name="Calculation" xfId="70" xr:uid="{00000000-0005-0000-0000-000045000000}"/>
    <cellStyle name="Check Cell" xfId="71" xr:uid="{00000000-0005-0000-0000-000046000000}"/>
    <cellStyle name="Column-Header" xfId="72" xr:uid="{00000000-0005-0000-0000-000047000000}"/>
    <cellStyle name="Column-Header 2" xfId="73" xr:uid="{00000000-0005-0000-0000-000048000000}"/>
    <cellStyle name="Column-Header 3" xfId="74" xr:uid="{00000000-0005-0000-0000-000049000000}"/>
    <cellStyle name="Column-Header 4" xfId="75" xr:uid="{00000000-0005-0000-0000-00004A000000}"/>
    <cellStyle name="Column-Header 5" xfId="76" xr:uid="{00000000-0005-0000-0000-00004B000000}"/>
    <cellStyle name="Column-Header 6" xfId="77" xr:uid="{00000000-0005-0000-0000-00004C000000}"/>
    <cellStyle name="Column-Header 7" xfId="78" xr:uid="{00000000-0005-0000-0000-00004D000000}"/>
    <cellStyle name="Column-Header 7 2" xfId="79" xr:uid="{00000000-0005-0000-0000-00004E000000}"/>
    <cellStyle name="Column-Header 8" xfId="80" xr:uid="{00000000-0005-0000-0000-00004F000000}"/>
    <cellStyle name="Column-Header 8 2" xfId="81" xr:uid="{00000000-0005-0000-0000-000050000000}"/>
    <cellStyle name="Column-Header 9" xfId="82" xr:uid="{00000000-0005-0000-0000-000051000000}"/>
    <cellStyle name="Column-Header 9 2" xfId="83" xr:uid="{00000000-0005-0000-0000-000052000000}"/>
    <cellStyle name="Column-Header_Zvit rux-koshtiv 2010 Департамент " xfId="84" xr:uid="{00000000-0005-0000-0000-000053000000}"/>
    <cellStyle name="Comma_2005_03_15-Финансовый_БГ" xfId="85" xr:uid="{00000000-0005-0000-0000-000054000000}"/>
    <cellStyle name="Define-Column" xfId="86" xr:uid="{00000000-0005-0000-0000-000055000000}"/>
    <cellStyle name="Define-Column 10" xfId="87" xr:uid="{00000000-0005-0000-0000-000056000000}"/>
    <cellStyle name="Define-Column 2" xfId="88" xr:uid="{00000000-0005-0000-0000-000057000000}"/>
    <cellStyle name="Define-Column 3" xfId="89" xr:uid="{00000000-0005-0000-0000-000058000000}"/>
    <cellStyle name="Define-Column 4" xfId="90" xr:uid="{00000000-0005-0000-0000-000059000000}"/>
    <cellStyle name="Define-Column 5" xfId="91" xr:uid="{00000000-0005-0000-0000-00005A000000}"/>
    <cellStyle name="Define-Column 6" xfId="92" xr:uid="{00000000-0005-0000-0000-00005B000000}"/>
    <cellStyle name="Define-Column 7" xfId="93" xr:uid="{00000000-0005-0000-0000-00005C000000}"/>
    <cellStyle name="Define-Column 7 2" xfId="94" xr:uid="{00000000-0005-0000-0000-00005D000000}"/>
    <cellStyle name="Define-Column 7 3" xfId="95" xr:uid="{00000000-0005-0000-0000-00005E000000}"/>
    <cellStyle name="Define-Column 8" xfId="96" xr:uid="{00000000-0005-0000-0000-00005F000000}"/>
    <cellStyle name="Define-Column 8 2" xfId="97" xr:uid="{00000000-0005-0000-0000-000060000000}"/>
    <cellStyle name="Define-Column 8 3" xfId="98" xr:uid="{00000000-0005-0000-0000-000061000000}"/>
    <cellStyle name="Define-Column 9" xfId="99" xr:uid="{00000000-0005-0000-0000-000062000000}"/>
    <cellStyle name="Define-Column 9 2" xfId="100" xr:uid="{00000000-0005-0000-0000-000063000000}"/>
    <cellStyle name="Define-Column 9 3" xfId="101" xr:uid="{00000000-0005-0000-0000-000064000000}"/>
    <cellStyle name="Define-Column_Zvit rux-koshtiv 2010 Департамент " xfId="102" xr:uid="{00000000-0005-0000-0000-000065000000}"/>
    <cellStyle name="Explanatory Text" xfId="103" xr:uid="{00000000-0005-0000-0000-000066000000}"/>
    <cellStyle name="FS10" xfId="104" xr:uid="{00000000-0005-0000-0000-000067000000}"/>
    <cellStyle name="Good" xfId="105" xr:uid="{00000000-0005-0000-0000-000068000000}"/>
    <cellStyle name="Heading 1" xfId="106" xr:uid="{00000000-0005-0000-0000-000069000000}"/>
    <cellStyle name="Heading 2" xfId="107" xr:uid="{00000000-0005-0000-0000-00006A000000}"/>
    <cellStyle name="Heading 3" xfId="108" xr:uid="{00000000-0005-0000-0000-00006B000000}"/>
    <cellStyle name="Heading 4" xfId="109" xr:uid="{00000000-0005-0000-0000-00006C000000}"/>
    <cellStyle name="Hyperlink 2" xfId="110" xr:uid="{00000000-0005-0000-0000-00006D000000}"/>
    <cellStyle name="Input" xfId="111" xr:uid="{00000000-0005-0000-0000-00006E000000}"/>
    <cellStyle name="Level0" xfId="112" xr:uid="{00000000-0005-0000-0000-00006F000000}"/>
    <cellStyle name="Level0 10" xfId="113" xr:uid="{00000000-0005-0000-0000-000070000000}"/>
    <cellStyle name="Level0 2" xfId="114" xr:uid="{00000000-0005-0000-0000-000071000000}"/>
    <cellStyle name="Level0 2 2" xfId="115" xr:uid="{00000000-0005-0000-0000-000072000000}"/>
    <cellStyle name="Level0 3" xfId="116" xr:uid="{00000000-0005-0000-0000-000073000000}"/>
    <cellStyle name="Level0 3 2" xfId="117" xr:uid="{00000000-0005-0000-0000-000074000000}"/>
    <cellStyle name="Level0 4" xfId="118" xr:uid="{00000000-0005-0000-0000-000075000000}"/>
    <cellStyle name="Level0 4 2" xfId="119" xr:uid="{00000000-0005-0000-0000-000076000000}"/>
    <cellStyle name="Level0 5" xfId="120" xr:uid="{00000000-0005-0000-0000-000077000000}"/>
    <cellStyle name="Level0 6" xfId="121" xr:uid="{00000000-0005-0000-0000-000078000000}"/>
    <cellStyle name="Level0 7" xfId="122" xr:uid="{00000000-0005-0000-0000-000079000000}"/>
    <cellStyle name="Level0 7 2" xfId="123" xr:uid="{00000000-0005-0000-0000-00007A000000}"/>
    <cellStyle name="Level0 7 3" xfId="124" xr:uid="{00000000-0005-0000-0000-00007B000000}"/>
    <cellStyle name="Level0 8" xfId="125" xr:uid="{00000000-0005-0000-0000-00007C000000}"/>
    <cellStyle name="Level0 8 2" xfId="126" xr:uid="{00000000-0005-0000-0000-00007D000000}"/>
    <cellStyle name="Level0 8 3" xfId="127" xr:uid="{00000000-0005-0000-0000-00007E000000}"/>
    <cellStyle name="Level0 9" xfId="128" xr:uid="{00000000-0005-0000-0000-00007F000000}"/>
    <cellStyle name="Level0 9 2" xfId="129" xr:uid="{00000000-0005-0000-0000-000080000000}"/>
    <cellStyle name="Level0 9 3" xfId="130" xr:uid="{00000000-0005-0000-0000-000081000000}"/>
    <cellStyle name="Level0_Zvit rux-koshtiv 2010 Департамент " xfId="131" xr:uid="{00000000-0005-0000-0000-000082000000}"/>
    <cellStyle name="Level1" xfId="132" xr:uid="{00000000-0005-0000-0000-000083000000}"/>
    <cellStyle name="Level1 2" xfId="133" xr:uid="{00000000-0005-0000-0000-000084000000}"/>
    <cellStyle name="Level1-Numbers" xfId="134" xr:uid="{00000000-0005-0000-0000-000085000000}"/>
    <cellStyle name="Level1-Numbers 2" xfId="135" xr:uid="{00000000-0005-0000-0000-000086000000}"/>
    <cellStyle name="Level1-Numbers-Hide" xfId="136" xr:uid="{00000000-0005-0000-0000-000087000000}"/>
    <cellStyle name="Level2" xfId="137" xr:uid="{00000000-0005-0000-0000-000088000000}"/>
    <cellStyle name="Level2 2" xfId="138" xr:uid="{00000000-0005-0000-0000-000089000000}"/>
    <cellStyle name="Level2-Hide" xfId="139" xr:uid="{00000000-0005-0000-0000-00008A000000}"/>
    <cellStyle name="Level2-Hide 2" xfId="140" xr:uid="{00000000-0005-0000-0000-00008B000000}"/>
    <cellStyle name="Level2-Numbers" xfId="141" xr:uid="{00000000-0005-0000-0000-00008C000000}"/>
    <cellStyle name="Level2-Numbers 2" xfId="142" xr:uid="{00000000-0005-0000-0000-00008D000000}"/>
    <cellStyle name="Level2-Numbers-Hide" xfId="143" xr:uid="{00000000-0005-0000-0000-00008E000000}"/>
    <cellStyle name="Level3" xfId="144" xr:uid="{00000000-0005-0000-0000-00008F000000}"/>
    <cellStyle name="Level3 2" xfId="145" xr:uid="{00000000-0005-0000-0000-000090000000}"/>
    <cellStyle name="Level3 3" xfId="146" xr:uid="{00000000-0005-0000-0000-000091000000}"/>
    <cellStyle name="Level3_План департамент_2010_1207" xfId="147" xr:uid="{00000000-0005-0000-0000-000092000000}"/>
    <cellStyle name="Level3-Hide" xfId="148" xr:uid="{00000000-0005-0000-0000-000093000000}"/>
    <cellStyle name="Level3-Hide 2" xfId="149" xr:uid="{00000000-0005-0000-0000-000094000000}"/>
    <cellStyle name="Level3-Numbers" xfId="150" xr:uid="{00000000-0005-0000-0000-000095000000}"/>
    <cellStyle name="Level3-Numbers 2" xfId="151" xr:uid="{00000000-0005-0000-0000-000096000000}"/>
    <cellStyle name="Level3-Numbers 3" xfId="152" xr:uid="{00000000-0005-0000-0000-000097000000}"/>
    <cellStyle name="Level3-Numbers_План департамент_2010_1207" xfId="153" xr:uid="{00000000-0005-0000-0000-000098000000}"/>
    <cellStyle name="Level3-Numbers-Hide" xfId="154" xr:uid="{00000000-0005-0000-0000-000099000000}"/>
    <cellStyle name="Level4" xfId="155" xr:uid="{00000000-0005-0000-0000-00009A000000}"/>
    <cellStyle name="Level4 2" xfId="156" xr:uid="{00000000-0005-0000-0000-00009B000000}"/>
    <cellStyle name="Level4-Hide" xfId="157" xr:uid="{00000000-0005-0000-0000-00009C000000}"/>
    <cellStyle name="Level4-Hide 2" xfId="158" xr:uid="{00000000-0005-0000-0000-00009D000000}"/>
    <cellStyle name="Level4-Numbers" xfId="159" xr:uid="{00000000-0005-0000-0000-00009E000000}"/>
    <cellStyle name="Level4-Numbers 2" xfId="160" xr:uid="{00000000-0005-0000-0000-00009F000000}"/>
    <cellStyle name="Level4-Numbers-Hide" xfId="161" xr:uid="{00000000-0005-0000-0000-0000A0000000}"/>
    <cellStyle name="Level5" xfId="162" xr:uid="{00000000-0005-0000-0000-0000A1000000}"/>
    <cellStyle name="Level5 2" xfId="163" xr:uid="{00000000-0005-0000-0000-0000A2000000}"/>
    <cellStyle name="Level5-Hide" xfId="164" xr:uid="{00000000-0005-0000-0000-0000A3000000}"/>
    <cellStyle name="Level5-Hide 2" xfId="165" xr:uid="{00000000-0005-0000-0000-0000A4000000}"/>
    <cellStyle name="Level5-Numbers" xfId="166" xr:uid="{00000000-0005-0000-0000-0000A5000000}"/>
    <cellStyle name="Level5-Numbers 2" xfId="167" xr:uid="{00000000-0005-0000-0000-0000A6000000}"/>
    <cellStyle name="Level5-Numbers-Hide" xfId="168" xr:uid="{00000000-0005-0000-0000-0000A7000000}"/>
    <cellStyle name="Level6" xfId="169" xr:uid="{00000000-0005-0000-0000-0000A8000000}"/>
    <cellStyle name="Level6 2" xfId="170" xr:uid="{00000000-0005-0000-0000-0000A9000000}"/>
    <cellStyle name="Level6-Hide" xfId="171" xr:uid="{00000000-0005-0000-0000-0000AA000000}"/>
    <cellStyle name="Level6-Hide 2" xfId="172" xr:uid="{00000000-0005-0000-0000-0000AB000000}"/>
    <cellStyle name="Level6-Numbers" xfId="173" xr:uid="{00000000-0005-0000-0000-0000AC000000}"/>
    <cellStyle name="Level6-Numbers 2" xfId="174" xr:uid="{00000000-0005-0000-0000-0000AD000000}"/>
    <cellStyle name="Level7" xfId="175" xr:uid="{00000000-0005-0000-0000-0000AE000000}"/>
    <cellStyle name="Level7-Hide" xfId="176" xr:uid="{00000000-0005-0000-0000-0000AF000000}"/>
    <cellStyle name="Level7-Numbers" xfId="177" xr:uid="{00000000-0005-0000-0000-0000B0000000}"/>
    <cellStyle name="Linked Cell" xfId="178" xr:uid="{00000000-0005-0000-0000-0000B1000000}"/>
    <cellStyle name="Neutral" xfId="179" xr:uid="{00000000-0005-0000-0000-0000B2000000}"/>
    <cellStyle name="Normal 2" xfId="180" xr:uid="{00000000-0005-0000-0000-0000B3000000}"/>
    <cellStyle name="Normal_2005_03_15-Финансовый_БГ" xfId="181" xr:uid="{00000000-0005-0000-0000-0000B4000000}"/>
    <cellStyle name="Normal_GSE DCF_Model_31_07_09 final" xfId="182" xr:uid="{00000000-0005-0000-0000-0000B5000000}"/>
    <cellStyle name="Note" xfId="183" xr:uid="{00000000-0005-0000-0000-0000B6000000}"/>
    <cellStyle name="Number-Cells" xfId="184" xr:uid="{00000000-0005-0000-0000-0000B7000000}"/>
    <cellStyle name="Number-Cells-Column2" xfId="185" xr:uid="{00000000-0005-0000-0000-0000B8000000}"/>
    <cellStyle name="Number-Cells-Column5" xfId="186" xr:uid="{00000000-0005-0000-0000-0000B9000000}"/>
    <cellStyle name="Output" xfId="187" xr:uid="{00000000-0005-0000-0000-0000BA000000}"/>
    <cellStyle name="Row-Header" xfId="188" xr:uid="{00000000-0005-0000-0000-0000BB000000}"/>
    <cellStyle name="Row-Header 2" xfId="189" xr:uid="{00000000-0005-0000-0000-0000BC000000}"/>
    <cellStyle name="Title" xfId="190" xr:uid="{00000000-0005-0000-0000-0000BD000000}"/>
    <cellStyle name="Total" xfId="191" xr:uid="{00000000-0005-0000-0000-0000BE000000}"/>
    <cellStyle name="Warning Text" xfId="192" xr:uid="{00000000-0005-0000-0000-0000BF000000}"/>
    <cellStyle name="Акцент1 2" xfId="193" xr:uid="{00000000-0005-0000-0000-0000C0000000}"/>
    <cellStyle name="Акцент1 3" xfId="194" xr:uid="{00000000-0005-0000-0000-0000C1000000}"/>
    <cellStyle name="Акцент2 2" xfId="195" xr:uid="{00000000-0005-0000-0000-0000C2000000}"/>
    <cellStyle name="Акцент2 3" xfId="196" xr:uid="{00000000-0005-0000-0000-0000C3000000}"/>
    <cellStyle name="Акцент3 2" xfId="197" xr:uid="{00000000-0005-0000-0000-0000C4000000}"/>
    <cellStyle name="Акцент3 3" xfId="198" xr:uid="{00000000-0005-0000-0000-0000C5000000}"/>
    <cellStyle name="Акцент4 2" xfId="199" xr:uid="{00000000-0005-0000-0000-0000C6000000}"/>
    <cellStyle name="Акцент4 3" xfId="200" xr:uid="{00000000-0005-0000-0000-0000C7000000}"/>
    <cellStyle name="Акцент5 2" xfId="201" xr:uid="{00000000-0005-0000-0000-0000C8000000}"/>
    <cellStyle name="Акцент5 3" xfId="202" xr:uid="{00000000-0005-0000-0000-0000C9000000}"/>
    <cellStyle name="Акцент6 2" xfId="203" xr:uid="{00000000-0005-0000-0000-0000CA000000}"/>
    <cellStyle name="Акцент6 3" xfId="204" xr:uid="{00000000-0005-0000-0000-0000CB000000}"/>
    <cellStyle name="Ввод  2" xfId="205" xr:uid="{00000000-0005-0000-0000-0000CC000000}"/>
    <cellStyle name="Ввод  3" xfId="206" xr:uid="{00000000-0005-0000-0000-0000CD000000}"/>
    <cellStyle name="Вывод 2" xfId="207" xr:uid="{00000000-0005-0000-0000-0000CE000000}"/>
    <cellStyle name="Вывод 3" xfId="208" xr:uid="{00000000-0005-0000-0000-0000CF000000}"/>
    <cellStyle name="Вычисление 2" xfId="209" xr:uid="{00000000-0005-0000-0000-0000D0000000}"/>
    <cellStyle name="Вычисление 3" xfId="210" xr:uid="{00000000-0005-0000-0000-0000D1000000}"/>
    <cellStyle name="Денежный 2" xfId="211" xr:uid="{00000000-0005-0000-0000-0000D2000000}"/>
    <cellStyle name="Заголовок 1 2" xfId="212" xr:uid="{00000000-0005-0000-0000-0000D3000000}"/>
    <cellStyle name="Заголовок 1 3" xfId="213" xr:uid="{00000000-0005-0000-0000-0000D4000000}"/>
    <cellStyle name="Заголовок 2 2" xfId="214" xr:uid="{00000000-0005-0000-0000-0000D5000000}"/>
    <cellStyle name="Заголовок 2 3" xfId="215" xr:uid="{00000000-0005-0000-0000-0000D6000000}"/>
    <cellStyle name="Заголовок 3 2" xfId="216" xr:uid="{00000000-0005-0000-0000-0000D7000000}"/>
    <cellStyle name="Заголовок 3 3" xfId="217" xr:uid="{00000000-0005-0000-0000-0000D8000000}"/>
    <cellStyle name="Заголовок 4 2" xfId="218" xr:uid="{00000000-0005-0000-0000-0000D9000000}"/>
    <cellStyle name="Заголовок 4 3" xfId="219" xr:uid="{00000000-0005-0000-0000-0000DA000000}"/>
    <cellStyle name="Итог 2" xfId="220" xr:uid="{00000000-0005-0000-0000-0000DB000000}"/>
    <cellStyle name="Итог 3" xfId="221" xr:uid="{00000000-0005-0000-0000-0000DC000000}"/>
    <cellStyle name="Контрольная ячейка 2" xfId="222" xr:uid="{00000000-0005-0000-0000-0000DD000000}"/>
    <cellStyle name="Контрольная ячейка 3" xfId="223" xr:uid="{00000000-0005-0000-0000-0000DE000000}"/>
    <cellStyle name="Название 2" xfId="224" xr:uid="{00000000-0005-0000-0000-0000DF000000}"/>
    <cellStyle name="Название 3" xfId="225" xr:uid="{00000000-0005-0000-0000-0000E0000000}"/>
    <cellStyle name="Нейтральный 2" xfId="226" xr:uid="{00000000-0005-0000-0000-0000E1000000}"/>
    <cellStyle name="Нейтральный 3" xfId="227" xr:uid="{00000000-0005-0000-0000-0000E2000000}"/>
    <cellStyle name="Обычный" xfId="0" builtinId="0"/>
    <cellStyle name="Обычный 10" xfId="228" xr:uid="{00000000-0005-0000-0000-0000E4000000}"/>
    <cellStyle name="Обычный 11" xfId="229" xr:uid="{00000000-0005-0000-0000-0000E5000000}"/>
    <cellStyle name="Обычный 12" xfId="230" xr:uid="{00000000-0005-0000-0000-0000E6000000}"/>
    <cellStyle name="Обычный 13" xfId="231" xr:uid="{00000000-0005-0000-0000-0000E7000000}"/>
    <cellStyle name="Обычный 14" xfId="232" xr:uid="{00000000-0005-0000-0000-0000E8000000}"/>
    <cellStyle name="Обычный 15" xfId="233" xr:uid="{00000000-0005-0000-0000-0000E9000000}"/>
    <cellStyle name="Обычный 16" xfId="234" xr:uid="{00000000-0005-0000-0000-0000EA000000}"/>
    <cellStyle name="Обычный 17" xfId="235" xr:uid="{00000000-0005-0000-0000-0000EB000000}"/>
    <cellStyle name="Обычный 18" xfId="236" xr:uid="{00000000-0005-0000-0000-0000EC000000}"/>
    <cellStyle name="Обычный 2" xfId="237" xr:uid="{00000000-0005-0000-0000-0000ED000000}"/>
    <cellStyle name="Обычный 2 10" xfId="238" xr:uid="{00000000-0005-0000-0000-0000EE000000}"/>
    <cellStyle name="Обычный 2 11" xfId="239" xr:uid="{00000000-0005-0000-0000-0000EF000000}"/>
    <cellStyle name="Обычный 2 12" xfId="240" xr:uid="{00000000-0005-0000-0000-0000F0000000}"/>
    <cellStyle name="Обычный 2 13" xfId="241" xr:uid="{00000000-0005-0000-0000-0000F1000000}"/>
    <cellStyle name="Обычный 2 14" xfId="242" xr:uid="{00000000-0005-0000-0000-0000F2000000}"/>
    <cellStyle name="Обычный 2 15" xfId="243" xr:uid="{00000000-0005-0000-0000-0000F3000000}"/>
    <cellStyle name="Обычный 2 16" xfId="244" xr:uid="{00000000-0005-0000-0000-0000F4000000}"/>
    <cellStyle name="Обычный 2 2" xfId="245" xr:uid="{00000000-0005-0000-0000-0000F5000000}"/>
    <cellStyle name="Обычный 2 2 2" xfId="246" xr:uid="{00000000-0005-0000-0000-0000F6000000}"/>
    <cellStyle name="Обычный 2 2 3" xfId="247" xr:uid="{00000000-0005-0000-0000-0000F7000000}"/>
    <cellStyle name="Обычный 2 2_Расшифровка прочих" xfId="248" xr:uid="{00000000-0005-0000-0000-0000F8000000}"/>
    <cellStyle name="Обычный 2 3" xfId="249" xr:uid="{00000000-0005-0000-0000-0000F9000000}"/>
    <cellStyle name="Обычный 2 4" xfId="250" xr:uid="{00000000-0005-0000-0000-0000FA000000}"/>
    <cellStyle name="Обычный 2 5" xfId="251" xr:uid="{00000000-0005-0000-0000-0000FB000000}"/>
    <cellStyle name="Обычный 2 6" xfId="252" xr:uid="{00000000-0005-0000-0000-0000FC000000}"/>
    <cellStyle name="Обычный 2 7" xfId="253" xr:uid="{00000000-0005-0000-0000-0000FD000000}"/>
    <cellStyle name="Обычный 2 8" xfId="254" xr:uid="{00000000-0005-0000-0000-0000FE000000}"/>
    <cellStyle name="Обычный 2 9" xfId="255" xr:uid="{00000000-0005-0000-0000-0000FF000000}"/>
    <cellStyle name="Обычный 2_2604-2010" xfId="256" xr:uid="{00000000-0005-0000-0000-000000010000}"/>
    <cellStyle name="Обычный 3" xfId="257" xr:uid="{00000000-0005-0000-0000-000001010000}"/>
    <cellStyle name="Обычный 3 10" xfId="258" xr:uid="{00000000-0005-0000-0000-000002010000}"/>
    <cellStyle name="Обычный 3 11" xfId="259" xr:uid="{00000000-0005-0000-0000-000003010000}"/>
    <cellStyle name="Обычный 3 12" xfId="260" xr:uid="{00000000-0005-0000-0000-000004010000}"/>
    <cellStyle name="Обычный 3 13" xfId="261" xr:uid="{00000000-0005-0000-0000-000005010000}"/>
    <cellStyle name="Обычный 3 14" xfId="262" xr:uid="{00000000-0005-0000-0000-000006010000}"/>
    <cellStyle name="Обычный 3 2" xfId="263" xr:uid="{00000000-0005-0000-0000-000007010000}"/>
    <cellStyle name="Обычный 3 3" xfId="264" xr:uid="{00000000-0005-0000-0000-000008010000}"/>
    <cellStyle name="Обычный 3 4" xfId="265" xr:uid="{00000000-0005-0000-0000-000009010000}"/>
    <cellStyle name="Обычный 3 5" xfId="266" xr:uid="{00000000-0005-0000-0000-00000A010000}"/>
    <cellStyle name="Обычный 3 6" xfId="267" xr:uid="{00000000-0005-0000-0000-00000B010000}"/>
    <cellStyle name="Обычный 3 7" xfId="268" xr:uid="{00000000-0005-0000-0000-00000C010000}"/>
    <cellStyle name="Обычный 3 8" xfId="269" xr:uid="{00000000-0005-0000-0000-00000D010000}"/>
    <cellStyle name="Обычный 3 9" xfId="270" xr:uid="{00000000-0005-0000-0000-00000E010000}"/>
    <cellStyle name="Обычный 3_Дефицит_7 млрд_0608_бс" xfId="271" xr:uid="{00000000-0005-0000-0000-00000F010000}"/>
    <cellStyle name="Обычный 4" xfId="272" xr:uid="{00000000-0005-0000-0000-000010010000}"/>
    <cellStyle name="Обычный 5" xfId="273" xr:uid="{00000000-0005-0000-0000-000011010000}"/>
    <cellStyle name="Обычный 5 2" xfId="274" xr:uid="{00000000-0005-0000-0000-000012010000}"/>
    <cellStyle name="Обычный 6" xfId="275" xr:uid="{00000000-0005-0000-0000-000013010000}"/>
    <cellStyle name="Обычный 6 2" xfId="276" xr:uid="{00000000-0005-0000-0000-000014010000}"/>
    <cellStyle name="Обычный 6 3" xfId="277" xr:uid="{00000000-0005-0000-0000-000015010000}"/>
    <cellStyle name="Обычный 6 4" xfId="278" xr:uid="{00000000-0005-0000-0000-000016010000}"/>
    <cellStyle name="Обычный 6_Дефицит_7 млрд_0608_бс" xfId="279" xr:uid="{00000000-0005-0000-0000-000017010000}"/>
    <cellStyle name="Обычный 7" xfId="280" xr:uid="{00000000-0005-0000-0000-000018010000}"/>
    <cellStyle name="Обычный 7 2" xfId="281" xr:uid="{00000000-0005-0000-0000-000019010000}"/>
    <cellStyle name="Обычный 8" xfId="282" xr:uid="{00000000-0005-0000-0000-00001A010000}"/>
    <cellStyle name="Обычный 9" xfId="283" xr:uid="{00000000-0005-0000-0000-00001B010000}"/>
    <cellStyle name="Обычный 9 2" xfId="284" xr:uid="{00000000-0005-0000-0000-00001C010000}"/>
    <cellStyle name="Обычный_касса" xfId="354" xr:uid="{00000000-0005-0000-0000-00001D010000}"/>
    <cellStyle name="Плохой 2" xfId="285" xr:uid="{00000000-0005-0000-0000-00001E010000}"/>
    <cellStyle name="Плохой 3" xfId="286" xr:uid="{00000000-0005-0000-0000-00001F010000}"/>
    <cellStyle name="Пояснение 2" xfId="287" xr:uid="{00000000-0005-0000-0000-000020010000}"/>
    <cellStyle name="Пояснение 3" xfId="288" xr:uid="{00000000-0005-0000-0000-000021010000}"/>
    <cellStyle name="Примечание 2" xfId="289" xr:uid="{00000000-0005-0000-0000-000022010000}"/>
    <cellStyle name="Примечание 3" xfId="290" xr:uid="{00000000-0005-0000-0000-000023010000}"/>
    <cellStyle name="Процентный 2" xfId="291" xr:uid="{00000000-0005-0000-0000-000024010000}"/>
    <cellStyle name="Процентный 2 10" xfId="292" xr:uid="{00000000-0005-0000-0000-000025010000}"/>
    <cellStyle name="Процентный 2 11" xfId="293" xr:uid="{00000000-0005-0000-0000-000026010000}"/>
    <cellStyle name="Процентный 2 12" xfId="294" xr:uid="{00000000-0005-0000-0000-000027010000}"/>
    <cellStyle name="Процентный 2 13" xfId="295" xr:uid="{00000000-0005-0000-0000-000028010000}"/>
    <cellStyle name="Процентный 2 14" xfId="296" xr:uid="{00000000-0005-0000-0000-000029010000}"/>
    <cellStyle name="Процентный 2 15" xfId="297" xr:uid="{00000000-0005-0000-0000-00002A010000}"/>
    <cellStyle name="Процентный 2 16" xfId="298" xr:uid="{00000000-0005-0000-0000-00002B010000}"/>
    <cellStyle name="Процентный 2 2" xfId="299" xr:uid="{00000000-0005-0000-0000-00002C010000}"/>
    <cellStyle name="Процентный 2 3" xfId="300" xr:uid="{00000000-0005-0000-0000-00002D010000}"/>
    <cellStyle name="Процентный 2 4" xfId="301" xr:uid="{00000000-0005-0000-0000-00002E010000}"/>
    <cellStyle name="Процентный 2 5" xfId="302" xr:uid="{00000000-0005-0000-0000-00002F010000}"/>
    <cellStyle name="Процентный 2 6" xfId="303" xr:uid="{00000000-0005-0000-0000-000030010000}"/>
    <cellStyle name="Процентный 2 7" xfId="304" xr:uid="{00000000-0005-0000-0000-000031010000}"/>
    <cellStyle name="Процентный 2 8" xfId="305" xr:uid="{00000000-0005-0000-0000-000032010000}"/>
    <cellStyle name="Процентный 2 9" xfId="306" xr:uid="{00000000-0005-0000-0000-000033010000}"/>
    <cellStyle name="Процентный 3" xfId="307" xr:uid="{00000000-0005-0000-0000-000034010000}"/>
    <cellStyle name="Процентный 4" xfId="308" xr:uid="{00000000-0005-0000-0000-000035010000}"/>
    <cellStyle name="Процентный 4 2" xfId="309" xr:uid="{00000000-0005-0000-0000-000036010000}"/>
    <cellStyle name="Связанная ячейка 2" xfId="310" xr:uid="{00000000-0005-0000-0000-000037010000}"/>
    <cellStyle name="Связанная ячейка 3" xfId="311" xr:uid="{00000000-0005-0000-0000-000038010000}"/>
    <cellStyle name="Стиль 1" xfId="312" xr:uid="{00000000-0005-0000-0000-000039010000}"/>
    <cellStyle name="Стиль 1 2" xfId="313" xr:uid="{00000000-0005-0000-0000-00003A010000}"/>
    <cellStyle name="Стиль 1 3" xfId="314" xr:uid="{00000000-0005-0000-0000-00003B010000}"/>
    <cellStyle name="Стиль 1 4" xfId="315" xr:uid="{00000000-0005-0000-0000-00003C010000}"/>
    <cellStyle name="Стиль 1 5" xfId="316" xr:uid="{00000000-0005-0000-0000-00003D010000}"/>
    <cellStyle name="Стиль 1 6" xfId="317" xr:uid="{00000000-0005-0000-0000-00003E010000}"/>
    <cellStyle name="Стиль 1 7" xfId="318" xr:uid="{00000000-0005-0000-0000-00003F010000}"/>
    <cellStyle name="Текст предупреждения 2" xfId="319" xr:uid="{00000000-0005-0000-0000-000040010000}"/>
    <cellStyle name="Текст предупреждения 3" xfId="320" xr:uid="{00000000-0005-0000-0000-000041010000}"/>
    <cellStyle name="Тысячи [0]_1.62" xfId="321" xr:uid="{00000000-0005-0000-0000-000042010000}"/>
    <cellStyle name="Тысячи_1.62" xfId="322" xr:uid="{00000000-0005-0000-0000-000043010000}"/>
    <cellStyle name="Финансовый" xfId="323" builtinId="3"/>
    <cellStyle name="Финансовый 2" xfId="324" xr:uid="{00000000-0005-0000-0000-000045010000}"/>
    <cellStyle name="Финансовый 2 10" xfId="325" xr:uid="{00000000-0005-0000-0000-000046010000}"/>
    <cellStyle name="Финансовый 2 11" xfId="326" xr:uid="{00000000-0005-0000-0000-000047010000}"/>
    <cellStyle name="Финансовый 2 12" xfId="327" xr:uid="{00000000-0005-0000-0000-000048010000}"/>
    <cellStyle name="Финансовый 2 13" xfId="328" xr:uid="{00000000-0005-0000-0000-000049010000}"/>
    <cellStyle name="Финансовый 2 14" xfId="329" xr:uid="{00000000-0005-0000-0000-00004A010000}"/>
    <cellStyle name="Финансовый 2 15" xfId="330" xr:uid="{00000000-0005-0000-0000-00004B010000}"/>
    <cellStyle name="Финансовый 2 16" xfId="331" xr:uid="{00000000-0005-0000-0000-00004C010000}"/>
    <cellStyle name="Финансовый 2 17" xfId="332" xr:uid="{00000000-0005-0000-0000-00004D010000}"/>
    <cellStyle name="Финансовый 2 2" xfId="333" xr:uid="{00000000-0005-0000-0000-00004E010000}"/>
    <cellStyle name="Финансовый 2 3" xfId="334" xr:uid="{00000000-0005-0000-0000-00004F010000}"/>
    <cellStyle name="Финансовый 2 4" xfId="335" xr:uid="{00000000-0005-0000-0000-000050010000}"/>
    <cellStyle name="Финансовый 2 5" xfId="336" xr:uid="{00000000-0005-0000-0000-000051010000}"/>
    <cellStyle name="Финансовый 2 6" xfId="337" xr:uid="{00000000-0005-0000-0000-000052010000}"/>
    <cellStyle name="Финансовый 2 7" xfId="338" xr:uid="{00000000-0005-0000-0000-000053010000}"/>
    <cellStyle name="Финансовый 2 8" xfId="339" xr:uid="{00000000-0005-0000-0000-000054010000}"/>
    <cellStyle name="Финансовый 2 9" xfId="340" xr:uid="{00000000-0005-0000-0000-000055010000}"/>
    <cellStyle name="Финансовый 3" xfId="341" xr:uid="{00000000-0005-0000-0000-000056010000}"/>
    <cellStyle name="Финансовый 3 2" xfId="342" xr:uid="{00000000-0005-0000-0000-000057010000}"/>
    <cellStyle name="Финансовый 4" xfId="343" xr:uid="{00000000-0005-0000-0000-000058010000}"/>
    <cellStyle name="Финансовый 4 2" xfId="344" xr:uid="{00000000-0005-0000-0000-000059010000}"/>
    <cellStyle name="Финансовый 4 3" xfId="345" xr:uid="{00000000-0005-0000-0000-00005A010000}"/>
    <cellStyle name="Финансовый 5" xfId="346" xr:uid="{00000000-0005-0000-0000-00005B010000}"/>
    <cellStyle name="Финансовый 6" xfId="347" xr:uid="{00000000-0005-0000-0000-00005C010000}"/>
    <cellStyle name="Финансовый 7" xfId="348" xr:uid="{00000000-0005-0000-0000-00005D010000}"/>
    <cellStyle name="Хороший 2" xfId="349" xr:uid="{00000000-0005-0000-0000-00005E010000}"/>
    <cellStyle name="Хороший 3" xfId="350" xr:uid="{00000000-0005-0000-0000-00005F010000}"/>
    <cellStyle name="числовой" xfId="351" xr:uid="{00000000-0005-0000-0000-000060010000}"/>
    <cellStyle name="Ю" xfId="352" xr:uid="{00000000-0005-0000-0000-000061010000}"/>
    <cellStyle name="Ю-FreeSet_10" xfId="353" xr:uid="{00000000-0005-0000-0000-000062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26" Type="http://schemas.openxmlformats.org/officeDocument/2006/relationships/externalLink" Target="externalLinks/externalLink18.xml"/><Relationship Id="rId39" Type="http://schemas.openxmlformats.org/officeDocument/2006/relationships/externalLink" Target="externalLinks/externalLink31.xml"/><Relationship Id="rId21" Type="http://schemas.openxmlformats.org/officeDocument/2006/relationships/externalLink" Target="externalLinks/externalLink13.xml"/><Relationship Id="rId34" Type="http://schemas.openxmlformats.org/officeDocument/2006/relationships/externalLink" Target="externalLinks/externalLink26.xml"/><Relationship Id="rId42" Type="http://schemas.openxmlformats.org/officeDocument/2006/relationships/externalLink" Target="externalLinks/externalLink34.xml"/><Relationship Id="rId47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9" Type="http://schemas.openxmlformats.org/officeDocument/2006/relationships/externalLink" Target="externalLinks/externalLink2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externalLink" Target="externalLinks/externalLink16.xml"/><Relationship Id="rId32" Type="http://schemas.openxmlformats.org/officeDocument/2006/relationships/externalLink" Target="externalLinks/externalLink24.xml"/><Relationship Id="rId37" Type="http://schemas.openxmlformats.org/officeDocument/2006/relationships/externalLink" Target="externalLinks/externalLink29.xml"/><Relationship Id="rId40" Type="http://schemas.openxmlformats.org/officeDocument/2006/relationships/externalLink" Target="externalLinks/externalLink32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externalLink" Target="externalLinks/externalLink15.xml"/><Relationship Id="rId28" Type="http://schemas.openxmlformats.org/officeDocument/2006/relationships/externalLink" Target="externalLinks/externalLink20.xml"/><Relationship Id="rId36" Type="http://schemas.openxmlformats.org/officeDocument/2006/relationships/externalLink" Target="externalLinks/externalLink28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31" Type="http://schemas.openxmlformats.org/officeDocument/2006/relationships/externalLink" Target="externalLinks/externalLink23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externalLink" Target="externalLinks/externalLink14.xml"/><Relationship Id="rId27" Type="http://schemas.openxmlformats.org/officeDocument/2006/relationships/externalLink" Target="externalLinks/externalLink19.xml"/><Relationship Id="rId30" Type="http://schemas.openxmlformats.org/officeDocument/2006/relationships/externalLink" Target="externalLinks/externalLink22.xml"/><Relationship Id="rId35" Type="http://schemas.openxmlformats.org/officeDocument/2006/relationships/externalLink" Target="externalLinks/externalLink27.xml"/><Relationship Id="rId43" Type="http://schemas.openxmlformats.org/officeDocument/2006/relationships/externalLink" Target="externalLinks/externalLink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externalLink" Target="externalLinks/externalLink17.xml"/><Relationship Id="rId33" Type="http://schemas.openxmlformats.org/officeDocument/2006/relationships/externalLink" Target="externalLinks/externalLink25.xml"/><Relationship Id="rId38" Type="http://schemas.openxmlformats.org/officeDocument/2006/relationships/externalLink" Target="externalLinks/externalLink30.xml"/><Relationship Id="rId46" Type="http://schemas.openxmlformats.org/officeDocument/2006/relationships/sharedStrings" Target="sharedStrings.xml"/><Relationship Id="rId20" Type="http://schemas.openxmlformats.org/officeDocument/2006/relationships/externalLink" Target="externalLinks/externalLink12.xml"/><Relationship Id="rId41" Type="http://schemas.openxmlformats.org/officeDocument/2006/relationships/externalLink" Target="externalLinks/externalLink3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1352550</xdr:colOff>
      <xdr:row>78</xdr:row>
      <xdr:rowOff>0</xdr:rowOff>
    </xdr:from>
    <xdr:to>
      <xdr:col>0</xdr:col>
      <xdr:colOff>4743450</xdr:colOff>
      <xdr:row>78</xdr:row>
      <xdr:rowOff>0</xdr:rowOff>
    </xdr:to>
    <xdr:sp macro="" textlink="">
      <xdr:nvSpPr>
        <xdr:cNvPr id="3223" name="Line 1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>
          <a:spLocks noChangeShapeType="1"/>
        </xdr:cNvSpPr>
      </xdr:nvSpPr>
      <xdr:spPr bwMode="auto">
        <a:xfrm>
          <a:off x="1352550" y="29308425"/>
          <a:ext cx="3390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114300</xdr:colOff>
      <xdr:row>78</xdr:row>
      <xdr:rowOff>0</xdr:rowOff>
    </xdr:from>
    <xdr:to>
      <xdr:col>3</xdr:col>
      <xdr:colOff>1619250</xdr:colOff>
      <xdr:row>78</xdr:row>
      <xdr:rowOff>0</xdr:rowOff>
    </xdr:to>
    <xdr:sp macro="" textlink="">
      <xdr:nvSpPr>
        <xdr:cNvPr id="3224" name="Line 2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>
          <a:spLocks noChangeShapeType="1"/>
        </xdr:cNvSpPr>
      </xdr:nvSpPr>
      <xdr:spPr bwMode="auto">
        <a:xfrm>
          <a:off x="6096000" y="29308425"/>
          <a:ext cx="3190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78</xdr:row>
      <xdr:rowOff>0</xdr:rowOff>
    </xdr:from>
    <xdr:to>
      <xdr:col>6</xdr:col>
      <xdr:colOff>1447800</xdr:colOff>
      <xdr:row>78</xdr:row>
      <xdr:rowOff>0</xdr:rowOff>
    </xdr:to>
    <xdr:sp macro="" textlink="">
      <xdr:nvSpPr>
        <xdr:cNvPr id="3225" name="Line 3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>
          <a:spLocks noChangeShapeType="1"/>
        </xdr:cNvSpPr>
      </xdr:nvSpPr>
      <xdr:spPr bwMode="auto">
        <a:xfrm>
          <a:off x="10915650" y="29308425"/>
          <a:ext cx="3038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1295400</xdr:colOff>
      <xdr:row>147</xdr:row>
      <xdr:rowOff>0</xdr:rowOff>
    </xdr:from>
    <xdr:to>
      <xdr:col>0</xdr:col>
      <xdr:colOff>4972050</xdr:colOff>
      <xdr:row>147</xdr:row>
      <xdr:rowOff>0</xdr:rowOff>
    </xdr:to>
    <xdr:sp macro="" textlink="">
      <xdr:nvSpPr>
        <xdr:cNvPr id="1187" name="Line 1">
          <a:extLst>
            <a:ext uri="{FF2B5EF4-FFF2-40B4-BE49-F238E27FC236}">
              <a16:creationId xmlns:a16="http://schemas.microsoft.com/office/drawing/2014/main" id="{00000000-0008-0000-0100-0000A3040000}"/>
            </a:ext>
          </a:extLst>
        </xdr:cNvPr>
        <xdr:cNvSpPr>
          <a:spLocks noChangeShapeType="1"/>
        </xdr:cNvSpPr>
      </xdr:nvSpPr>
      <xdr:spPr bwMode="auto">
        <a:xfrm>
          <a:off x="1295400" y="49329975"/>
          <a:ext cx="3676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781050</xdr:colOff>
      <xdr:row>147</xdr:row>
      <xdr:rowOff>0</xdr:rowOff>
    </xdr:from>
    <xdr:to>
      <xdr:col>4</xdr:col>
      <xdr:colOff>552450</xdr:colOff>
      <xdr:row>147</xdr:row>
      <xdr:rowOff>0</xdr:rowOff>
    </xdr:to>
    <xdr:sp macro="" textlink="">
      <xdr:nvSpPr>
        <xdr:cNvPr id="1188" name="Line 2">
          <a:extLst>
            <a:ext uri="{FF2B5EF4-FFF2-40B4-BE49-F238E27FC236}">
              <a16:creationId xmlns:a16="http://schemas.microsoft.com/office/drawing/2014/main" id="{00000000-0008-0000-0100-0000A4040000}"/>
            </a:ext>
          </a:extLst>
        </xdr:cNvPr>
        <xdr:cNvSpPr>
          <a:spLocks noChangeShapeType="1"/>
        </xdr:cNvSpPr>
      </xdr:nvSpPr>
      <xdr:spPr bwMode="auto">
        <a:xfrm>
          <a:off x="5810250" y="49329975"/>
          <a:ext cx="2552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147</xdr:row>
      <xdr:rowOff>0</xdr:rowOff>
    </xdr:from>
    <xdr:to>
      <xdr:col>7</xdr:col>
      <xdr:colOff>1619250</xdr:colOff>
      <xdr:row>147</xdr:row>
      <xdr:rowOff>0</xdr:rowOff>
    </xdr:to>
    <xdr:sp macro="" textlink="">
      <xdr:nvSpPr>
        <xdr:cNvPr id="1189" name="Line 3">
          <a:extLst>
            <a:ext uri="{FF2B5EF4-FFF2-40B4-BE49-F238E27FC236}">
              <a16:creationId xmlns:a16="http://schemas.microsoft.com/office/drawing/2014/main" id="{00000000-0008-0000-0100-0000A5040000}"/>
            </a:ext>
          </a:extLst>
        </xdr:cNvPr>
        <xdr:cNvSpPr>
          <a:spLocks noChangeShapeType="1"/>
        </xdr:cNvSpPr>
      </xdr:nvSpPr>
      <xdr:spPr bwMode="auto">
        <a:xfrm>
          <a:off x="9610725" y="49329975"/>
          <a:ext cx="2790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1352550</xdr:colOff>
      <xdr:row>147</xdr:row>
      <xdr:rowOff>0</xdr:rowOff>
    </xdr:from>
    <xdr:to>
      <xdr:col>0</xdr:col>
      <xdr:colOff>4743450</xdr:colOff>
      <xdr:row>147</xdr:row>
      <xdr:rowOff>0</xdr:rowOff>
    </xdr:to>
    <xdr:sp macro="" textlink="">
      <xdr:nvSpPr>
        <xdr:cNvPr id="5" name="Line 1">
          <a:extLst>
            <a:ext uri="{FF2B5EF4-FFF2-40B4-BE49-F238E27FC236}">
              <a16:creationId xmlns:a16="http://schemas.microsoft.com/office/drawing/2014/main" id="{8DC9BB90-5567-41BA-9D2F-58E3C7CB5487}"/>
            </a:ext>
          </a:extLst>
        </xdr:cNvPr>
        <xdr:cNvSpPr>
          <a:spLocks noChangeShapeType="1"/>
        </xdr:cNvSpPr>
      </xdr:nvSpPr>
      <xdr:spPr bwMode="auto">
        <a:xfrm>
          <a:off x="1352550" y="17627600"/>
          <a:ext cx="278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114300</xdr:colOff>
      <xdr:row>147</xdr:row>
      <xdr:rowOff>0</xdr:rowOff>
    </xdr:from>
    <xdr:to>
      <xdr:col>3</xdr:col>
      <xdr:colOff>1619250</xdr:colOff>
      <xdr:row>147</xdr:row>
      <xdr:rowOff>0</xdr:rowOff>
    </xdr:to>
    <xdr:sp macro="" textlink="">
      <xdr:nvSpPr>
        <xdr:cNvPr id="6" name="Line 2">
          <a:extLst>
            <a:ext uri="{FF2B5EF4-FFF2-40B4-BE49-F238E27FC236}">
              <a16:creationId xmlns:a16="http://schemas.microsoft.com/office/drawing/2014/main" id="{BC513F52-2525-4A67-8F39-21FF2A7109E0}"/>
            </a:ext>
          </a:extLst>
        </xdr:cNvPr>
        <xdr:cNvSpPr>
          <a:spLocks noChangeShapeType="1"/>
        </xdr:cNvSpPr>
      </xdr:nvSpPr>
      <xdr:spPr bwMode="auto">
        <a:xfrm>
          <a:off x="4965700" y="17627600"/>
          <a:ext cx="2051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147</xdr:row>
      <xdr:rowOff>0</xdr:rowOff>
    </xdr:from>
    <xdr:to>
      <xdr:col>6</xdr:col>
      <xdr:colOff>1447800</xdr:colOff>
      <xdr:row>147</xdr:row>
      <xdr:rowOff>0</xdr:rowOff>
    </xdr:to>
    <xdr:sp macro="" textlink="">
      <xdr:nvSpPr>
        <xdr:cNvPr id="7" name="Line 3">
          <a:extLst>
            <a:ext uri="{FF2B5EF4-FFF2-40B4-BE49-F238E27FC236}">
              <a16:creationId xmlns:a16="http://schemas.microsoft.com/office/drawing/2014/main" id="{AD552E3C-365C-4B3E-81AA-79F9A762B61D}"/>
            </a:ext>
          </a:extLst>
        </xdr:cNvPr>
        <xdr:cNvSpPr>
          <a:spLocks noChangeShapeType="1"/>
        </xdr:cNvSpPr>
      </xdr:nvSpPr>
      <xdr:spPr bwMode="auto">
        <a:xfrm>
          <a:off x="8045450" y="17627600"/>
          <a:ext cx="2336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1228725</xdr:colOff>
      <xdr:row>43</xdr:row>
      <xdr:rowOff>0</xdr:rowOff>
    </xdr:from>
    <xdr:to>
      <xdr:col>1</xdr:col>
      <xdr:colOff>0</xdr:colOff>
      <xdr:row>43</xdr:row>
      <xdr:rowOff>0</xdr:rowOff>
    </xdr:to>
    <xdr:sp macro="" textlink="">
      <xdr:nvSpPr>
        <xdr:cNvPr id="2304" name="Line 1">
          <a:extLst>
            <a:ext uri="{FF2B5EF4-FFF2-40B4-BE49-F238E27FC236}">
              <a16:creationId xmlns:a16="http://schemas.microsoft.com/office/drawing/2014/main" id="{00000000-0008-0000-0200-000000090000}"/>
            </a:ext>
          </a:extLst>
        </xdr:cNvPr>
        <xdr:cNvSpPr>
          <a:spLocks noChangeShapeType="1"/>
        </xdr:cNvSpPr>
      </xdr:nvSpPr>
      <xdr:spPr bwMode="auto">
        <a:xfrm>
          <a:off x="1228725" y="17335500"/>
          <a:ext cx="3048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43</xdr:row>
      <xdr:rowOff>0</xdr:rowOff>
    </xdr:from>
    <xdr:to>
      <xdr:col>4</xdr:col>
      <xdr:colOff>66675</xdr:colOff>
      <xdr:row>43</xdr:row>
      <xdr:rowOff>0</xdr:rowOff>
    </xdr:to>
    <xdr:sp macro="" textlink="">
      <xdr:nvSpPr>
        <xdr:cNvPr id="2305" name="Line 2">
          <a:extLst>
            <a:ext uri="{FF2B5EF4-FFF2-40B4-BE49-F238E27FC236}">
              <a16:creationId xmlns:a16="http://schemas.microsoft.com/office/drawing/2014/main" id="{00000000-0008-0000-0200-000001090000}"/>
            </a:ext>
          </a:extLst>
        </xdr:cNvPr>
        <xdr:cNvSpPr>
          <a:spLocks noChangeShapeType="1"/>
        </xdr:cNvSpPr>
      </xdr:nvSpPr>
      <xdr:spPr bwMode="auto">
        <a:xfrm>
          <a:off x="5295900" y="17335500"/>
          <a:ext cx="2286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923925</xdr:colOff>
      <xdr:row>43</xdr:row>
      <xdr:rowOff>0</xdr:rowOff>
    </xdr:from>
    <xdr:to>
      <xdr:col>6</xdr:col>
      <xdr:colOff>962025</xdr:colOff>
      <xdr:row>43</xdr:row>
      <xdr:rowOff>0</xdr:rowOff>
    </xdr:to>
    <xdr:sp macro="" textlink="">
      <xdr:nvSpPr>
        <xdr:cNvPr id="2306" name="Line 3">
          <a:extLst>
            <a:ext uri="{FF2B5EF4-FFF2-40B4-BE49-F238E27FC236}">
              <a16:creationId xmlns:a16="http://schemas.microsoft.com/office/drawing/2014/main" id="{00000000-0008-0000-0200-000002090000}"/>
            </a:ext>
          </a:extLst>
        </xdr:cNvPr>
        <xdr:cNvSpPr>
          <a:spLocks noChangeShapeType="1"/>
        </xdr:cNvSpPr>
      </xdr:nvSpPr>
      <xdr:spPr bwMode="auto">
        <a:xfrm>
          <a:off x="8439150" y="17335500"/>
          <a:ext cx="2219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1295400</xdr:colOff>
      <xdr:row>43</xdr:row>
      <xdr:rowOff>0</xdr:rowOff>
    </xdr:from>
    <xdr:to>
      <xdr:col>0</xdr:col>
      <xdr:colOff>4276725</xdr:colOff>
      <xdr:row>43</xdr:row>
      <xdr:rowOff>0</xdr:rowOff>
    </xdr:to>
    <xdr:sp macro="" textlink="">
      <xdr:nvSpPr>
        <xdr:cNvPr id="2307" name="Line 1">
          <a:extLst>
            <a:ext uri="{FF2B5EF4-FFF2-40B4-BE49-F238E27FC236}">
              <a16:creationId xmlns:a16="http://schemas.microsoft.com/office/drawing/2014/main" id="{00000000-0008-0000-0200-000003090000}"/>
            </a:ext>
          </a:extLst>
        </xdr:cNvPr>
        <xdr:cNvSpPr>
          <a:spLocks noChangeShapeType="1"/>
        </xdr:cNvSpPr>
      </xdr:nvSpPr>
      <xdr:spPr bwMode="auto">
        <a:xfrm>
          <a:off x="1295400" y="17335500"/>
          <a:ext cx="2981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781050</xdr:colOff>
      <xdr:row>43</xdr:row>
      <xdr:rowOff>0</xdr:rowOff>
    </xdr:from>
    <xdr:to>
      <xdr:col>4</xdr:col>
      <xdr:colOff>552450</xdr:colOff>
      <xdr:row>43</xdr:row>
      <xdr:rowOff>0</xdr:rowOff>
    </xdr:to>
    <xdr:sp macro="" textlink="">
      <xdr:nvSpPr>
        <xdr:cNvPr id="2308" name="Line 2">
          <a:extLst>
            <a:ext uri="{FF2B5EF4-FFF2-40B4-BE49-F238E27FC236}">
              <a16:creationId xmlns:a16="http://schemas.microsoft.com/office/drawing/2014/main" id="{00000000-0008-0000-0200-000004090000}"/>
            </a:ext>
          </a:extLst>
        </xdr:cNvPr>
        <xdr:cNvSpPr>
          <a:spLocks noChangeShapeType="1"/>
        </xdr:cNvSpPr>
      </xdr:nvSpPr>
      <xdr:spPr bwMode="auto">
        <a:xfrm>
          <a:off x="5057775" y="17335500"/>
          <a:ext cx="3009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771525</xdr:colOff>
      <xdr:row>42</xdr:row>
      <xdr:rowOff>981075</xdr:rowOff>
    </xdr:from>
    <xdr:to>
      <xdr:col>6</xdr:col>
      <xdr:colOff>200025</xdr:colOff>
      <xdr:row>42</xdr:row>
      <xdr:rowOff>981075</xdr:rowOff>
    </xdr:to>
    <xdr:sp macro="" textlink="">
      <xdr:nvSpPr>
        <xdr:cNvPr id="2309" name="Line 3">
          <a:extLst>
            <a:ext uri="{FF2B5EF4-FFF2-40B4-BE49-F238E27FC236}">
              <a16:creationId xmlns:a16="http://schemas.microsoft.com/office/drawing/2014/main" id="{00000000-0008-0000-0200-000005090000}"/>
            </a:ext>
          </a:extLst>
        </xdr:cNvPr>
        <xdr:cNvSpPr>
          <a:spLocks noChangeShapeType="1"/>
        </xdr:cNvSpPr>
      </xdr:nvSpPr>
      <xdr:spPr bwMode="auto">
        <a:xfrm>
          <a:off x="8286750" y="17325975"/>
          <a:ext cx="1609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1352550</xdr:colOff>
      <xdr:row>43</xdr:row>
      <xdr:rowOff>0</xdr:rowOff>
    </xdr:from>
    <xdr:to>
      <xdr:col>0</xdr:col>
      <xdr:colOff>4743450</xdr:colOff>
      <xdr:row>43</xdr:row>
      <xdr:rowOff>0</xdr:rowOff>
    </xdr:to>
    <xdr:sp macro="" textlink="">
      <xdr:nvSpPr>
        <xdr:cNvPr id="8" name="Line 1">
          <a:extLst>
            <a:ext uri="{FF2B5EF4-FFF2-40B4-BE49-F238E27FC236}">
              <a16:creationId xmlns:a16="http://schemas.microsoft.com/office/drawing/2014/main" id="{625C1F40-218B-41AB-8285-B2F5F614C627}"/>
            </a:ext>
          </a:extLst>
        </xdr:cNvPr>
        <xdr:cNvSpPr>
          <a:spLocks noChangeShapeType="1"/>
        </xdr:cNvSpPr>
      </xdr:nvSpPr>
      <xdr:spPr bwMode="auto">
        <a:xfrm>
          <a:off x="1352550" y="17627600"/>
          <a:ext cx="278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114300</xdr:colOff>
      <xdr:row>43</xdr:row>
      <xdr:rowOff>0</xdr:rowOff>
    </xdr:from>
    <xdr:to>
      <xdr:col>3</xdr:col>
      <xdr:colOff>1619250</xdr:colOff>
      <xdr:row>43</xdr:row>
      <xdr:rowOff>0</xdr:rowOff>
    </xdr:to>
    <xdr:sp macro="" textlink="">
      <xdr:nvSpPr>
        <xdr:cNvPr id="9" name="Line 2">
          <a:extLst>
            <a:ext uri="{FF2B5EF4-FFF2-40B4-BE49-F238E27FC236}">
              <a16:creationId xmlns:a16="http://schemas.microsoft.com/office/drawing/2014/main" id="{4EEA3289-6A65-4749-A059-E64D3403BEA8}"/>
            </a:ext>
          </a:extLst>
        </xdr:cNvPr>
        <xdr:cNvSpPr>
          <a:spLocks noChangeShapeType="1"/>
        </xdr:cNvSpPr>
      </xdr:nvSpPr>
      <xdr:spPr bwMode="auto">
        <a:xfrm>
          <a:off x="4965700" y="17627600"/>
          <a:ext cx="2051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43</xdr:row>
      <xdr:rowOff>0</xdr:rowOff>
    </xdr:from>
    <xdr:to>
      <xdr:col>6</xdr:col>
      <xdr:colOff>1447800</xdr:colOff>
      <xdr:row>43</xdr:row>
      <xdr:rowOff>0</xdr:rowOff>
    </xdr:to>
    <xdr:sp macro="" textlink="">
      <xdr:nvSpPr>
        <xdr:cNvPr id="10" name="Line 3">
          <a:extLst>
            <a:ext uri="{FF2B5EF4-FFF2-40B4-BE49-F238E27FC236}">
              <a16:creationId xmlns:a16="http://schemas.microsoft.com/office/drawing/2014/main" id="{F63D03D7-F563-4AD8-B313-71F9C1E84989}"/>
            </a:ext>
          </a:extLst>
        </xdr:cNvPr>
        <xdr:cNvSpPr>
          <a:spLocks noChangeShapeType="1"/>
        </xdr:cNvSpPr>
      </xdr:nvSpPr>
      <xdr:spPr bwMode="auto">
        <a:xfrm>
          <a:off x="8045450" y="17627600"/>
          <a:ext cx="2336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1019175</xdr:colOff>
      <xdr:row>89</xdr:row>
      <xdr:rowOff>0</xdr:rowOff>
    </xdr:from>
    <xdr:to>
      <xdr:col>0</xdr:col>
      <xdr:colOff>3971925</xdr:colOff>
      <xdr:row>89</xdr:row>
      <xdr:rowOff>0</xdr:rowOff>
    </xdr:to>
    <xdr:sp macro="" textlink="">
      <xdr:nvSpPr>
        <xdr:cNvPr id="4282" name="Line 1">
          <a:extLst>
            <a:ext uri="{FF2B5EF4-FFF2-40B4-BE49-F238E27FC236}">
              <a16:creationId xmlns:a16="http://schemas.microsoft.com/office/drawing/2014/main" id="{00000000-0008-0000-0300-0000BA100000}"/>
            </a:ext>
          </a:extLst>
        </xdr:cNvPr>
        <xdr:cNvSpPr>
          <a:spLocks noChangeShapeType="1"/>
        </xdr:cNvSpPr>
      </xdr:nvSpPr>
      <xdr:spPr bwMode="auto">
        <a:xfrm>
          <a:off x="1019175" y="24917400"/>
          <a:ext cx="2952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89</xdr:row>
      <xdr:rowOff>0</xdr:rowOff>
    </xdr:from>
    <xdr:to>
      <xdr:col>3</xdr:col>
      <xdr:colOff>723900</xdr:colOff>
      <xdr:row>89</xdr:row>
      <xdr:rowOff>0</xdr:rowOff>
    </xdr:to>
    <xdr:sp macro="" textlink="">
      <xdr:nvSpPr>
        <xdr:cNvPr id="4283" name="Line 2">
          <a:extLst>
            <a:ext uri="{FF2B5EF4-FFF2-40B4-BE49-F238E27FC236}">
              <a16:creationId xmlns:a16="http://schemas.microsoft.com/office/drawing/2014/main" id="{00000000-0008-0000-0300-0000BB100000}"/>
            </a:ext>
          </a:extLst>
        </xdr:cNvPr>
        <xdr:cNvSpPr>
          <a:spLocks noChangeShapeType="1"/>
        </xdr:cNvSpPr>
      </xdr:nvSpPr>
      <xdr:spPr bwMode="auto">
        <a:xfrm>
          <a:off x="4810125" y="24917400"/>
          <a:ext cx="1981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676275</xdr:colOff>
      <xdr:row>89</xdr:row>
      <xdr:rowOff>0</xdr:rowOff>
    </xdr:from>
    <xdr:to>
      <xdr:col>7</xdr:col>
      <xdr:colOff>0</xdr:colOff>
      <xdr:row>89</xdr:row>
      <xdr:rowOff>0</xdr:rowOff>
    </xdr:to>
    <xdr:sp macro="" textlink="">
      <xdr:nvSpPr>
        <xdr:cNvPr id="4284" name="Line 3">
          <a:extLst>
            <a:ext uri="{FF2B5EF4-FFF2-40B4-BE49-F238E27FC236}">
              <a16:creationId xmlns:a16="http://schemas.microsoft.com/office/drawing/2014/main" id="{00000000-0008-0000-0300-0000BC100000}"/>
            </a:ext>
          </a:extLst>
        </xdr:cNvPr>
        <xdr:cNvSpPr>
          <a:spLocks noChangeShapeType="1"/>
        </xdr:cNvSpPr>
      </xdr:nvSpPr>
      <xdr:spPr bwMode="auto">
        <a:xfrm>
          <a:off x="7477125" y="24917400"/>
          <a:ext cx="2133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1352550</xdr:colOff>
      <xdr:row>89</xdr:row>
      <xdr:rowOff>0</xdr:rowOff>
    </xdr:from>
    <xdr:to>
      <xdr:col>0</xdr:col>
      <xdr:colOff>4743450</xdr:colOff>
      <xdr:row>89</xdr:row>
      <xdr:rowOff>0</xdr:rowOff>
    </xdr:to>
    <xdr:sp macro="" textlink="">
      <xdr:nvSpPr>
        <xdr:cNvPr id="5" name="Line 1">
          <a:extLst>
            <a:ext uri="{FF2B5EF4-FFF2-40B4-BE49-F238E27FC236}">
              <a16:creationId xmlns:a16="http://schemas.microsoft.com/office/drawing/2014/main" id="{4B17D1F4-1719-4F41-B382-836F59F2CDAD}"/>
            </a:ext>
          </a:extLst>
        </xdr:cNvPr>
        <xdr:cNvSpPr>
          <a:spLocks noChangeShapeType="1"/>
        </xdr:cNvSpPr>
      </xdr:nvSpPr>
      <xdr:spPr bwMode="auto">
        <a:xfrm>
          <a:off x="1352550" y="17627600"/>
          <a:ext cx="278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114300</xdr:colOff>
      <xdr:row>89</xdr:row>
      <xdr:rowOff>0</xdr:rowOff>
    </xdr:from>
    <xdr:to>
      <xdr:col>3</xdr:col>
      <xdr:colOff>1619250</xdr:colOff>
      <xdr:row>89</xdr:row>
      <xdr:rowOff>0</xdr:rowOff>
    </xdr:to>
    <xdr:sp macro="" textlink="">
      <xdr:nvSpPr>
        <xdr:cNvPr id="6" name="Line 2">
          <a:extLst>
            <a:ext uri="{FF2B5EF4-FFF2-40B4-BE49-F238E27FC236}">
              <a16:creationId xmlns:a16="http://schemas.microsoft.com/office/drawing/2014/main" id="{B9B5B7F8-B793-4B2F-A064-58C010B69CC0}"/>
            </a:ext>
          </a:extLst>
        </xdr:cNvPr>
        <xdr:cNvSpPr>
          <a:spLocks noChangeShapeType="1"/>
        </xdr:cNvSpPr>
      </xdr:nvSpPr>
      <xdr:spPr bwMode="auto">
        <a:xfrm>
          <a:off x="4965700" y="17627600"/>
          <a:ext cx="2051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89</xdr:row>
      <xdr:rowOff>0</xdr:rowOff>
    </xdr:from>
    <xdr:to>
      <xdr:col>6</xdr:col>
      <xdr:colOff>1447800</xdr:colOff>
      <xdr:row>89</xdr:row>
      <xdr:rowOff>0</xdr:rowOff>
    </xdr:to>
    <xdr:sp macro="" textlink="">
      <xdr:nvSpPr>
        <xdr:cNvPr id="7" name="Line 3">
          <a:extLst>
            <a:ext uri="{FF2B5EF4-FFF2-40B4-BE49-F238E27FC236}">
              <a16:creationId xmlns:a16="http://schemas.microsoft.com/office/drawing/2014/main" id="{92EFD478-D6E1-426B-9A7B-7E0D6A9A1B07}"/>
            </a:ext>
          </a:extLst>
        </xdr:cNvPr>
        <xdr:cNvSpPr>
          <a:spLocks noChangeShapeType="1"/>
        </xdr:cNvSpPr>
      </xdr:nvSpPr>
      <xdr:spPr bwMode="auto">
        <a:xfrm>
          <a:off x="8045450" y="17627600"/>
          <a:ext cx="2336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1019175</xdr:colOff>
      <xdr:row>15</xdr:row>
      <xdr:rowOff>0</xdr:rowOff>
    </xdr:from>
    <xdr:to>
      <xdr:col>0</xdr:col>
      <xdr:colOff>3971925</xdr:colOff>
      <xdr:row>15</xdr:row>
      <xdr:rowOff>0</xdr:rowOff>
    </xdr:to>
    <xdr:sp macro="" textlink="">
      <xdr:nvSpPr>
        <xdr:cNvPr id="5306" name="Line 1">
          <a:extLst>
            <a:ext uri="{FF2B5EF4-FFF2-40B4-BE49-F238E27FC236}">
              <a16:creationId xmlns:a16="http://schemas.microsoft.com/office/drawing/2014/main" id="{00000000-0008-0000-0400-0000BA140000}"/>
            </a:ext>
          </a:extLst>
        </xdr:cNvPr>
        <xdr:cNvSpPr>
          <a:spLocks noChangeShapeType="1"/>
        </xdr:cNvSpPr>
      </xdr:nvSpPr>
      <xdr:spPr bwMode="auto">
        <a:xfrm>
          <a:off x="1019175" y="8020050"/>
          <a:ext cx="2952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15</xdr:row>
      <xdr:rowOff>0</xdr:rowOff>
    </xdr:from>
    <xdr:to>
      <xdr:col>3</xdr:col>
      <xdr:colOff>723900</xdr:colOff>
      <xdr:row>15</xdr:row>
      <xdr:rowOff>0</xdr:rowOff>
    </xdr:to>
    <xdr:sp macro="" textlink="">
      <xdr:nvSpPr>
        <xdr:cNvPr id="5307" name="Line 2">
          <a:extLst>
            <a:ext uri="{FF2B5EF4-FFF2-40B4-BE49-F238E27FC236}">
              <a16:creationId xmlns:a16="http://schemas.microsoft.com/office/drawing/2014/main" id="{00000000-0008-0000-0400-0000BB140000}"/>
            </a:ext>
          </a:extLst>
        </xdr:cNvPr>
        <xdr:cNvSpPr>
          <a:spLocks noChangeShapeType="1"/>
        </xdr:cNvSpPr>
      </xdr:nvSpPr>
      <xdr:spPr bwMode="auto">
        <a:xfrm>
          <a:off x="5172075" y="8020050"/>
          <a:ext cx="2085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676275</xdr:colOff>
      <xdr:row>15</xdr:row>
      <xdr:rowOff>0</xdr:rowOff>
    </xdr:from>
    <xdr:to>
      <xdr:col>7</xdr:col>
      <xdr:colOff>0</xdr:colOff>
      <xdr:row>15</xdr:row>
      <xdr:rowOff>0</xdr:rowOff>
    </xdr:to>
    <xdr:sp macro="" textlink="">
      <xdr:nvSpPr>
        <xdr:cNvPr id="5308" name="Line 3">
          <a:extLst>
            <a:ext uri="{FF2B5EF4-FFF2-40B4-BE49-F238E27FC236}">
              <a16:creationId xmlns:a16="http://schemas.microsoft.com/office/drawing/2014/main" id="{00000000-0008-0000-0400-0000BC140000}"/>
            </a:ext>
          </a:extLst>
        </xdr:cNvPr>
        <xdr:cNvSpPr>
          <a:spLocks noChangeShapeType="1"/>
        </xdr:cNvSpPr>
      </xdr:nvSpPr>
      <xdr:spPr bwMode="auto">
        <a:xfrm>
          <a:off x="8391525" y="8020050"/>
          <a:ext cx="3086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1352550</xdr:colOff>
      <xdr:row>15</xdr:row>
      <xdr:rowOff>0</xdr:rowOff>
    </xdr:from>
    <xdr:to>
      <xdr:col>0</xdr:col>
      <xdr:colOff>4743450</xdr:colOff>
      <xdr:row>15</xdr:row>
      <xdr:rowOff>0</xdr:rowOff>
    </xdr:to>
    <xdr:sp macro="" textlink="">
      <xdr:nvSpPr>
        <xdr:cNvPr id="5" name="Line 1">
          <a:extLst>
            <a:ext uri="{FF2B5EF4-FFF2-40B4-BE49-F238E27FC236}">
              <a16:creationId xmlns:a16="http://schemas.microsoft.com/office/drawing/2014/main" id="{43F20F19-C03F-4C2A-93AC-01D95672991F}"/>
            </a:ext>
          </a:extLst>
        </xdr:cNvPr>
        <xdr:cNvSpPr>
          <a:spLocks noChangeShapeType="1"/>
        </xdr:cNvSpPr>
      </xdr:nvSpPr>
      <xdr:spPr bwMode="auto">
        <a:xfrm>
          <a:off x="1352550" y="17627600"/>
          <a:ext cx="278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114300</xdr:colOff>
      <xdr:row>15</xdr:row>
      <xdr:rowOff>0</xdr:rowOff>
    </xdr:from>
    <xdr:to>
      <xdr:col>3</xdr:col>
      <xdr:colOff>1619250</xdr:colOff>
      <xdr:row>15</xdr:row>
      <xdr:rowOff>0</xdr:rowOff>
    </xdr:to>
    <xdr:sp macro="" textlink="">
      <xdr:nvSpPr>
        <xdr:cNvPr id="6" name="Line 2">
          <a:extLst>
            <a:ext uri="{FF2B5EF4-FFF2-40B4-BE49-F238E27FC236}">
              <a16:creationId xmlns:a16="http://schemas.microsoft.com/office/drawing/2014/main" id="{458696A2-9950-4C04-8A60-6477AE1072A8}"/>
            </a:ext>
          </a:extLst>
        </xdr:cNvPr>
        <xdr:cNvSpPr>
          <a:spLocks noChangeShapeType="1"/>
        </xdr:cNvSpPr>
      </xdr:nvSpPr>
      <xdr:spPr bwMode="auto">
        <a:xfrm>
          <a:off x="4965700" y="17627600"/>
          <a:ext cx="2051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15</xdr:row>
      <xdr:rowOff>0</xdr:rowOff>
    </xdr:from>
    <xdr:to>
      <xdr:col>6</xdr:col>
      <xdr:colOff>1447800</xdr:colOff>
      <xdr:row>15</xdr:row>
      <xdr:rowOff>0</xdr:rowOff>
    </xdr:to>
    <xdr:sp macro="" textlink="">
      <xdr:nvSpPr>
        <xdr:cNvPr id="7" name="Line 3">
          <a:extLst>
            <a:ext uri="{FF2B5EF4-FFF2-40B4-BE49-F238E27FC236}">
              <a16:creationId xmlns:a16="http://schemas.microsoft.com/office/drawing/2014/main" id="{5D27148E-D773-417D-A484-7CE2CE306522}"/>
            </a:ext>
          </a:extLst>
        </xdr:cNvPr>
        <xdr:cNvSpPr>
          <a:spLocks noChangeShapeType="1"/>
        </xdr:cNvSpPr>
      </xdr:nvSpPr>
      <xdr:spPr bwMode="auto">
        <a:xfrm>
          <a:off x="8045450" y="17627600"/>
          <a:ext cx="2336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1485900</xdr:colOff>
      <xdr:row>23</xdr:row>
      <xdr:rowOff>0</xdr:rowOff>
    </xdr:from>
    <xdr:to>
      <xdr:col>0</xdr:col>
      <xdr:colOff>5810250</xdr:colOff>
      <xdr:row>23</xdr:row>
      <xdr:rowOff>0</xdr:rowOff>
    </xdr:to>
    <xdr:sp macro="" textlink="">
      <xdr:nvSpPr>
        <xdr:cNvPr id="6405" name="Line 1">
          <a:extLst>
            <a:ext uri="{FF2B5EF4-FFF2-40B4-BE49-F238E27FC236}">
              <a16:creationId xmlns:a16="http://schemas.microsoft.com/office/drawing/2014/main" id="{00000000-0008-0000-0500-000005190000}"/>
            </a:ext>
          </a:extLst>
        </xdr:cNvPr>
        <xdr:cNvSpPr>
          <a:spLocks noChangeShapeType="1"/>
        </xdr:cNvSpPr>
      </xdr:nvSpPr>
      <xdr:spPr bwMode="auto">
        <a:xfrm>
          <a:off x="1485900" y="16735425"/>
          <a:ext cx="4324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876300</xdr:colOff>
      <xdr:row>23</xdr:row>
      <xdr:rowOff>0</xdr:rowOff>
    </xdr:from>
    <xdr:to>
      <xdr:col>3</xdr:col>
      <xdr:colOff>704850</xdr:colOff>
      <xdr:row>23</xdr:row>
      <xdr:rowOff>0</xdr:rowOff>
    </xdr:to>
    <xdr:sp macro="" textlink="">
      <xdr:nvSpPr>
        <xdr:cNvPr id="6406" name="Line 2">
          <a:extLst>
            <a:ext uri="{FF2B5EF4-FFF2-40B4-BE49-F238E27FC236}">
              <a16:creationId xmlns:a16="http://schemas.microsoft.com/office/drawing/2014/main" id="{00000000-0008-0000-0500-000006190000}"/>
            </a:ext>
          </a:extLst>
        </xdr:cNvPr>
        <xdr:cNvSpPr>
          <a:spLocks noChangeShapeType="1"/>
        </xdr:cNvSpPr>
      </xdr:nvSpPr>
      <xdr:spPr bwMode="auto">
        <a:xfrm>
          <a:off x="6696075" y="16735425"/>
          <a:ext cx="2247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285750</xdr:colOff>
      <xdr:row>23</xdr:row>
      <xdr:rowOff>0</xdr:rowOff>
    </xdr:from>
    <xdr:to>
      <xdr:col>5</xdr:col>
      <xdr:colOff>2305050</xdr:colOff>
      <xdr:row>23</xdr:row>
      <xdr:rowOff>0</xdr:rowOff>
    </xdr:to>
    <xdr:sp macro="" textlink="">
      <xdr:nvSpPr>
        <xdr:cNvPr id="6407" name="Line 3">
          <a:extLst>
            <a:ext uri="{FF2B5EF4-FFF2-40B4-BE49-F238E27FC236}">
              <a16:creationId xmlns:a16="http://schemas.microsoft.com/office/drawing/2014/main" id="{00000000-0008-0000-0500-000007190000}"/>
            </a:ext>
          </a:extLst>
        </xdr:cNvPr>
        <xdr:cNvSpPr>
          <a:spLocks noChangeShapeType="1"/>
        </xdr:cNvSpPr>
      </xdr:nvSpPr>
      <xdr:spPr bwMode="auto">
        <a:xfrm>
          <a:off x="9858375" y="16735425"/>
          <a:ext cx="3333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1485900</xdr:colOff>
      <xdr:row>23</xdr:row>
      <xdr:rowOff>0</xdr:rowOff>
    </xdr:from>
    <xdr:to>
      <xdr:col>0</xdr:col>
      <xdr:colOff>5810250</xdr:colOff>
      <xdr:row>23</xdr:row>
      <xdr:rowOff>0</xdr:rowOff>
    </xdr:to>
    <xdr:sp macro="" textlink="">
      <xdr:nvSpPr>
        <xdr:cNvPr id="6409" name="Line 1">
          <a:extLst>
            <a:ext uri="{FF2B5EF4-FFF2-40B4-BE49-F238E27FC236}">
              <a16:creationId xmlns:a16="http://schemas.microsoft.com/office/drawing/2014/main" id="{00000000-0008-0000-0500-000009190000}"/>
            </a:ext>
          </a:extLst>
        </xdr:cNvPr>
        <xdr:cNvSpPr>
          <a:spLocks noChangeShapeType="1"/>
        </xdr:cNvSpPr>
      </xdr:nvSpPr>
      <xdr:spPr bwMode="auto">
        <a:xfrm>
          <a:off x="1485900" y="16735425"/>
          <a:ext cx="4324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876300</xdr:colOff>
      <xdr:row>23</xdr:row>
      <xdr:rowOff>0</xdr:rowOff>
    </xdr:from>
    <xdr:to>
      <xdr:col>3</xdr:col>
      <xdr:colOff>704850</xdr:colOff>
      <xdr:row>23</xdr:row>
      <xdr:rowOff>0</xdr:rowOff>
    </xdr:to>
    <xdr:sp macro="" textlink="">
      <xdr:nvSpPr>
        <xdr:cNvPr id="6410" name="Line 2">
          <a:extLst>
            <a:ext uri="{FF2B5EF4-FFF2-40B4-BE49-F238E27FC236}">
              <a16:creationId xmlns:a16="http://schemas.microsoft.com/office/drawing/2014/main" id="{00000000-0008-0000-0500-00000A190000}"/>
            </a:ext>
          </a:extLst>
        </xdr:cNvPr>
        <xdr:cNvSpPr>
          <a:spLocks noChangeShapeType="1"/>
        </xdr:cNvSpPr>
      </xdr:nvSpPr>
      <xdr:spPr bwMode="auto">
        <a:xfrm>
          <a:off x="6696075" y="16735425"/>
          <a:ext cx="2247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285750</xdr:colOff>
      <xdr:row>23</xdr:row>
      <xdr:rowOff>0</xdr:rowOff>
    </xdr:from>
    <xdr:to>
      <xdr:col>5</xdr:col>
      <xdr:colOff>2305050</xdr:colOff>
      <xdr:row>23</xdr:row>
      <xdr:rowOff>0</xdr:rowOff>
    </xdr:to>
    <xdr:sp macro="" textlink="">
      <xdr:nvSpPr>
        <xdr:cNvPr id="6411" name="Line 3">
          <a:extLst>
            <a:ext uri="{FF2B5EF4-FFF2-40B4-BE49-F238E27FC236}">
              <a16:creationId xmlns:a16="http://schemas.microsoft.com/office/drawing/2014/main" id="{00000000-0008-0000-0500-00000B190000}"/>
            </a:ext>
          </a:extLst>
        </xdr:cNvPr>
        <xdr:cNvSpPr>
          <a:spLocks noChangeShapeType="1"/>
        </xdr:cNvSpPr>
      </xdr:nvSpPr>
      <xdr:spPr bwMode="auto">
        <a:xfrm>
          <a:off x="9858375" y="16735425"/>
          <a:ext cx="3333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1352550</xdr:colOff>
      <xdr:row>23</xdr:row>
      <xdr:rowOff>0</xdr:rowOff>
    </xdr:from>
    <xdr:to>
      <xdr:col>0</xdr:col>
      <xdr:colOff>4743450</xdr:colOff>
      <xdr:row>23</xdr:row>
      <xdr:rowOff>0</xdr:rowOff>
    </xdr:to>
    <xdr:sp macro="" textlink="">
      <xdr:nvSpPr>
        <xdr:cNvPr id="8" name="Line 1">
          <a:extLst>
            <a:ext uri="{FF2B5EF4-FFF2-40B4-BE49-F238E27FC236}">
              <a16:creationId xmlns:a16="http://schemas.microsoft.com/office/drawing/2014/main" id="{589D3E39-7270-46F4-8D5B-0D922DE6FAFE}"/>
            </a:ext>
          </a:extLst>
        </xdr:cNvPr>
        <xdr:cNvSpPr>
          <a:spLocks noChangeShapeType="1"/>
        </xdr:cNvSpPr>
      </xdr:nvSpPr>
      <xdr:spPr bwMode="auto">
        <a:xfrm>
          <a:off x="1352550" y="17627600"/>
          <a:ext cx="278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114300</xdr:colOff>
      <xdr:row>23</xdr:row>
      <xdr:rowOff>0</xdr:rowOff>
    </xdr:from>
    <xdr:to>
      <xdr:col>3</xdr:col>
      <xdr:colOff>1619250</xdr:colOff>
      <xdr:row>23</xdr:row>
      <xdr:rowOff>0</xdr:rowOff>
    </xdr:to>
    <xdr:sp macro="" textlink="">
      <xdr:nvSpPr>
        <xdr:cNvPr id="9" name="Line 2">
          <a:extLst>
            <a:ext uri="{FF2B5EF4-FFF2-40B4-BE49-F238E27FC236}">
              <a16:creationId xmlns:a16="http://schemas.microsoft.com/office/drawing/2014/main" id="{A1DE5525-FD2F-4610-A28C-0458528042EA}"/>
            </a:ext>
          </a:extLst>
        </xdr:cNvPr>
        <xdr:cNvSpPr>
          <a:spLocks noChangeShapeType="1"/>
        </xdr:cNvSpPr>
      </xdr:nvSpPr>
      <xdr:spPr bwMode="auto">
        <a:xfrm>
          <a:off x="4965700" y="17627600"/>
          <a:ext cx="2051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 macro="" textlink="">
      <xdr:nvSpPr>
        <xdr:cNvPr id="10" name="Line 3">
          <a:extLst>
            <a:ext uri="{FF2B5EF4-FFF2-40B4-BE49-F238E27FC236}">
              <a16:creationId xmlns:a16="http://schemas.microsoft.com/office/drawing/2014/main" id="{5536DD1A-7C41-4FD1-B18B-A245648F212E}"/>
            </a:ext>
          </a:extLst>
        </xdr:cNvPr>
        <xdr:cNvSpPr>
          <a:spLocks noChangeShapeType="1"/>
        </xdr:cNvSpPr>
      </xdr:nvSpPr>
      <xdr:spPr bwMode="auto">
        <a:xfrm>
          <a:off x="8045450" y="17627600"/>
          <a:ext cx="2336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iadna\Sum_pok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  <sheetName val="адмін (2)"/>
      <sheetName val="ПЛАН ЗАКУПІВЕЛЬ 2018"/>
      <sheetName val="Аркуш2"/>
      <sheetName val="Лист 1"/>
      <sheetName val="Real_GDP_&amp;_Real_IP_(u)"/>
      <sheetName val="Real_GDP_&amp;_Real_IP_(e)"/>
      <sheetName val="Лист3"/>
      <sheetName val="TDSheet"/>
      <sheetName val="Лист2"/>
      <sheetName val="адмін_(2)"/>
      <sheetName val="MPPZ"/>
      <sheetName val="Довідник"/>
      <sheetName val="Real_GDP_&amp;_Real_IP_(u)1"/>
      <sheetName val="Real_GDP_&amp;_Real_IP_(e)1"/>
      <sheetName val="адмін_(2)1"/>
      <sheetName val="ПЛАН_ЗАКУПІВЕЛЬ_2018"/>
      <sheetName val="список"/>
      <sheetName val="список (2)"/>
      <sheetName val="список (6)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  <sheetName val="МТР Газ України"/>
      <sheetName val="2002"/>
      <sheetName val="2001"/>
      <sheetName val="Ener "/>
      <sheetName val="зведена_таб"/>
      <sheetName val="попер_роз_(4)"/>
      <sheetName val="звед_оптим_(2)"/>
      <sheetName val="Current"/>
      <sheetName val="прим. IX. Деб. заб."/>
      <sheetName val="Test"/>
      <sheetName val="statiy"/>
      <sheetName val="pidr"/>
      <sheetName val="Technical"/>
      <sheetName val="МТР_Газ_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1__поясн"/>
      <sheetName val="Вир_пок_(2)"/>
      <sheetName val="3__Ф2"/>
      <sheetName val="4__04_05"/>
      <sheetName val="4а_доходи"/>
      <sheetName val="4б_Собівартість_(транспортув)"/>
      <sheetName val="4б_Собівартість_(постач)"/>
      <sheetName val="4б_Собівартість_(скрапл__газ)"/>
      <sheetName val="5__Сб_Адм_Зб"/>
      <sheetName val="6__Інші_доходи"/>
      <sheetName val="7__Інші_витрати"/>
      <sheetName val="8__Кошт_вд_04"/>
      <sheetName val="9__Кошт_вд_05"/>
      <sheetName val="10__Кошт_вд_06"/>
      <sheetName val="10__Кошт_вд_06__1_"/>
      <sheetName val="10__Кошт_вд_06__2_"/>
      <sheetName val="10__Кошт_вд_06__3_"/>
      <sheetName val="10__Кошт_вд_06__4_"/>
      <sheetName val="11__Ф1"/>
      <sheetName val="13__95_р"/>
      <sheetName val="14_Коефіцієнтний_аналіз"/>
      <sheetName val="15_Рух_коштів"/>
      <sheetName val="16_Кап_вкл"/>
      <sheetName val="17_Фін_інв"/>
      <sheetName val="18_Подат"/>
      <sheetName val="19_МТР"/>
      <sheetName val="20_Внутр_оборот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Inform"/>
      <sheetName val="7  інші витрати"/>
      <sheetName val="попер_роз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  <sheetName val="gdp"/>
      <sheetName val="база 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МТР Газ України"/>
      <sheetName val="1__поясн"/>
      <sheetName val="Вир_пок_(2)"/>
      <sheetName val="3__Ф2"/>
      <sheetName val="4__04_05"/>
      <sheetName val="4а_доходи"/>
      <sheetName val="4б_Собівартість_(транспортув)"/>
      <sheetName val="4б_Собівартість_(постач)"/>
      <sheetName val="4б_Собівартість_(скрапл__газ)"/>
      <sheetName val="5__Сб_Адм_Зб"/>
      <sheetName val="6__Інші_доходи"/>
      <sheetName val="7__Інші_витрати"/>
      <sheetName val="8__Кошт_вд_04"/>
      <sheetName val="9__Кошт_вд_05"/>
      <sheetName val="10__Кошт_вд_06"/>
      <sheetName val="10__Кошт_вд_06__1_"/>
      <sheetName val="10__Кошт_вд_06__2_"/>
      <sheetName val="10__Кошт_вд_06__3_"/>
      <sheetName val="10__Кошт_вд_06__4_"/>
      <sheetName val="11__Ф1"/>
      <sheetName val="13__95_р"/>
      <sheetName val="14_Коефіцієнтний_аналіз"/>
      <sheetName val="15_Рух_коштів"/>
      <sheetName val="16_Кап_вкл"/>
      <sheetName val="17_Фін_інв"/>
      <sheetName val="18_Подат"/>
      <sheetName val="19_МТР"/>
      <sheetName val="20_Внутр_оборот"/>
      <sheetName val="БАЗА  "/>
      <sheetName val="МТР_Газ_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  <sheetName val="січ-лют."/>
      <sheetName val="430 сыч-лютий"/>
      <sheetName val="бер"/>
      <sheetName val="430 бер"/>
      <sheetName val="січ-бер"/>
      <sheetName val="430 сыч-бер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МТР Газ України"/>
      <sheetName val="Inform"/>
      <sheetName val="Лист1"/>
      <sheetName val="МТР все 2"/>
      <sheetName val="Правила ДДС"/>
      <sheetName val="_ф3"/>
      <sheetName val="_Ф4"/>
      <sheetName val="_Ф5"/>
      <sheetName val="Ф7_цены"/>
      <sheetName val="Ф8_цены"/>
      <sheetName val="база  "/>
      <sheetName val="7  Інші витрати"/>
      <sheetName val="Links"/>
      <sheetName val="Lead"/>
      <sheetName val="P_SC"/>
      <sheetName val="XLR_NoRangeSheet"/>
      <sheetName val="МТР_Газ_України"/>
      <sheetName val="МТР_все_2"/>
      <sheetName val="попер_роз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Inform"/>
      <sheetName val="база  "/>
      <sheetName val="Лист1"/>
      <sheetName val="МТР все - 5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  <sheetName val="1993"/>
      <sheetName val="cj"/>
      <sheetName val="7  інші витрат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1__поясн"/>
      <sheetName val="Вир_пок_(2)"/>
      <sheetName val="3__Ф2"/>
      <sheetName val="4__04_05"/>
      <sheetName val="4а_доходи"/>
      <sheetName val="4б_Собівартість_(транспортув)"/>
      <sheetName val="4б_Собівартість_(постач)"/>
      <sheetName val="4б_Собівартість_(скрапл__газ)"/>
      <sheetName val="5__Сб_Адм_Зб"/>
      <sheetName val="6__Інші_доходи"/>
      <sheetName val="7__Інші_витрати"/>
      <sheetName val="8__Кошт_вд_04"/>
      <sheetName val="9__Кошт_вд_05"/>
      <sheetName val="10__Кошт_вд_06"/>
      <sheetName val="10__Кошт_вд_06__1_"/>
      <sheetName val="10__Кошт_вд_06__2_"/>
      <sheetName val="10__Кошт_вд_06__3_"/>
      <sheetName val="10__Кошт_вд_06__4_"/>
      <sheetName val="11__Ф1"/>
      <sheetName val="13__95_р"/>
      <sheetName val="14_Коефіцієнтний_аналіз"/>
      <sheetName val="15_Рух_коштів"/>
      <sheetName val="16_Кап_вкл"/>
      <sheetName val="17_Фін_інв"/>
      <sheetName val="18_Подат"/>
      <sheetName val="19_МТР"/>
      <sheetName val="20_Внутр_оборот"/>
      <sheetName val="МТР Газ України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МТР Газ України"/>
      <sheetName val="Inform"/>
      <sheetName val="база  "/>
      <sheetName val="7  інші витрати"/>
      <sheetName val="МТР_Газ_України"/>
      <sheetName val="Допущения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МТР Газ України"/>
      <sheetName val="попер_роз"/>
      <sheetName val="7  Інші витрати"/>
      <sheetName val="Inform"/>
      <sheetName val="Лист1"/>
      <sheetName val="МТР все 2"/>
      <sheetName val="МТР_Газ_України"/>
      <sheetName val="Assumptions and Input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93"/>
      <sheetName val="GDP"/>
      <sheetName val="Technical"/>
      <sheetName val="БАЗА  "/>
      <sheetName val="МТР Газ України"/>
      <sheetName val="Daten"/>
      <sheetName val="BGVN1"/>
      <sheetName val="Detail"/>
      <sheetName val="Annual Tables"/>
      <sheetName val="Index"/>
      <sheetName val="Annual Raw Data"/>
      <sheetName val="Quarterly Raw Data"/>
      <sheetName val="Quarterly MacroFlow"/>
      <sheetName val="unadjbs"/>
      <sheetName val="Inventories"/>
      <sheetName val="Inform"/>
      <sheetName val="Довідник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7  інші витрати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  <sheetName val="Maintenance"/>
      <sheetName val="Лист1"/>
      <sheetName val="МТР все 2"/>
      <sheetName val="2002"/>
      <sheetName val="20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  <sheetName val="7  Інші витрати"/>
      <sheetName val="Ф2"/>
      <sheetName val="Setup"/>
      <sheetName val="200"/>
      <sheetName val="1993"/>
      <sheetName val="Ener "/>
      <sheetName val="МТР все - 5"/>
      <sheetName val="Лист1"/>
      <sheetName val="МТР_Апарат1"/>
      <sheetName val="МТР_Газ_України1"/>
      <sheetName val="МТР_Укртрансгаз1"/>
      <sheetName val="МТР_Укргазвидобування1"/>
      <sheetName val="МТР_Укрспецтрансгаз1"/>
      <sheetName val="МТР_Чорноморнафтогаз1"/>
      <sheetName val="МТР_Укртранснафта1"/>
      <sheetName val="МТР_Газ-тепло1"/>
      <sheetName val="Inform"/>
      <sheetName val="Internal Data"/>
      <sheetName val="попер_роз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МТР Газ України"/>
      <sheetName val="Inform"/>
      <sheetName val="база  "/>
      <sheetName val="gdp"/>
      <sheetName val="7  інші витрати"/>
      <sheetName val="МТР_Газ_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orm"/>
      <sheetName val="база  "/>
      <sheetName val="7  інші витрати"/>
      <sheetName val="МТР Газ України"/>
      <sheetName val="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МТР Газ України"/>
      <sheetName val="попер_роз"/>
      <sheetName val="Inform"/>
      <sheetName val="база  "/>
      <sheetName val="Лист1"/>
      <sheetName val="МТР все 2"/>
      <sheetName val="МТР_Газ_України"/>
      <sheetName val="assumptions and inputs"/>
      <sheetName val="Cash Flows"/>
      <sheetName val="Terminal Value"/>
      <sheetName val="7  інші витрат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  <sheetName val="Inform"/>
      <sheetName val="7  інші витрати"/>
      <sheetName val="МТР Газ України"/>
      <sheetName val="Dod_ARK"/>
      <sheetName val="Dod_Clavutich"/>
      <sheetName val="Svod_3511060"/>
      <sheetName val="Diti_"/>
      <sheetName val="Ener_"/>
      <sheetName val="IncsiPilgi_(2)"/>
      <sheetName val="Govti_Vodi"/>
      <sheetName val="Chor_Flot"/>
      <sheetName val="Shidka_Dop"/>
      <sheetName val="Zoiot_Pidkova"/>
      <sheetName val="Oper_Teatr"/>
      <sheetName val="Ctix_Lixo_IvFrank"/>
      <sheetName val="Groshi_xodat_za_dit"/>
      <sheetName val="Ctix_Lixo_Zakarp"/>
      <sheetName val="Coc_GKG_Inv"/>
      <sheetName val="Ictor_Zabudova"/>
      <sheetName val="Ict_Zab"/>
      <sheetName val="Ukr_Kultura"/>
      <sheetName val="Mic_Arcenal"/>
      <sheetName val="diti_ciroti_-2(minmolod)"/>
      <sheetName val="Korek_ocvita"/>
      <sheetName val="Tex_Dic_Ocvita"/>
      <sheetName val="Utoc_Zaoshadg"/>
      <sheetName val="Metro_Cpec_Fond"/>
      <sheetName val="Svitov_Bank"/>
      <sheetName val="Shidka_Dop_Cp_Fond"/>
      <sheetName val="Troleib_Cpec_Fond"/>
      <sheetName val="Pereviz_ditey"/>
      <sheetName val="Kom_dorigu"/>
      <sheetName val="Chor_Fiot_Cpec_Fond"/>
      <sheetName val="Nar_instr"/>
      <sheetName val="попер_роз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МТР Газ України"/>
      <sheetName val="Ener "/>
      <sheetName val="Лист1"/>
      <sheetName val="ТРП"/>
      <sheetName val="МТР все 2"/>
      <sheetName val="МТР_Газ_України"/>
      <sheetName val="МТР Апарат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  <sheetName val="Inform"/>
      <sheetName val="7  Інші витрати"/>
      <sheetName val="812"/>
      <sheetName val="Ф2"/>
      <sheetName val="gdp"/>
      <sheetName val="1993"/>
      <sheetName val="Бюдж. баланс "/>
      <sheetName val="параметри"/>
      <sheetName val="Додаток 3"/>
      <sheetName val="Ener_"/>
      <sheetName val="попер_роз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  <sheetName val="МТР Газ України"/>
      <sheetName val="БАЗА__"/>
      <sheetName val="БАЗА___(2)"/>
      <sheetName val="БАЗА___(3)"/>
      <sheetName val="БАЗА___(5)"/>
      <sheetName val="БАЗА___(4)"/>
      <sheetName val="Припущення"/>
      <sheetName val="Ener "/>
      <sheetName val="Осн. фін. пок. "/>
      <sheetName val="Inform"/>
      <sheetName val="МТР_Газ_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93"/>
      <sheetName val="БАЗА  "/>
      <sheetName val="7  інші витрати"/>
      <sheetName val="Inform"/>
      <sheetName val="МТР Газ України"/>
      <sheetName val="BGVN1"/>
      <sheetName val="д17-1"/>
      <sheetName val="Лист1"/>
      <sheetName val="БАЗА__"/>
      <sheetName val="півріч"/>
      <sheetName val="КурсВалют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  <sheetName val="Правила ДДС"/>
      <sheetName val="7  інші витрати"/>
      <sheetName val="1993"/>
      <sheetName val="п"/>
      <sheetName val="Assumptions and Inputs"/>
      <sheetName val="Лист1"/>
      <sheetName val="consolidation hq formatted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1993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  <sheetName val="7  Інші витрати"/>
      <sheetName val="Ф2"/>
      <sheetName val="Setup"/>
      <sheetName val="200"/>
      <sheetName val="gd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Inform"/>
      <sheetName val="f-20"/>
      <sheetName val="МТР Газ України"/>
      <sheetName val="1__поясн"/>
      <sheetName val="Вир_пок_(2)"/>
      <sheetName val="3__Ф2"/>
      <sheetName val="4__04_05"/>
      <sheetName val="4а_доходи"/>
      <sheetName val="4б_Собівартість_(транспортув)"/>
      <sheetName val="4б_Собівартість_(постач)"/>
      <sheetName val="4б_Собівартість_(скрапл__газ)"/>
      <sheetName val="5__Сб_Адм_Зб"/>
      <sheetName val="6__Інші_доходи"/>
      <sheetName val="7__Інші_витрати"/>
      <sheetName val="8__Кошт_вд_04"/>
      <sheetName val="9__Кошт_вд_05"/>
      <sheetName val="10__Кошт_вд_06"/>
      <sheetName val="10__Кошт_вд_06__1_"/>
      <sheetName val="10__Кошт_вд_06__2_"/>
      <sheetName val="10__Кошт_вд_06__3_"/>
      <sheetName val="10__Кошт_вд_06__4_"/>
      <sheetName val="11__Ф1"/>
      <sheetName val="13__95_р"/>
      <sheetName val="14_Коефіцієнтний_аналіз"/>
      <sheetName val="15_Рух_коштів"/>
      <sheetName val="16_Кап_вкл"/>
      <sheetName val="17_Фін_інв"/>
      <sheetName val="18_Подат"/>
      <sheetName val="19_МТР"/>
      <sheetName val="20_Внутр_оборот"/>
      <sheetName val="БАЗА  "/>
      <sheetName val="Ener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Лист1"/>
      <sheetName val="consolidation hq formatted"/>
      <sheetName val="МТР Газ України"/>
      <sheetName val="7  Інші витрати"/>
      <sheetName val="скрыть"/>
      <sheetName val="попер_роз"/>
    </sheetNames>
    <sheetDataSet>
      <sheetData sheetId="0" refreshError="1"/>
      <sheetData sheetId="1" refreshError="1"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orm"/>
      <sheetName val="Технич лист"/>
      <sheetName val="МТР Газ України"/>
      <sheetName val="до викупа"/>
      <sheetName val="gdp"/>
      <sheetName val="Лист1"/>
      <sheetName val="Розш. ел. витрат за 9 місяців"/>
      <sheetName val="Рокада"/>
      <sheetName val="Ener "/>
      <sheetName val="7  інші витрат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  <sheetName val="МТР Газ України"/>
      <sheetName val="реестр заявок"/>
      <sheetName val="ЗКЛ"/>
      <sheetName val="реестр_заявок"/>
      <sheetName val="Лист1"/>
      <sheetName val="Рабоч"/>
      <sheetName val="7  Інші витрати"/>
      <sheetName val="1993"/>
      <sheetName val="Ener "/>
      <sheetName val="додаток 1"/>
      <sheetName val="база  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  <sheetName val="Рабоч"/>
      <sheetName val="11)423+424"/>
      <sheetName val="Chart_of_accs"/>
      <sheetName val="Лист1"/>
      <sheetName val="База"/>
      <sheetName val="банк"/>
      <sheetName val="дез"/>
      <sheetName val="связь"/>
      <sheetName val="компод"/>
      <sheetName val="пож"/>
      <sheetName val="проезд"/>
      <sheetName val="страх"/>
      <sheetName val="Note2 to do "/>
      <sheetName val="4сд"/>
      <sheetName val="2сд"/>
      <sheetName val="7сд"/>
      <sheetName val="МТР Газ України"/>
      <sheetName val="7  Інші витрати"/>
      <sheetName val="1993"/>
      <sheetName val="Лист2"/>
      <sheetName val="припущення"/>
      <sheetName val="т17мб(шаблон)"/>
      <sheetName val="Set"/>
      <sheetName val="додаток  3"/>
      <sheetName val="база  "/>
      <sheetName val="реестр_заявок1"/>
      <sheetName val="mt bk"/>
      <sheetName val="Ener "/>
      <sheetName val="рэс п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  <sheetName val="Inform"/>
      <sheetName val="БАЗА__"/>
      <sheetName val="БАЗА___(2)"/>
      <sheetName val="БАЗА___(3)"/>
      <sheetName val="БАЗА___(4)"/>
      <sheetName val="БАЗА___(5)"/>
      <sheetName val="БАЗА___(6)"/>
      <sheetName val="БАЗА___(7)"/>
      <sheetName val="БАЗА___(8)"/>
      <sheetName val="БАЗА___(9)"/>
      <sheetName val="БАЗА___(10)"/>
      <sheetName val="БАЗА___(12)"/>
      <sheetName val="БАЗА___(11)"/>
      <sheetName val="БАЗА___(13)"/>
      <sheetName val="БАЗА___(14)"/>
      <sheetName val="параметри"/>
      <sheetName val="Припущенн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gdp"/>
      <sheetName val="Inform"/>
      <sheetName val="7  інші витрати"/>
      <sheetName val="1993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  <sheetName val="1993"/>
      <sheetName val="11)423+424"/>
      <sheetName val="Chart_of_accs"/>
      <sheetName val="реестр заявок"/>
      <sheetName val="ЗКЛ"/>
      <sheetName val="реестр_заявок"/>
      <sheetName val="Лист1"/>
      <sheetName val="Рабоч"/>
      <sheetName val="7  Інші витрати"/>
      <sheetName val="БАЗА  "/>
      <sheetName val="до викупа"/>
      <sheetName val="Note2 to do "/>
      <sheetName val="4сд"/>
      <sheetName val="2сд"/>
      <sheetName val="7сд"/>
      <sheetName val="Лист2"/>
      <sheetName val="припущення"/>
      <sheetName val="МТР_Газ_України"/>
      <sheetName val="gdp"/>
      <sheetName val="Setup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Лист2"/>
      <sheetName val="МТР Газ України"/>
      <sheetName val="gdp"/>
      <sheetName val="7  інші витрати"/>
      <sheetName val="Ener "/>
      <sheetName val="1993"/>
      <sheetName val="assumptions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_Структура по елементах"/>
      <sheetName val="Д3"/>
      <sheetName val="МТР Газ України"/>
      <sheetName val="7  інші витрати"/>
      <sheetName val="1993"/>
      <sheetName val="gdp"/>
      <sheetName val="Assumption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orm"/>
      <sheetName val="МТР Газ України"/>
      <sheetName val="1993"/>
      <sheetName val="gdp"/>
      <sheetName val="7  інші витрати"/>
      <sheetName val="comp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МТР Газ України"/>
      <sheetName val="Inform"/>
      <sheetName val="1_Структура по елементах"/>
      <sheetName val="Лист1"/>
      <sheetName val="МТР все 2"/>
      <sheetName val="МТР Апарат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Ener "/>
      <sheetName val="ТРП"/>
      <sheetName val="Current"/>
      <sheetName val="TB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_Газ_України"/>
      <sheetName val="МТР_Апарат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  <sheetName val="7  інші витрати"/>
      <sheetName val="Тит стор"/>
      <sheetName val="Sheet1"/>
      <sheetName val="Cons_FS"/>
      <sheetName val="General"/>
      <sheetName val="SC_Lists"/>
      <sheetName val="Scenarios"/>
      <sheetName val="Gas_SSO"/>
      <sheetName val="Gas_TSO"/>
      <sheetName val="UGV_Gas"/>
      <sheetName val="Strategic Options"/>
      <sheetName val="1993"/>
      <sheetName val="Мульт-ор М2, швидкість"/>
      <sheetName val="Тариф на транзи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tabColor indexed="43"/>
    <pageSetUpPr fitToPage="1"/>
  </sheetPr>
  <dimension ref="A1:Q248"/>
  <sheetViews>
    <sheetView tabSelected="1" view="pageBreakPreview" topLeftCell="A3" zoomScale="90" zoomScaleNormal="60" zoomScaleSheetLayoutView="90" workbookViewId="0">
      <selection activeCell="B15" sqref="B15:D15"/>
    </sheetView>
  </sheetViews>
  <sheetFormatPr defaultColWidth="9.1796875" defaultRowHeight="15.5"/>
  <cols>
    <col min="1" max="1" width="59.453125" style="8" customWidth="1"/>
    <col min="2" max="2" width="10.1796875" style="7" customWidth="1"/>
    <col min="3" max="3" width="15.453125" style="7" customWidth="1"/>
    <col min="4" max="4" width="15.54296875" style="7" customWidth="1"/>
    <col min="5" max="5" width="14.54296875" style="7" customWidth="1"/>
    <col min="6" max="6" width="16.453125" style="7" customWidth="1"/>
    <col min="7" max="7" width="17.1796875" style="7" customWidth="1"/>
    <col min="8" max="8" width="10" style="8" customWidth="1"/>
    <col min="9" max="9" width="9.54296875" style="8" customWidth="1"/>
    <col min="10" max="16384" width="9.1796875" style="8"/>
  </cols>
  <sheetData>
    <row r="1" spans="1:11">
      <c r="A1" s="11"/>
      <c r="B1" s="12"/>
      <c r="C1" s="6"/>
      <c r="D1" s="11"/>
      <c r="E1" s="354" t="s">
        <v>234</v>
      </c>
      <c r="F1" s="354"/>
      <c r="G1" s="354"/>
      <c r="H1" s="13"/>
      <c r="I1" s="13"/>
      <c r="J1" s="13"/>
      <c r="K1" s="13"/>
    </row>
    <row r="2" spans="1:11">
      <c r="A2" s="14"/>
      <c r="B2" s="6"/>
      <c r="C2" s="6"/>
      <c r="D2" s="15"/>
      <c r="E2" s="355" t="s">
        <v>472</v>
      </c>
      <c r="F2" s="355"/>
      <c r="G2" s="355"/>
      <c r="H2" s="13"/>
      <c r="I2" s="13"/>
      <c r="J2" s="13"/>
      <c r="K2" s="13"/>
    </row>
    <row r="3" spans="1:11">
      <c r="A3" s="6"/>
      <c r="B3" s="6"/>
      <c r="C3" s="15"/>
      <c r="D3" s="15"/>
      <c r="E3" s="355"/>
      <c r="F3" s="355"/>
      <c r="G3" s="355"/>
      <c r="H3" s="13"/>
      <c r="I3" s="13"/>
      <c r="J3" s="13"/>
      <c r="K3" s="13"/>
    </row>
    <row r="4" spans="1:11" ht="5" customHeight="1">
      <c r="A4" s="6"/>
      <c r="B4" s="6"/>
      <c r="C4" s="15"/>
      <c r="D4" s="15"/>
      <c r="E4" s="355"/>
      <c r="F4" s="355"/>
      <c r="G4" s="355"/>
      <c r="H4" s="13"/>
      <c r="I4" s="13"/>
      <c r="J4" s="13"/>
      <c r="K4" s="13"/>
    </row>
    <row r="5" spans="1:11" ht="6" customHeight="1">
      <c r="A5" s="11"/>
      <c r="B5" s="6"/>
      <c r="C5" s="6"/>
      <c r="D5" s="6"/>
      <c r="E5" s="356"/>
      <c r="F5" s="356"/>
      <c r="G5" s="356"/>
    </row>
    <row r="6" spans="1:11">
      <c r="A6" s="16"/>
      <c r="B6" s="17"/>
      <c r="C6" s="17"/>
      <c r="D6" s="17"/>
      <c r="E6" s="18"/>
      <c r="F6" s="19" t="s">
        <v>521</v>
      </c>
      <c r="G6" s="20" t="s">
        <v>255</v>
      </c>
    </row>
    <row r="7" spans="1:11">
      <c r="A7" s="21" t="s">
        <v>14</v>
      </c>
      <c r="B7" s="17" t="s">
        <v>447</v>
      </c>
      <c r="C7" s="17"/>
      <c r="D7" s="17"/>
      <c r="E7" s="22"/>
      <c r="F7" s="23" t="s">
        <v>129</v>
      </c>
      <c r="G7" s="20">
        <v>21926724</v>
      </c>
    </row>
    <row r="8" spans="1:11">
      <c r="A8" s="16" t="s">
        <v>15</v>
      </c>
      <c r="B8" s="17" t="s">
        <v>367</v>
      </c>
      <c r="C8" s="17"/>
      <c r="D8" s="17"/>
      <c r="E8" s="18"/>
      <c r="F8" s="23" t="s">
        <v>128</v>
      </c>
      <c r="G8" s="20">
        <v>150</v>
      </c>
    </row>
    <row r="9" spans="1:11">
      <c r="A9" s="16" t="s">
        <v>19</v>
      </c>
      <c r="B9" s="17" t="s">
        <v>368</v>
      </c>
      <c r="C9" s="17"/>
      <c r="D9" s="17"/>
      <c r="E9" s="18"/>
      <c r="F9" s="23" t="s">
        <v>127</v>
      </c>
      <c r="G9" s="20">
        <v>1210136600</v>
      </c>
    </row>
    <row r="10" spans="1:11">
      <c r="A10" s="21" t="s">
        <v>569</v>
      </c>
      <c r="B10" s="17" t="s">
        <v>369</v>
      </c>
      <c r="C10" s="17"/>
      <c r="D10" s="17"/>
      <c r="E10" s="22"/>
      <c r="F10" s="23" t="s">
        <v>9</v>
      </c>
      <c r="G10" s="20">
        <v>1009</v>
      </c>
    </row>
    <row r="11" spans="1:11">
      <c r="A11" s="21" t="s">
        <v>17</v>
      </c>
      <c r="B11" s="17" t="s">
        <v>558</v>
      </c>
      <c r="C11" s="17"/>
      <c r="D11" s="17"/>
      <c r="E11" s="22"/>
      <c r="F11" s="23" t="s">
        <v>8</v>
      </c>
      <c r="G11" s="20">
        <v>90310</v>
      </c>
    </row>
    <row r="12" spans="1:11">
      <c r="A12" s="21" t="s">
        <v>16</v>
      </c>
      <c r="B12" s="17" t="s">
        <v>370</v>
      </c>
      <c r="C12" s="17"/>
      <c r="D12" s="17"/>
      <c r="E12" s="22"/>
      <c r="F12" s="23" t="s">
        <v>10</v>
      </c>
      <c r="G12" s="20" t="s">
        <v>374</v>
      </c>
    </row>
    <row r="13" spans="1:11">
      <c r="A13" s="21" t="s">
        <v>371</v>
      </c>
      <c r="B13" s="17"/>
      <c r="C13" s="17"/>
      <c r="D13" s="17"/>
      <c r="E13" s="17" t="s">
        <v>188</v>
      </c>
      <c r="F13" s="24"/>
      <c r="G13" s="25"/>
    </row>
    <row r="14" spans="1:11">
      <c r="A14" s="21" t="s">
        <v>20</v>
      </c>
      <c r="B14" s="17" t="s">
        <v>372</v>
      </c>
      <c r="C14" s="17"/>
      <c r="D14" s="17"/>
      <c r="E14" s="17" t="s">
        <v>189</v>
      </c>
      <c r="F14" s="26"/>
      <c r="G14" s="25"/>
    </row>
    <row r="15" spans="1:11">
      <c r="A15" s="21" t="s">
        <v>105</v>
      </c>
      <c r="B15" s="17">
        <v>119</v>
      </c>
      <c r="C15" s="17"/>
      <c r="D15" s="17"/>
      <c r="E15" s="27"/>
      <c r="F15" s="27"/>
      <c r="G15" s="27"/>
    </row>
    <row r="16" spans="1:11">
      <c r="A16" s="16" t="s">
        <v>11</v>
      </c>
      <c r="B16" s="17" t="s">
        <v>373</v>
      </c>
      <c r="C16" s="17"/>
      <c r="D16" s="17"/>
      <c r="E16" s="28"/>
      <c r="F16" s="28"/>
      <c r="G16" s="28"/>
    </row>
    <row r="17" spans="1:17">
      <c r="A17" s="21" t="s">
        <v>12</v>
      </c>
      <c r="B17" s="17"/>
      <c r="C17" s="17"/>
      <c r="D17" s="17"/>
      <c r="E17" s="27"/>
      <c r="F17" s="27"/>
      <c r="G17" s="27"/>
    </row>
    <row r="18" spans="1:17">
      <c r="A18" s="16" t="s">
        <v>13</v>
      </c>
      <c r="B18" s="17" t="s">
        <v>557</v>
      </c>
      <c r="C18" s="17"/>
      <c r="D18" s="17"/>
      <c r="E18" s="28"/>
      <c r="F18" s="28"/>
      <c r="G18" s="28"/>
    </row>
    <row r="19" spans="1:17">
      <c r="A19" s="29"/>
      <c r="B19" s="11"/>
      <c r="C19" s="11"/>
      <c r="D19" s="11"/>
      <c r="E19" s="11"/>
      <c r="F19" s="11"/>
      <c r="G19" s="11"/>
    </row>
    <row r="20" spans="1:17">
      <c r="A20" s="30" t="s">
        <v>235</v>
      </c>
      <c r="B20" s="30"/>
      <c r="C20" s="30"/>
      <c r="D20" s="30"/>
      <c r="E20" s="30"/>
      <c r="F20" s="30"/>
      <c r="G20" s="30"/>
    </row>
    <row r="21" spans="1:17">
      <c r="A21" s="30" t="s">
        <v>359</v>
      </c>
      <c r="B21" s="30"/>
      <c r="C21" s="30"/>
      <c r="D21" s="30"/>
      <c r="E21" s="30"/>
      <c r="F21" s="30"/>
      <c r="G21" s="30"/>
    </row>
    <row r="22" spans="1:17">
      <c r="A22" s="51" t="s">
        <v>559</v>
      </c>
      <c r="B22" s="51"/>
      <c r="C22" s="51"/>
      <c r="D22" s="51"/>
      <c r="E22" s="51"/>
      <c r="F22" s="51"/>
      <c r="G22" s="51"/>
    </row>
    <row r="23" spans="1:17">
      <c r="A23" s="30" t="s">
        <v>342</v>
      </c>
      <c r="B23" s="30"/>
      <c r="C23" s="30"/>
      <c r="D23" s="30"/>
      <c r="E23" s="30"/>
      <c r="F23" s="30"/>
      <c r="G23" s="30"/>
    </row>
    <row r="24" spans="1:17">
      <c r="A24" s="7"/>
    </row>
    <row r="25" spans="1:17">
      <c r="A25" s="52" t="s">
        <v>201</v>
      </c>
      <c r="B25" s="52"/>
      <c r="C25" s="52"/>
      <c r="D25" s="52"/>
      <c r="E25" s="52"/>
      <c r="F25" s="52"/>
      <c r="G25" s="52"/>
    </row>
    <row r="26" spans="1:17">
      <c r="B26" s="4"/>
      <c r="C26" s="4"/>
      <c r="D26" s="4"/>
      <c r="E26" s="4"/>
      <c r="F26" s="4"/>
      <c r="G26" s="4"/>
    </row>
    <row r="27" spans="1:17">
      <c r="A27" s="31" t="s">
        <v>282</v>
      </c>
      <c r="B27" s="32" t="s">
        <v>18</v>
      </c>
      <c r="C27" s="33" t="s">
        <v>343</v>
      </c>
      <c r="D27" s="34" t="s">
        <v>341</v>
      </c>
      <c r="E27" s="34"/>
      <c r="F27" s="34"/>
      <c r="G27" s="34"/>
      <c r="Q27" s="8" t="s">
        <v>352</v>
      </c>
    </row>
    <row r="28" spans="1:17">
      <c r="A28" s="31"/>
      <c r="B28" s="32"/>
      <c r="C28" s="35"/>
      <c r="D28" s="36" t="s">
        <v>260</v>
      </c>
      <c r="E28" s="36" t="s">
        <v>243</v>
      </c>
      <c r="F28" s="36" t="s">
        <v>270</v>
      </c>
      <c r="G28" s="36" t="s">
        <v>271</v>
      </c>
    </row>
    <row r="29" spans="1:17">
      <c r="A29" s="37">
        <v>1</v>
      </c>
      <c r="B29" s="5">
        <v>2</v>
      </c>
      <c r="C29" s="37">
        <v>3</v>
      </c>
      <c r="D29" s="37">
        <v>4</v>
      </c>
      <c r="E29" s="5">
        <v>5</v>
      </c>
      <c r="F29" s="37">
        <v>6</v>
      </c>
      <c r="G29" s="5">
        <v>7</v>
      </c>
    </row>
    <row r="30" spans="1:17">
      <c r="A30" s="32" t="s">
        <v>98</v>
      </c>
      <c r="B30" s="32"/>
      <c r="C30" s="32"/>
      <c r="D30" s="32"/>
      <c r="E30" s="32"/>
      <c r="F30" s="32"/>
      <c r="G30" s="32"/>
    </row>
    <row r="31" spans="1:17">
      <c r="A31" s="38" t="s">
        <v>202</v>
      </c>
      <c r="B31" s="5">
        <f>'1. Фін результат'!B9</f>
        <v>1000</v>
      </c>
      <c r="C31" s="10">
        <f>'1. Фін результат'!C9</f>
        <v>24368</v>
      </c>
      <c r="D31" s="10">
        <f>'1. Фін результат'!D9</f>
        <v>33828</v>
      </c>
      <c r="E31" s="10">
        <f>'1. Фін результат'!E9</f>
        <v>18432.900000000001</v>
      </c>
      <c r="F31" s="10">
        <f>E31-D31</f>
        <v>-15395.099999999999</v>
      </c>
      <c r="G31" s="9">
        <f>E31/D31*100</f>
        <v>54.490067399787165</v>
      </c>
    </row>
    <row r="32" spans="1:17">
      <c r="A32" s="38" t="s">
        <v>172</v>
      </c>
      <c r="B32" s="5">
        <f>'1. Фін результат'!B11</f>
        <v>1010</v>
      </c>
      <c r="C32" s="10">
        <f>'1. Фін результат'!C11</f>
        <v>33328</v>
      </c>
      <c r="D32" s="10">
        <f>'1. Фін результат'!D11</f>
        <v>48202</v>
      </c>
      <c r="E32" s="10">
        <f>'1. Фін результат'!E11</f>
        <v>26823</v>
      </c>
      <c r="F32" s="10">
        <f t="shared" ref="F32:F45" si="0">E32-D32</f>
        <v>-21379</v>
      </c>
      <c r="G32" s="9">
        <f t="shared" ref="G32:G45" si="1">E32/D32*100</f>
        <v>55.647068586365712</v>
      </c>
    </row>
    <row r="33" spans="1:7">
      <c r="A33" s="38" t="s">
        <v>261</v>
      </c>
      <c r="B33" s="5">
        <f>'1. Фін результат'!B31</f>
        <v>1020</v>
      </c>
      <c r="C33" s="10">
        <f>'1. Фін результат'!C31</f>
        <v>-8960</v>
      </c>
      <c r="D33" s="10">
        <f>'1. Фін результат'!D31</f>
        <v>-14374</v>
      </c>
      <c r="E33" s="10">
        <f>'1. Фін результат'!E31</f>
        <v>-8390.0999999999985</v>
      </c>
      <c r="F33" s="10">
        <f t="shared" si="0"/>
        <v>5983.9000000000015</v>
      </c>
      <c r="G33" s="9">
        <f t="shared" si="1"/>
        <v>58.369973563378309</v>
      </c>
    </row>
    <row r="34" spans="1:7">
      <c r="A34" s="38" t="s">
        <v>139</v>
      </c>
      <c r="B34" s="5">
        <f>'1. Фін результат'!B35</f>
        <v>1040</v>
      </c>
      <c r="C34" s="10">
        <f>'1. Фін результат'!C35</f>
        <v>6954</v>
      </c>
      <c r="D34" s="10">
        <f>'1. Фін результат'!D35</f>
        <v>8424.4588800000001</v>
      </c>
      <c r="E34" s="10">
        <f>'1. Фін результат'!E35</f>
        <v>7078</v>
      </c>
      <c r="F34" s="10">
        <f t="shared" si="0"/>
        <v>-1346.4588800000001</v>
      </c>
      <c r="G34" s="9">
        <f t="shared" si="1"/>
        <v>84.017265688167271</v>
      </c>
    </row>
    <row r="35" spans="1:7">
      <c r="A35" s="38" t="s">
        <v>136</v>
      </c>
      <c r="B35" s="5">
        <f>'1. Фін результат'!B68</f>
        <v>1070</v>
      </c>
      <c r="C35" s="10">
        <f>'1. Фін результат'!C68</f>
        <v>2514</v>
      </c>
      <c r="D35" s="10">
        <f>'1. Фін результат'!D68</f>
        <v>2984.1564799999996</v>
      </c>
      <c r="E35" s="10">
        <f>'1. Фін результат'!E68</f>
        <v>2010</v>
      </c>
      <c r="F35" s="10">
        <f t="shared" si="0"/>
        <v>-974.15647999999965</v>
      </c>
      <c r="G35" s="9">
        <f t="shared" si="1"/>
        <v>67.355717217617226</v>
      </c>
    </row>
    <row r="36" spans="1:7">
      <c r="A36" s="38" t="s">
        <v>140</v>
      </c>
      <c r="B36" s="5">
        <f>'1. Фін результат'!B125</f>
        <v>1300</v>
      </c>
      <c r="C36" s="10">
        <f>'1. Фін результат'!C32-'1. Фін результат'!C89</f>
        <v>17849</v>
      </c>
      <c r="D36" s="10">
        <f>'1. Фін результат'!D32-'1. Фін результат'!D89</f>
        <v>29417</v>
      </c>
      <c r="E36" s="10">
        <f>'1. Фін результат'!E32-'1. Фін результат'!E89</f>
        <v>14782</v>
      </c>
      <c r="F36" s="10">
        <f t="shared" si="0"/>
        <v>-14635</v>
      </c>
      <c r="G36" s="9">
        <f t="shared" si="1"/>
        <v>50.249855525716427</v>
      </c>
    </row>
    <row r="37" spans="1:7">
      <c r="A37" s="41" t="s">
        <v>4</v>
      </c>
      <c r="B37" s="5">
        <f>'1. Фін результат'!B101</f>
        <v>1100</v>
      </c>
      <c r="C37" s="10">
        <f>'1. Фін результат'!C101</f>
        <v>-579</v>
      </c>
      <c r="D37" s="10">
        <f>'1. Фін результат'!D101</f>
        <v>3634.3846400000002</v>
      </c>
      <c r="E37" s="10">
        <f>'1. Фін результат'!E101</f>
        <v>-2696.0999999999985</v>
      </c>
      <c r="F37" s="10">
        <f t="shared" si="0"/>
        <v>-6330.4846399999988</v>
      </c>
      <c r="G37" s="9">
        <f t="shared" si="1"/>
        <v>-74.183122235515455</v>
      </c>
    </row>
    <row r="38" spans="1:7">
      <c r="A38" s="39" t="s">
        <v>141</v>
      </c>
      <c r="B38" s="5">
        <f>'1. Фін результат'!B136</f>
        <v>1410</v>
      </c>
      <c r="C38" s="10">
        <f>'1. Фін результат'!C136</f>
        <v>635</v>
      </c>
      <c r="D38" s="10">
        <f>'1. Фін результат'!D136</f>
        <v>4762.3846400000002</v>
      </c>
      <c r="E38" s="10">
        <f>'1. Фін результат'!E136</f>
        <v>-1191.0999999999985</v>
      </c>
      <c r="F38" s="10">
        <f t="shared" si="0"/>
        <v>-5953.4846399999988</v>
      </c>
      <c r="G38" s="9">
        <f t="shared" si="1"/>
        <v>-25.01057957384976</v>
      </c>
    </row>
    <row r="39" spans="1:7">
      <c r="A39" s="39" t="s">
        <v>225</v>
      </c>
      <c r="B39" s="5">
        <f>' 5. Коефіцієнти'!B8</f>
        <v>5010</v>
      </c>
      <c r="C39" s="10">
        <f>'фінплан - зведені показники'!C38/'фінплан - зведені показники'!C31</f>
        <v>2.605876559422193E-2</v>
      </c>
      <c r="D39" s="40">
        <f>'фінплан - зведені показники'!D38/'фінплан - зведені показники'!D31</f>
        <v>0.14078232943124039</v>
      </c>
      <c r="E39" s="40">
        <f>'фінплан - зведені показники'!E38/'фінплан - зведені показники'!E31</f>
        <v>-6.4618155580510844E-2</v>
      </c>
      <c r="F39" s="10">
        <f t="shared" si="0"/>
        <v>-0.20540048501175123</v>
      </c>
      <c r="G39" s="9">
        <f t="shared" si="1"/>
        <v>-45.89933682839866</v>
      </c>
    </row>
    <row r="40" spans="1:7">
      <c r="A40" s="39" t="s">
        <v>142</v>
      </c>
      <c r="B40" s="5">
        <f>'1. Фін результат'!B126</f>
        <v>1310</v>
      </c>
      <c r="C40" s="10">
        <f>'1. Фін результат'!C126</f>
        <v>1</v>
      </c>
      <c r="D40" s="10">
        <f>'1. Фін результат'!D126</f>
        <v>0</v>
      </c>
      <c r="E40" s="10">
        <f>'1. Фін результат'!E126</f>
        <v>1</v>
      </c>
      <c r="F40" s="10">
        <f t="shared" si="0"/>
        <v>1</v>
      </c>
      <c r="G40" s="2" t="e">
        <f t="shared" si="1"/>
        <v>#DIV/0!</v>
      </c>
    </row>
    <row r="41" spans="1:7">
      <c r="A41" s="38" t="s">
        <v>229</v>
      </c>
      <c r="B41" s="5">
        <f>'1. Фін результат'!B127</f>
        <v>1320</v>
      </c>
      <c r="C41" s="10">
        <f>'1. Фін результат'!C107-'1. Фін результат'!C113</f>
        <v>885</v>
      </c>
      <c r="D41" s="10">
        <f>'1. Фін результат'!D107-'1. Фін результат'!D113</f>
        <v>1128</v>
      </c>
      <c r="E41" s="10">
        <f>'1. Фін результат'!E107-'1. Фін результат'!E113</f>
        <v>1329</v>
      </c>
      <c r="F41" s="10">
        <f t="shared" si="0"/>
        <v>201</v>
      </c>
      <c r="G41" s="9">
        <f t="shared" si="1"/>
        <v>117.81914893617021</v>
      </c>
    </row>
    <row r="42" spans="1:7">
      <c r="A42" s="39" t="s">
        <v>96</v>
      </c>
      <c r="B42" s="5">
        <f>'1. Фін результат'!B117</f>
        <v>1170</v>
      </c>
      <c r="C42" s="10">
        <f>'1. Фін результат'!C117</f>
        <v>307</v>
      </c>
      <c r="D42" s="10">
        <f>'1. Фін результат'!D117</f>
        <v>4762.3846400000002</v>
      </c>
      <c r="E42" s="10">
        <f>'1. Фін результат'!E117</f>
        <v>-1366.0999999999985</v>
      </c>
      <c r="F42" s="10">
        <f t="shared" si="0"/>
        <v>-6128.4846399999988</v>
      </c>
      <c r="G42" s="9">
        <f t="shared" si="1"/>
        <v>-28.685209265247391</v>
      </c>
    </row>
    <row r="43" spans="1:7">
      <c r="A43" s="41" t="s">
        <v>137</v>
      </c>
      <c r="B43" s="5">
        <f>'1. Фін результат'!B118</f>
        <v>1180</v>
      </c>
      <c r="C43" s="10">
        <f>'1. Фін результат'!C118</f>
        <v>0</v>
      </c>
      <c r="D43" s="10">
        <f>'1. Фін результат'!D118</f>
        <v>857</v>
      </c>
      <c r="E43" s="10">
        <f>'1. Фін результат'!E118</f>
        <v>0</v>
      </c>
      <c r="F43" s="10">
        <f t="shared" si="0"/>
        <v>-857</v>
      </c>
      <c r="G43" s="9">
        <f t="shared" si="1"/>
        <v>0</v>
      </c>
    </row>
    <row r="44" spans="1:7">
      <c r="A44" s="41" t="s">
        <v>226</v>
      </c>
      <c r="B44" s="5">
        <f>'1. Фін результат'!B120</f>
        <v>1200</v>
      </c>
      <c r="C44" s="10">
        <f>'1. Фін результат'!C120</f>
        <v>307</v>
      </c>
      <c r="D44" s="10">
        <f>'1. Фін результат'!D120</f>
        <v>3905.3846400000002</v>
      </c>
      <c r="E44" s="10">
        <f>'1. Фін результат'!E120</f>
        <v>-1366.0999999999985</v>
      </c>
      <c r="F44" s="10">
        <f t="shared" si="0"/>
        <v>-5271.4846399999988</v>
      </c>
      <c r="G44" s="9">
        <f t="shared" si="1"/>
        <v>-34.979909174836067</v>
      </c>
    </row>
    <row r="45" spans="1:7">
      <c r="A45" s="39" t="s">
        <v>227</v>
      </c>
      <c r="B45" s="5">
        <f>' 5. Коефіцієнти'!B11</f>
        <v>5040</v>
      </c>
      <c r="C45" s="10">
        <f>C44/C31</f>
        <v>1.259848982271832E-2</v>
      </c>
      <c r="D45" s="42">
        <f>D44/D31</f>
        <v>0.1154482866264633</v>
      </c>
      <c r="E45" s="43">
        <f>E44/E31</f>
        <v>-7.4112049650353354E-2</v>
      </c>
      <c r="F45" s="10">
        <f t="shared" si="0"/>
        <v>-0.18956033627681665</v>
      </c>
      <c r="G45" s="9">
        <f t="shared" si="1"/>
        <v>-64.195019099889564</v>
      </c>
    </row>
    <row r="46" spans="1:7">
      <c r="A46" s="53" t="s">
        <v>154</v>
      </c>
      <c r="B46" s="54"/>
      <c r="C46" s="54"/>
      <c r="D46" s="54"/>
      <c r="E46" s="54"/>
      <c r="F46" s="54"/>
      <c r="G46" s="55"/>
    </row>
    <row r="47" spans="1:7">
      <c r="A47" s="39" t="s">
        <v>344</v>
      </c>
      <c r="B47" s="5">
        <f>'2. Розрахунки з бюджетом'!B21</f>
        <v>2100</v>
      </c>
      <c r="C47" s="10">
        <f>'2. Розрахунки з бюджетом'!C9</f>
        <v>150</v>
      </c>
      <c r="D47" s="10">
        <f>'2. Розрахунки з бюджетом'!D9</f>
        <v>2578</v>
      </c>
      <c r="E47" s="10">
        <f>'2. Розрахунки з бюджетом'!E9</f>
        <v>506</v>
      </c>
      <c r="F47" s="10">
        <f t="shared" ref="F47:F52" si="2">E47-D47</f>
        <v>-2072</v>
      </c>
      <c r="G47" s="9">
        <f t="shared" ref="G47:G52" si="3">E47/D47*100</f>
        <v>19.627618308766486</v>
      </c>
    </row>
    <row r="48" spans="1:7">
      <c r="A48" s="44" t="s">
        <v>153</v>
      </c>
      <c r="B48" s="5">
        <f>'2. Розрахунки з бюджетом'!B24</f>
        <v>2110</v>
      </c>
      <c r="C48" s="10">
        <f>'2. Розрахунки з бюджетом'!C24</f>
        <v>0</v>
      </c>
      <c r="D48" s="10">
        <f>'2. Розрахунки з бюджетом'!D24</f>
        <v>857</v>
      </c>
      <c r="E48" s="10">
        <f>'2. Розрахунки з бюджетом'!E24</f>
        <v>0</v>
      </c>
      <c r="F48" s="10">
        <f t="shared" si="2"/>
        <v>-857</v>
      </c>
      <c r="G48" s="9">
        <f t="shared" si="3"/>
        <v>0</v>
      </c>
    </row>
    <row r="49" spans="1:7" ht="31">
      <c r="A49" s="44" t="s">
        <v>336</v>
      </c>
      <c r="B49" s="5" t="s">
        <v>314</v>
      </c>
      <c r="C49" s="10">
        <f>'2. Розрахунки з бюджетом'!C25+'2. Розрахунки з бюджетом'!C26</f>
        <v>824</v>
      </c>
      <c r="D49" s="10">
        <f>'2. Розрахунки з бюджетом'!D25+'2. Розрахунки з бюджетом'!D26</f>
        <v>748</v>
      </c>
      <c r="E49" s="10">
        <f>'2. Розрахунки з бюджетом'!E25+'2. Розрахунки з бюджетом'!E26</f>
        <v>0</v>
      </c>
      <c r="F49" s="10">
        <f t="shared" si="2"/>
        <v>-748</v>
      </c>
      <c r="G49" s="9">
        <f t="shared" si="3"/>
        <v>0</v>
      </c>
    </row>
    <row r="50" spans="1:7" ht="31">
      <c r="A50" s="39" t="s">
        <v>253</v>
      </c>
      <c r="B50" s="5">
        <f>'2. Розрахунки з бюджетом'!B27</f>
        <v>2140</v>
      </c>
      <c r="C50" s="10">
        <f>'2. Розрахунки з бюджетом'!C27</f>
        <v>4816</v>
      </c>
      <c r="D50" s="10">
        <f>'2. Розрахунки з бюджетом'!D27</f>
        <v>7263</v>
      </c>
      <c r="E50" s="10">
        <f>'2. Розрахунки з бюджетом'!E27</f>
        <v>4312</v>
      </c>
      <c r="F50" s="10">
        <f t="shared" si="2"/>
        <v>-2951</v>
      </c>
      <c r="G50" s="9">
        <f t="shared" si="3"/>
        <v>59.369406581302499</v>
      </c>
    </row>
    <row r="51" spans="1:7" ht="31">
      <c r="A51" s="39" t="s">
        <v>83</v>
      </c>
      <c r="B51" s="5">
        <f>'2. Розрахунки з бюджетом'!B40</f>
        <v>2150</v>
      </c>
      <c r="C51" s="10">
        <f>'2. Розрахунки з бюджетом'!C40</f>
        <v>5128</v>
      </c>
      <c r="D51" s="10">
        <f>'2. Розрахунки з бюджетом'!D40</f>
        <v>8002</v>
      </c>
      <c r="E51" s="10">
        <f>'2. Розрахунки з бюджетом'!E40</f>
        <v>4476</v>
      </c>
      <c r="F51" s="10">
        <f t="shared" si="2"/>
        <v>-3526</v>
      </c>
      <c r="G51" s="9">
        <f t="shared" si="3"/>
        <v>55.936015996000997</v>
      </c>
    </row>
    <row r="52" spans="1:7">
      <c r="A52" s="39" t="s">
        <v>262</v>
      </c>
      <c r="B52" s="5">
        <f>'2. Розрахунки з бюджетом'!B41</f>
        <v>2200</v>
      </c>
      <c r="C52" s="10">
        <f>'2. Розрахунки з бюджетом'!C41</f>
        <v>10918</v>
      </c>
      <c r="D52" s="10">
        <f>'2. Розрахунки з бюджетом'!D41</f>
        <v>19448</v>
      </c>
      <c r="E52" s="10">
        <f>'2. Розрахунки з бюджетом'!E41</f>
        <v>9294</v>
      </c>
      <c r="F52" s="10">
        <f t="shared" si="2"/>
        <v>-10154</v>
      </c>
      <c r="G52" s="9">
        <f t="shared" si="3"/>
        <v>47.788975730152202</v>
      </c>
    </row>
    <row r="53" spans="1:7">
      <c r="A53" s="53" t="s">
        <v>152</v>
      </c>
      <c r="B53" s="54"/>
      <c r="C53" s="54"/>
      <c r="D53" s="54"/>
      <c r="E53" s="54"/>
      <c r="F53" s="54"/>
      <c r="G53" s="55"/>
    </row>
    <row r="54" spans="1:7">
      <c r="A54" s="39" t="s">
        <v>143</v>
      </c>
      <c r="B54" s="5">
        <f>'3. Рух грошових коштів'!B83</f>
        <v>3600</v>
      </c>
      <c r="C54" s="10">
        <f>'3. Рух грошових коштів'!C83</f>
        <v>5915</v>
      </c>
      <c r="D54" s="10">
        <f>'3. Рух грошових коштів'!D83</f>
        <v>7588</v>
      </c>
      <c r="E54" s="10">
        <f>'3. Рух грошових коштів'!E83</f>
        <v>3582.3</v>
      </c>
      <c r="F54" s="10">
        <f t="shared" ref="F54:F59" si="4">E54-D54</f>
        <v>-4005.7</v>
      </c>
      <c r="G54" s="9">
        <f t="shared" ref="G54:G59" si="5">E54/D54*100</f>
        <v>47.210068529256723</v>
      </c>
    </row>
    <row r="55" spans="1:7">
      <c r="A55" s="39" t="s">
        <v>144</v>
      </c>
      <c r="B55" s="5">
        <f>'3. Рух грошових коштів'!B30</f>
        <v>3090</v>
      </c>
      <c r="C55" s="10">
        <f>'3. Рух грошових коштів'!C30</f>
        <v>1118</v>
      </c>
      <c r="D55" s="10">
        <f>'3. Рух грошових коштів'!D30</f>
        <v>3905.3846400000002</v>
      </c>
      <c r="E55" s="10">
        <f>'3. Рух грошових коштів'!E30</f>
        <v>2272</v>
      </c>
      <c r="F55" s="10">
        <f t="shared" si="4"/>
        <v>-1633.3846400000002</v>
      </c>
      <c r="G55" s="9">
        <f t="shared" si="5"/>
        <v>58.176087874407166</v>
      </c>
    </row>
    <row r="56" spans="1:7">
      <c r="A56" s="39" t="s">
        <v>230</v>
      </c>
      <c r="B56" s="5">
        <f>'3. Рух грошових коштів'!B50</f>
        <v>3320</v>
      </c>
      <c r="C56" s="10">
        <f>'3. Рух грошових коштів'!C50</f>
        <v>-3559</v>
      </c>
      <c r="D56" s="10">
        <f>'3. Рух грошових коштів'!D50</f>
        <v>-7874</v>
      </c>
      <c r="E56" s="10">
        <f>'3. Рух грошових коштів'!E50</f>
        <v>-8404</v>
      </c>
      <c r="F56" s="10">
        <f t="shared" si="4"/>
        <v>-530</v>
      </c>
      <c r="G56" s="9">
        <f t="shared" si="5"/>
        <v>106.73101346202691</v>
      </c>
    </row>
    <row r="57" spans="1:7">
      <c r="A57" s="39" t="s">
        <v>145</v>
      </c>
      <c r="B57" s="5">
        <f>'3. Рух грошових коштів'!B81</f>
        <v>3580</v>
      </c>
      <c r="C57" s="10">
        <f>'3. Рух грошових коштів'!C81</f>
        <v>108.5</v>
      </c>
      <c r="D57" s="10">
        <f>'3. Рух грошових коштів'!D81</f>
        <v>4922</v>
      </c>
      <c r="E57" s="10">
        <f>'3. Рух грошових коштів'!E81</f>
        <v>5957</v>
      </c>
      <c r="F57" s="10">
        <f t="shared" si="4"/>
        <v>1035</v>
      </c>
      <c r="G57" s="9">
        <f t="shared" si="5"/>
        <v>121.02803738317758</v>
      </c>
    </row>
    <row r="58" spans="1:7">
      <c r="A58" s="39" t="s">
        <v>167</v>
      </c>
      <c r="B58" s="5">
        <f>'3. Рух грошових коштів'!B84</f>
        <v>3610</v>
      </c>
      <c r="C58" s="10"/>
      <c r="D58" s="10"/>
      <c r="E58" s="10"/>
      <c r="F58" s="10">
        <f t="shared" si="4"/>
        <v>0</v>
      </c>
      <c r="G58" s="2" t="e">
        <f t="shared" si="5"/>
        <v>#DIV/0!</v>
      </c>
    </row>
    <row r="59" spans="1:7">
      <c r="A59" s="39" t="s">
        <v>146</v>
      </c>
      <c r="B59" s="5">
        <f>'3. Рух грошових коштів'!B85</f>
        <v>3620</v>
      </c>
      <c r="C59" s="10">
        <f>'3. Рух грошових коштів'!C85</f>
        <v>3582.5</v>
      </c>
      <c r="D59" s="10">
        <f>'3. Рух грошових коштів'!D85</f>
        <v>8541.3846400000002</v>
      </c>
      <c r="E59" s="10">
        <f>'3. Рух грошових коштів'!E85</f>
        <v>3407.3</v>
      </c>
      <c r="F59" s="10">
        <f t="shared" si="4"/>
        <v>-5134.08464</v>
      </c>
      <c r="G59" s="9">
        <f t="shared" si="5"/>
        <v>39.891658596468496</v>
      </c>
    </row>
    <row r="60" spans="1:7">
      <c r="A60" s="56" t="s">
        <v>209</v>
      </c>
      <c r="B60" s="57"/>
      <c r="C60" s="57"/>
      <c r="D60" s="57"/>
      <c r="E60" s="57"/>
      <c r="F60" s="57"/>
      <c r="G60" s="57"/>
    </row>
    <row r="61" spans="1:7">
      <c r="A61" s="39" t="s">
        <v>208</v>
      </c>
      <c r="B61" s="37">
        <f>'4. Кап. інвестиції'!B6</f>
        <v>4000</v>
      </c>
      <c r="C61" s="10">
        <f>'4. Кап. інвестиції'!C6</f>
        <v>3635</v>
      </c>
      <c r="D61" s="10">
        <f>'4. Кап. інвестиції'!D6</f>
        <v>7812</v>
      </c>
      <c r="E61" s="10">
        <f>'4. Кап. інвестиції'!E6</f>
        <v>8404.6</v>
      </c>
      <c r="F61" s="10">
        <f>E61-D61</f>
        <v>592.60000000000036</v>
      </c>
      <c r="G61" s="9">
        <f>E61/D61*100</f>
        <v>107.5857654889913</v>
      </c>
    </row>
    <row r="62" spans="1:7">
      <c r="A62" s="58" t="s">
        <v>211</v>
      </c>
      <c r="B62" s="58"/>
      <c r="C62" s="58"/>
      <c r="D62" s="58"/>
      <c r="E62" s="58"/>
      <c r="F62" s="58"/>
      <c r="G62" s="58"/>
    </row>
    <row r="63" spans="1:7">
      <c r="A63" s="39" t="s">
        <v>170</v>
      </c>
      <c r="B63" s="37">
        <f>' 5. Коефіцієнти'!B9</f>
        <v>5020</v>
      </c>
      <c r="C63" s="10">
        <f>' 5. Коефіцієнти'!D9</f>
        <v>3.6452149133222513E-2</v>
      </c>
      <c r="D63" s="10">
        <f>D44/D70</f>
        <v>0.1636311492856245</v>
      </c>
      <c r="E63" s="10">
        <f>' 5. Коефіцієнти'!E9</f>
        <v>-6.0707461227391839E-2</v>
      </c>
      <c r="F63" s="10" t="s">
        <v>366</v>
      </c>
      <c r="G63" s="9" t="s">
        <v>366</v>
      </c>
    </row>
    <row r="64" spans="1:7">
      <c r="A64" s="39" t="s">
        <v>166</v>
      </c>
      <c r="B64" s="37">
        <f>' 5. Коефіцієнти'!B10</f>
        <v>5030</v>
      </c>
      <c r="C64" s="10">
        <f>' 5. Коефіцієнти'!D10</f>
        <v>2.9745179730646255E-2</v>
      </c>
      <c r="D64" s="10">
        <f>D44/D76</f>
        <v>0.17976454039125433</v>
      </c>
      <c r="E64" s="10">
        <f>' 5. Коефіцієнти'!E10</f>
        <v>-0.1839493704975424</v>
      </c>
      <c r="F64" s="10" t="s">
        <v>366</v>
      </c>
      <c r="G64" s="9" t="s">
        <v>366</v>
      </c>
    </row>
    <row r="65" spans="1:7">
      <c r="A65" s="39" t="s">
        <v>228</v>
      </c>
      <c r="B65" s="37">
        <f>' 5. Коефіцієнти'!B14</f>
        <v>5110</v>
      </c>
      <c r="C65" s="10">
        <f>' 5. Коефіцієнти'!D14</f>
        <v>1.2254808834006174</v>
      </c>
      <c r="D65" s="10">
        <f>D76/D73</f>
        <v>10.142390289449112</v>
      </c>
      <c r="E65" s="10">
        <f>' 5. Коефіцієнти'!E14</f>
        <v>0.49258780220873544</v>
      </c>
      <c r="F65" s="10" t="s">
        <v>366</v>
      </c>
      <c r="G65" s="9" t="s">
        <v>366</v>
      </c>
    </row>
    <row r="66" spans="1:7">
      <c r="A66" s="53" t="s">
        <v>210</v>
      </c>
      <c r="B66" s="54"/>
      <c r="C66" s="54"/>
      <c r="D66" s="54"/>
      <c r="E66" s="54"/>
      <c r="F66" s="54"/>
      <c r="G66" s="55"/>
    </row>
    <row r="67" spans="1:7">
      <c r="A67" s="39" t="s">
        <v>147</v>
      </c>
      <c r="B67" s="37">
        <v>6000</v>
      </c>
      <c r="C67" s="3">
        <v>7138</v>
      </c>
      <c r="D67" s="352">
        <v>12650</v>
      </c>
      <c r="E67" s="3">
        <v>13546</v>
      </c>
      <c r="F67" s="10">
        <f>E67-D67</f>
        <v>896</v>
      </c>
      <c r="G67" s="9">
        <f>E67/D67*100</f>
        <v>107.08300395256917</v>
      </c>
    </row>
    <row r="68" spans="1:7">
      <c r="A68" s="39" t="s">
        <v>148</v>
      </c>
      <c r="B68" s="37">
        <v>6010</v>
      </c>
      <c r="C68" s="3">
        <v>11425</v>
      </c>
      <c r="D68" s="352">
        <v>11217</v>
      </c>
      <c r="E68" s="3">
        <v>8957</v>
      </c>
      <c r="F68" s="10">
        <f t="shared" ref="F68:F76" si="6">E68-D68</f>
        <v>-2260</v>
      </c>
      <c r="G68" s="9">
        <f t="shared" ref="G68:G76" si="7">E68/D68*100</f>
        <v>79.852010341446018</v>
      </c>
    </row>
    <row r="69" spans="1:7">
      <c r="A69" s="39" t="s">
        <v>265</v>
      </c>
      <c r="B69" s="37">
        <v>6020</v>
      </c>
      <c r="C69" s="3">
        <v>3582</v>
      </c>
      <c r="D69" s="352">
        <v>8541.1255743551428</v>
      </c>
      <c r="E69" s="3">
        <v>3406.8</v>
      </c>
      <c r="F69" s="10">
        <f t="shared" si="6"/>
        <v>-5134.3255743551426</v>
      </c>
      <c r="G69" s="9">
        <f t="shared" si="7"/>
        <v>39.887014543246714</v>
      </c>
    </row>
    <row r="70" spans="1:7">
      <c r="A70" s="39" t="s">
        <v>263</v>
      </c>
      <c r="B70" s="37">
        <v>6030</v>
      </c>
      <c r="C70" s="3">
        <v>18743</v>
      </c>
      <c r="D70" s="352">
        <v>23867</v>
      </c>
      <c r="E70" s="3">
        <f>E67+E68</f>
        <v>22503</v>
      </c>
      <c r="F70" s="10">
        <f t="shared" si="6"/>
        <v>-1364</v>
      </c>
      <c r="G70" s="9">
        <f t="shared" si="7"/>
        <v>94.28499601960867</v>
      </c>
    </row>
    <row r="71" spans="1:7">
      <c r="A71" s="39" t="s">
        <v>168</v>
      </c>
      <c r="B71" s="37">
        <v>6040</v>
      </c>
      <c r="C71" s="3">
        <v>5410</v>
      </c>
      <c r="D71" s="353">
        <v>0</v>
      </c>
      <c r="E71" s="3">
        <v>4422.5</v>
      </c>
      <c r="F71" s="10">
        <f t="shared" si="6"/>
        <v>4422.5</v>
      </c>
      <c r="G71" s="2" t="e">
        <f t="shared" si="7"/>
        <v>#DIV/0!</v>
      </c>
    </row>
    <row r="72" spans="1:7">
      <c r="A72" s="39" t="s">
        <v>169</v>
      </c>
      <c r="B72" s="37">
        <v>6050</v>
      </c>
      <c r="C72" s="3">
        <v>3012</v>
      </c>
      <c r="D72" s="352">
        <v>2142</v>
      </c>
      <c r="E72" s="3">
        <v>10654</v>
      </c>
      <c r="F72" s="10">
        <f t="shared" si="6"/>
        <v>8512</v>
      </c>
      <c r="G72" s="9">
        <f t="shared" si="7"/>
        <v>497.38562091503269</v>
      </c>
    </row>
    <row r="73" spans="1:7">
      <c r="A73" s="39" t="s">
        <v>264</v>
      </c>
      <c r="B73" s="37">
        <v>6060</v>
      </c>
      <c r="C73" s="3">
        <v>8422</v>
      </c>
      <c r="D73" s="353">
        <v>2142</v>
      </c>
      <c r="E73" s="3">
        <f>E71+E72</f>
        <v>15076.5</v>
      </c>
      <c r="F73" s="10">
        <f t="shared" si="6"/>
        <v>12934.5</v>
      </c>
      <c r="G73" s="9">
        <f t="shared" si="7"/>
        <v>703.85154061624644</v>
      </c>
    </row>
    <row r="74" spans="1:7">
      <c r="A74" s="39" t="s">
        <v>266</v>
      </c>
      <c r="B74" s="37">
        <v>6070</v>
      </c>
      <c r="C74" s="3"/>
      <c r="D74" s="353">
        <v>0</v>
      </c>
      <c r="E74" s="3"/>
      <c r="F74" s="10">
        <f t="shared" si="6"/>
        <v>0</v>
      </c>
      <c r="G74" s="114" t="e">
        <f t="shared" si="7"/>
        <v>#DIV/0!</v>
      </c>
    </row>
    <row r="75" spans="1:7">
      <c r="A75" s="39" t="s">
        <v>267</v>
      </c>
      <c r="B75" s="37">
        <v>6080</v>
      </c>
      <c r="C75" s="3"/>
      <c r="D75" s="353">
        <v>0</v>
      </c>
      <c r="E75" s="3"/>
      <c r="F75" s="10">
        <f t="shared" si="6"/>
        <v>0</v>
      </c>
      <c r="G75" s="2" t="e">
        <f t="shared" si="7"/>
        <v>#DIV/0!</v>
      </c>
    </row>
    <row r="76" spans="1:7">
      <c r="A76" s="39" t="s">
        <v>149</v>
      </c>
      <c r="B76" s="37">
        <v>6090</v>
      </c>
      <c r="C76" s="3">
        <v>10321</v>
      </c>
      <c r="D76" s="352">
        <v>21725</v>
      </c>
      <c r="E76" s="3">
        <f>E70-E73</f>
        <v>7426.5</v>
      </c>
      <c r="F76" s="10">
        <f t="shared" si="6"/>
        <v>-14298.5</v>
      </c>
      <c r="G76" s="9">
        <f t="shared" si="7"/>
        <v>34.184119677790562</v>
      </c>
    </row>
    <row r="77" spans="1:7">
      <c r="A77" s="45"/>
      <c r="B77" s="6"/>
      <c r="C77" s="6"/>
      <c r="D77" s="46"/>
      <c r="E77" s="6"/>
      <c r="F77" s="6"/>
      <c r="G77" s="6"/>
    </row>
    <row r="78" spans="1:7" ht="31">
      <c r="A78" s="45" t="s">
        <v>568</v>
      </c>
      <c r="B78" s="47"/>
      <c r="C78" s="11"/>
      <c r="D78" s="11"/>
      <c r="E78" s="15"/>
      <c r="F78" s="48" t="s">
        <v>557</v>
      </c>
      <c r="G78" s="11"/>
    </row>
    <row r="79" spans="1:7">
      <c r="A79" s="29" t="s">
        <v>364</v>
      </c>
      <c r="B79" s="11"/>
      <c r="C79" s="30" t="s">
        <v>78</v>
      </c>
      <c r="D79" s="30"/>
      <c r="E79" s="11"/>
      <c r="F79" s="11" t="s">
        <v>102</v>
      </c>
      <c r="G79" s="11"/>
    </row>
    <row r="80" spans="1:7">
      <c r="A80" s="11"/>
      <c r="B80" s="6"/>
      <c r="C80" s="6"/>
      <c r="D80" s="6"/>
      <c r="E80" s="6"/>
      <c r="F80" s="6"/>
      <c r="G80" s="6"/>
    </row>
    <row r="81" spans="1:7">
      <c r="A81" s="15"/>
      <c r="B81" s="6"/>
      <c r="C81" s="6"/>
      <c r="D81" s="6"/>
      <c r="E81" s="6"/>
      <c r="F81" s="6"/>
      <c r="G81" s="6"/>
    </row>
    <row r="82" spans="1:7">
      <c r="A82" s="49"/>
      <c r="B82" s="49"/>
      <c r="C82" s="49"/>
      <c r="D82" s="49"/>
      <c r="E82" s="49"/>
      <c r="F82" s="49"/>
      <c r="G82" s="49"/>
    </row>
    <row r="83" spans="1:7">
      <c r="A83" s="50"/>
    </row>
    <row r="84" spans="1:7">
      <c r="A84" s="50"/>
    </row>
    <row r="85" spans="1:7">
      <c r="A85" s="50"/>
    </row>
    <row r="86" spans="1:7">
      <c r="A86" s="50"/>
    </row>
    <row r="87" spans="1:7">
      <c r="A87" s="50"/>
    </row>
    <row r="88" spans="1:7">
      <c r="A88" s="50"/>
    </row>
    <row r="89" spans="1:7">
      <c r="A89" s="50"/>
    </row>
    <row r="90" spans="1:7">
      <c r="A90" s="50"/>
    </row>
    <row r="91" spans="1:7">
      <c r="A91" s="50"/>
    </row>
    <row r="92" spans="1:7">
      <c r="A92" s="50"/>
    </row>
    <row r="93" spans="1:7">
      <c r="A93" s="50"/>
    </row>
    <row r="94" spans="1:7">
      <c r="A94" s="50"/>
    </row>
    <row r="95" spans="1:7">
      <c r="A95" s="50"/>
    </row>
    <row r="96" spans="1:7">
      <c r="A96" s="50"/>
    </row>
    <row r="97" spans="1:1">
      <c r="A97" s="50"/>
    </row>
    <row r="98" spans="1:1">
      <c r="A98" s="50"/>
    </row>
    <row r="99" spans="1:1">
      <c r="A99" s="50"/>
    </row>
    <row r="100" spans="1:1">
      <c r="A100" s="50"/>
    </row>
    <row r="101" spans="1:1">
      <c r="A101" s="50"/>
    </row>
    <row r="102" spans="1:1">
      <c r="A102" s="50"/>
    </row>
    <row r="103" spans="1:1">
      <c r="A103" s="50"/>
    </row>
    <row r="104" spans="1:1">
      <c r="A104" s="50"/>
    </row>
    <row r="105" spans="1:1">
      <c r="A105" s="50"/>
    </row>
    <row r="106" spans="1:1">
      <c r="A106" s="50"/>
    </row>
    <row r="107" spans="1:1">
      <c r="A107" s="50"/>
    </row>
    <row r="108" spans="1:1">
      <c r="A108" s="50"/>
    </row>
    <row r="109" spans="1:1">
      <c r="A109" s="50"/>
    </row>
    <row r="110" spans="1:1">
      <c r="A110" s="50"/>
    </row>
    <row r="111" spans="1:1">
      <c r="A111" s="50"/>
    </row>
    <row r="112" spans="1:1">
      <c r="A112" s="50"/>
    </row>
    <row r="113" spans="1:1">
      <c r="A113" s="50"/>
    </row>
    <row r="114" spans="1:1">
      <c r="A114" s="50"/>
    </row>
    <row r="115" spans="1:1">
      <c r="A115" s="50"/>
    </row>
    <row r="116" spans="1:1">
      <c r="A116" s="50"/>
    </row>
    <row r="117" spans="1:1">
      <c r="A117" s="50"/>
    </row>
    <row r="118" spans="1:1">
      <c r="A118" s="50"/>
    </row>
    <row r="119" spans="1:1">
      <c r="A119" s="50"/>
    </row>
    <row r="120" spans="1:1">
      <c r="A120" s="50"/>
    </row>
    <row r="121" spans="1:1">
      <c r="A121" s="50"/>
    </row>
    <row r="122" spans="1:1">
      <c r="A122" s="50"/>
    </row>
    <row r="123" spans="1:1">
      <c r="A123" s="50"/>
    </row>
    <row r="124" spans="1:1">
      <c r="A124" s="50"/>
    </row>
    <row r="125" spans="1:1">
      <c r="A125" s="50"/>
    </row>
    <row r="126" spans="1:1">
      <c r="A126" s="50"/>
    </row>
    <row r="127" spans="1:1">
      <c r="A127" s="50"/>
    </row>
    <row r="128" spans="1:1">
      <c r="A128" s="50"/>
    </row>
    <row r="129" spans="1:1">
      <c r="A129" s="50"/>
    </row>
    <row r="130" spans="1:1">
      <c r="A130" s="50"/>
    </row>
    <row r="131" spans="1:1">
      <c r="A131" s="50"/>
    </row>
    <row r="132" spans="1:1">
      <c r="A132" s="50"/>
    </row>
    <row r="133" spans="1:1">
      <c r="A133" s="50"/>
    </row>
    <row r="134" spans="1:1">
      <c r="A134" s="50"/>
    </row>
    <row r="135" spans="1:1">
      <c r="A135" s="50"/>
    </row>
    <row r="136" spans="1:1">
      <c r="A136" s="50"/>
    </row>
    <row r="137" spans="1:1">
      <c r="A137" s="50"/>
    </row>
    <row r="138" spans="1:1">
      <c r="A138" s="50"/>
    </row>
    <row r="139" spans="1:1">
      <c r="A139" s="50"/>
    </row>
    <row r="140" spans="1:1">
      <c r="A140" s="50"/>
    </row>
    <row r="141" spans="1:1">
      <c r="A141" s="50"/>
    </row>
    <row r="142" spans="1:1">
      <c r="A142" s="50"/>
    </row>
    <row r="143" spans="1:1">
      <c r="A143" s="50"/>
    </row>
    <row r="144" spans="1:1">
      <c r="A144" s="50"/>
    </row>
    <row r="145" spans="1:1">
      <c r="A145" s="50"/>
    </row>
    <row r="146" spans="1:1">
      <c r="A146" s="50"/>
    </row>
    <row r="147" spans="1:1">
      <c r="A147" s="50"/>
    </row>
    <row r="148" spans="1:1">
      <c r="A148" s="50"/>
    </row>
    <row r="149" spans="1:1">
      <c r="A149" s="50"/>
    </row>
    <row r="150" spans="1:1">
      <c r="A150" s="50"/>
    </row>
    <row r="151" spans="1:1">
      <c r="A151" s="50"/>
    </row>
    <row r="152" spans="1:1">
      <c r="A152" s="50"/>
    </row>
    <row r="153" spans="1:1">
      <c r="A153" s="50"/>
    </row>
    <row r="154" spans="1:1">
      <c r="A154" s="50"/>
    </row>
    <row r="155" spans="1:1">
      <c r="A155" s="50"/>
    </row>
    <row r="156" spans="1:1">
      <c r="A156" s="50"/>
    </row>
    <row r="157" spans="1:1">
      <c r="A157" s="50"/>
    </row>
    <row r="158" spans="1:1">
      <c r="A158" s="50"/>
    </row>
    <row r="159" spans="1:1">
      <c r="A159" s="50"/>
    </row>
    <row r="160" spans="1:1">
      <c r="A160" s="50"/>
    </row>
    <row r="161" spans="1:1">
      <c r="A161" s="50"/>
    </row>
    <row r="162" spans="1:1">
      <c r="A162" s="50"/>
    </row>
    <row r="163" spans="1:1">
      <c r="A163" s="50"/>
    </row>
    <row r="164" spans="1:1">
      <c r="A164" s="50"/>
    </row>
    <row r="165" spans="1:1">
      <c r="A165" s="50"/>
    </row>
    <row r="166" spans="1:1">
      <c r="A166" s="50"/>
    </row>
    <row r="167" spans="1:1">
      <c r="A167" s="50"/>
    </row>
    <row r="168" spans="1:1">
      <c r="A168" s="50"/>
    </row>
    <row r="169" spans="1:1">
      <c r="A169" s="50"/>
    </row>
    <row r="170" spans="1:1">
      <c r="A170" s="50"/>
    </row>
    <row r="171" spans="1:1">
      <c r="A171" s="50"/>
    </row>
    <row r="172" spans="1:1">
      <c r="A172" s="50"/>
    </row>
    <row r="173" spans="1:1">
      <c r="A173" s="50"/>
    </row>
    <row r="174" spans="1:1">
      <c r="A174" s="50"/>
    </row>
    <row r="175" spans="1:1">
      <c r="A175" s="50"/>
    </row>
    <row r="176" spans="1:1">
      <c r="A176" s="50"/>
    </row>
    <row r="177" spans="1:1">
      <c r="A177" s="50"/>
    </row>
    <row r="178" spans="1:1">
      <c r="A178" s="50"/>
    </row>
    <row r="179" spans="1:1">
      <c r="A179" s="50"/>
    </row>
    <row r="180" spans="1:1">
      <c r="A180" s="50"/>
    </row>
    <row r="181" spans="1:1">
      <c r="A181" s="50"/>
    </row>
    <row r="182" spans="1:1">
      <c r="A182" s="50"/>
    </row>
    <row r="183" spans="1:1">
      <c r="A183" s="50"/>
    </row>
    <row r="184" spans="1:1">
      <c r="A184" s="50"/>
    </row>
    <row r="185" spans="1:1">
      <c r="A185" s="50"/>
    </row>
    <row r="186" spans="1:1">
      <c r="A186" s="50"/>
    </row>
    <row r="187" spans="1:1">
      <c r="A187" s="50"/>
    </row>
    <row r="188" spans="1:1">
      <c r="A188" s="50"/>
    </row>
    <row r="189" spans="1:1">
      <c r="A189" s="50"/>
    </row>
    <row r="190" spans="1:1">
      <c r="A190" s="50"/>
    </row>
    <row r="191" spans="1:1">
      <c r="A191" s="50"/>
    </row>
    <row r="192" spans="1:1">
      <c r="A192" s="50"/>
    </row>
    <row r="193" spans="1:1">
      <c r="A193" s="50"/>
    </row>
    <row r="194" spans="1:1">
      <c r="A194" s="50"/>
    </row>
    <row r="195" spans="1:1">
      <c r="A195" s="50"/>
    </row>
    <row r="196" spans="1:1">
      <c r="A196" s="50"/>
    </row>
    <row r="197" spans="1:1">
      <c r="A197" s="50"/>
    </row>
    <row r="198" spans="1:1">
      <c r="A198" s="50"/>
    </row>
    <row r="199" spans="1:1">
      <c r="A199" s="50"/>
    </row>
    <row r="200" spans="1:1">
      <c r="A200" s="50"/>
    </row>
    <row r="201" spans="1:1">
      <c r="A201" s="50"/>
    </row>
    <row r="202" spans="1:1">
      <c r="A202" s="50"/>
    </row>
    <row r="203" spans="1:1">
      <c r="A203" s="50"/>
    </row>
    <row r="204" spans="1:1">
      <c r="A204" s="50"/>
    </row>
    <row r="205" spans="1:1">
      <c r="A205" s="50"/>
    </row>
    <row r="206" spans="1:1">
      <c r="A206" s="50"/>
    </row>
    <row r="207" spans="1:1">
      <c r="A207" s="50"/>
    </row>
    <row r="208" spans="1:1">
      <c r="A208" s="50"/>
    </row>
    <row r="209" spans="1:1">
      <c r="A209" s="50"/>
    </row>
    <row r="210" spans="1:1">
      <c r="A210" s="50"/>
    </row>
    <row r="211" spans="1:1">
      <c r="A211" s="50"/>
    </row>
    <row r="212" spans="1:1">
      <c r="A212" s="50"/>
    </row>
    <row r="213" spans="1:1">
      <c r="A213" s="50"/>
    </row>
    <row r="214" spans="1:1">
      <c r="A214" s="50"/>
    </row>
    <row r="215" spans="1:1">
      <c r="A215" s="50"/>
    </row>
    <row r="216" spans="1:1">
      <c r="A216" s="50"/>
    </row>
    <row r="217" spans="1:1">
      <c r="A217" s="50"/>
    </row>
    <row r="218" spans="1:1">
      <c r="A218" s="50"/>
    </row>
    <row r="219" spans="1:1">
      <c r="A219" s="50"/>
    </row>
    <row r="220" spans="1:1">
      <c r="A220" s="50"/>
    </row>
    <row r="221" spans="1:1">
      <c r="A221" s="50"/>
    </row>
    <row r="222" spans="1:1">
      <c r="A222" s="50"/>
    </row>
    <row r="223" spans="1:1">
      <c r="A223" s="50"/>
    </row>
    <row r="224" spans="1:1">
      <c r="A224" s="50"/>
    </row>
    <row r="225" spans="1:1">
      <c r="A225" s="50"/>
    </row>
    <row r="226" spans="1:1">
      <c r="A226" s="50"/>
    </row>
    <row r="227" spans="1:1">
      <c r="A227" s="50"/>
    </row>
    <row r="228" spans="1:1">
      <c r="A228" s="50"/>
    </row>
    <row r="229" spans="1:1">
      <c r="A229" s="50"/>
    </row>
    <row r="230" spans="1:1">
      <c r="A230" s="50"/>
    </row>
    <row r="231" spans="1:1">
      <c r="A231" s="50"/>
    </row>
    <row r="232" spans="1:1">
      <c r="A232" s="50"/>
    </row>
    <row r="233" spans="1:1">
      <c r="A233" s="50"/>
    </row>
    <row r="234" spans="1:1">
      <c r="A234" s="50"/>
    </row>
    <row r="235" spans="1:1">
      <c r="A235" s="50"/>
    </row>
    <row r="236" spans="1:1">
      <c r="A236" s="50"/>
    </row>
    <row r="237" spans="1:1">
      <c r="A237" s="50"/>
    </row>
    <row r="238" spans="1:1">
      <c r="A238" s="50"/>
    </row>
    <row r="239" spans="1:1">
      <c r="A239" s="50"/>
    </row>
    <row r="240" spans="1:1">
      <c r="A240" s="50"/>
    </row>
    <row r="241" spans="1:1">
      <c r="A241" s="50"/>
    </row>
    <row r="242" spans="1:1">
      <c r="A242" s="50"/>
    </row>
    <row r="243" spans="1:1">
      <c r="A243" s="50"/>
    </row>
    <row r="244" spans="1:1">
      <c r="A244" s="50"/>
    </row>
    <row r="245" spans="1:1">
      <c r="A245" s="50"/>
    </row>
    <row r="246" spans="1:1">
      <c r="A246" s="50"/>
    </row>
    <row r="247" spans="1:1">
      <c r="A247" s="50"/>
    </row>
    <row r="248" spans="1:1">
      <c r="A248" s="50"/>
    </row>
  </sheetData>
  <sheetProtection password="C6FB" sheet="1" formatCells="0" formatColumns="0" formatRows="0"/>
  <mergeCells count="33">
    <mergeCell ref="A82:G82"/>
    <mergeCell ref="C79:D79"/>
    <mergeCell ref="E2:G5"/>
    <mergeCell ref="A66:G66"/>
    <mergeCell ref="A30:G30"/>
    <mergeCell ref="B27:B28"/>
    <mergeCell ref="B6:D6"/>
    <mergeCell ref="B7:D7"/>
    <mergeCell ref="B8:D8"/>
    <mergeCell ref="B9:D9"/>
    <mergeCell ref="A23:G23"/>
    <mergeCell ref="A62:G62"/>
    <mergeCell ref="A53:G53"/>
    <mergeCell ref="A60:G60"/>
    <mergeCell ref="B17:D17"/>
    <mergeCell ref="A46:G46"/>
    <mergeCell ref="B10:D10"/>
    <mergeCell ref="B11:D11"/>
    <mergeCell ref="B12:D12"/>
    <mergeCell ref="E13:F13"/>
    <mergeCell ref="B13:D13"/>
    <mergeCell ref="B14:D14"/>
    <mergeCell ref="D27:G27"/>
    <mergeCell ref="E14:F14"/>
    <mergeCell ref="C27:C28"/>
    <mergeCell ref="B18:D18"/>
    <mergeCell ref="A22:G22"/>
    <mergeCell ref="A27:A28"/>
    <mergeCell ref="B15:D15"/>
    <mergeCell ref="B16:D16"/>
    <mergeCell ref="A20:G20"/>
    <mergeCell ref="A21:G21"/>
    <mergeCell ref="A25:G25"/>
  </mergeCells>
  <phoneticPr fontId="3" type="noConversion"/>
  <pageMargins left="1.1811023622047245" right="0.39370078740157483" top="0.78740157480314965" bottom="0.78740157480314965" header="0" footer="0"/>
  <pageSetup paperSize="9" scale="58" fitToHeight="2" orientation="portrait" r:id="rId1"/>
  <headerFooter alignWithMargins="0"/>
  <rowBreaks count="1" manualBreakCount="1">
    <brk id="59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>
    <tabColor indexed="43"/>
    <pageSetUpPr fitToPage="1"/>
  </sheetPr>
  <dimension ref="A1:H1064"/>
  <sheetViews>
    <sheetView view="pageBreakPreview" zoomScaleNormal="75" zoomScaleSheetLayoutView="100" workbookViewId="0">
      <pane ySplit="6" topLeftCell="A7" activePane="bottomLeft" state="frozen"/>
      <selection pane="bottomLeft" activeCell="H6" sqref="H6"/>
    </sheetView>
  </sheetViews>
  <sheetFormatPr defaultColWidth="9.1796875" defaultRowHeight="15.5" outlineLevelRow="1"/>
  <cols>
    <col min="1" max="1" width="41.453125" style="59" customWidth="1"/>
    <col min="2" max="2" width="10.1796875" style="107" customWidth="1"/>
    <col min="3" max="3" width="12.54296875" style="61" customWidth="1"/>
    <col min="4" max="4" width="12.54296875" style="107" customWidth="1"/>
    <col min="5" max="5" width="11" style="107" customWidth="1"/>
    <col min="6" max="6" width="13.453125" style="108" customWidth="1"/>
    <col min="7" max="7" width="11.81640625" style="107" customWidth="1"/>
    <col min="8" max="8" width="10.453125" style="107" customWidth="1"/>
    <col min="9" max="16384" width="9.1796875" style="59"/>
  </cols>
  <sheetData>
    <row r="1" spans="1:8" outlineLevel="1">
      <c r="B1" s="60"/>
      <c r="D1" s="60"/>
      <c r="E1" s="60"/>
      <c r="F1" s="62"/>
      <c r="G1" s="60"/>
      <c r="H1" s="61" t="s">
        <v>236</v>
      </c>
    </row>
    <row r="2" spans="1:8" outlineLevel="1">
      <c r="B2" s="60"/>
      <c r="D2" s="60"/>
      <c r="E2" s="60"/>
      <c r="F2" s="62"/>
      <c r="G2" s="60"/>
      <c r="H2" s="61" t="s">
        <v>220</v>
      </c>
    </row>
    <row r="3" spans="1:8">
      <c r="A3" s="150" t="s">
        <v>353</v>
      </c>
      <c r="B3" s="150"/>
      <c r="C3" s="150"/>
      <c r="D3" s="150"/>
      <c r="E3" s="150"/>
      <c r="F3" s="150"/>
      <c r="G3" s="150"/>
      <c r="H3" s="150"/>
    </row>
    <row r="4" spans="1:8">
      <c r="A4" s="63"/>
      <c r="B4" s="63"/>
      <c r="C4" s="64"/>
      <c r="D4" s="63"/>
      <c r="E4" s="63"/>
      <c r="F4" s="65"/>
      <c r="G4" s="63"/>
      <c r="H4" s="63"/>
    </row>
    <row r="5" spans="1:8">
      <c r="A5" s="66" t="s">
        <v>282</v>
      </c>
      <c r="B5" s="67" t="s">
        <v>18</v>
      </c>
      <c r="C5" s="340" t="s">
        <v>361</v>
      </c>
      <c r="D5" s="66" t="s">
        <v>341</v>
      </c>
      <c r="E5" s="66"/>
      <c r="F5" s="66"/>
      <c r="G5" s="66"/>
      <c r="H5" s="66"/>
    </row>
    <row r="6" spans="1:8" ht="104" customHeight="1">
      <c r="A6" s="66"/>
      <c r="B6" s="67"/>
      <c r="C6" s="340"/>
      <c r="D6" s="68" t="s">
        <v>260</v>
      </c>
      <c r="E6" s="68" t="s">
        <v>243</v>
      </c>
      <c r="F6" s="341" t="s">
        <v>360</v>
      </c>
      <c r="G6" s="68" t="s">
        <v>271</v>
      </c>
      <c r="H6" s="68" t="s">
        <v>269</v>
      </c>
    </row>
    <row r="7" spans="1:8">
      <c r="A7" s="69">
        <v>1</v>
      </c>
      <c r="B7" s="70">
        <v>2</v>
      </c>
      <c r="C7" s="71">
        <v>3</v>
      </c>
      <c r="D7" s="70">
        <v>4</v>
      </c>
      <c r="E7" s="70">
        <v>5</v>
      </c>
      <c r="F7" s="72">
        <v>6</v>
      </c>
      <c r="G7" s="70">
        <v>7</v>
      </c>
      <c r="H7" s="70">
        <v>8</v>
      </c>
    </row>
    <row r="8" spans="1:8">
      <c r="A8" s="115" t="s">
        <v>268</v>
      </c>
      <c r="B8" s="115"/>
      <c r="C8" s="115"/>
      <c r="D8" s="115"/>
      <c r="E8" s="115"/>
      <c r="F8" s="115"/>
      <c r="G8" s="115"/>
      <c r="H8" s="115"/>
    </row>
    <row r="9" spans="1:8" ht="31">
      <c r="A9" s="76" t="s">
        <v>107</v>
      </c>
      <c r="B9" s="77">
        <v>1000</v>
      </c>
      <c r="C9" s="84">
        <f>C10</f>
        <v>24368</v>
      </c>
      <c r="D9" s="84">
        <f>D10</f>
        <v>33828</v>
      </c>
      <c r="E9" s="84">
        <f>E10</f>
        <v>18432.900000000001</v>
      </c>
      <c r="F9" s="73">
        <f t="shared" ref="F9:F32" si="0">E9-D9</f>
        <v>-15395.099999999999</v>
      </c>
      <c r="G9" s="74">
        <f t="shared" ref="G9:G17" si="1">E9/D9*100</f>
        <v>54.490067399787165</v>
      </c>
      <c r="H9" s="75"/>
    </row>
    <row r="10" spans="1:8" ht="31">
      <c r="A10" s="76" t="s">
        <v>448</v>
      </c>
      <c r="B10" s="77" t="s">
        <v>449</v>
      </c>
      <c r="C10" s="88">
        <v>24368</v>
      </c>
      <c r="D10" s="88">
        <v>33828</v>
      </c>
      <c r="E10" s="88">
        <v>18432.900000000001</v>
      </c>
      <c r="F10" s="73"/>
      <c r="G10" s="74"/>
      <c r="H10" s="75"/>
    </row>
    <row r="11" spans="1:8" ht="31">
      <c r="A11" s="76" t="s">
        <v>124</v>
      </c>
      <c r="B11" s="77">
        <v>1010</v>
      </c>
      <c r="C11" s="94">
        <f>SUM(C12:C19)</f>
        <v>33328</v>
      </c>
      <c r="D11" s="94">
        <f>SUM(D12:D19)</f>
        <v>48202</v>
      </c>
      <c r="E11" s="94">
        <f>SUM(E12:E19)</f>
        <v>26823</v>
      </c>
      <c r="F11" s="73">
        <f t="shared" si="0"/>
        <v>-21379</v>
      </c>
      <c r="G11" s="74">
        <f t="shared" si="1"/>
        <v>55.647068586365712</v>
      </c>
      <c r="H11" s="78"/>
    </row>
    <row r="12" spans="1:8">
      <c r="A12" s="76" t="s">
        <v>281</v>
      </c>
      <c r="B12" s="70">
        <v>1011</v>
      </c>
      <c r="C12" s="79">
        <v>67</v>
      </c>
      <c r="D12" s="79">
        <v>74</v>
      </c>
      <c r="E12" s="79">
        <f>4+23+48+34</f>
        <v>109</v>
      </c>
      <c r="F12" s="73">
        <f t="shared" si="0"/>
        <v>35</v>
      </c>
      <c r="G12" s="74">
        <f t="shared" si="1"/>
        <v>147.29729729729729</v>
      </c>
      <c r="H12" s="80"/>
    </row>
    <row r="13" spans="1:8">
      <c r="A13" s="76" t="s">
        <v>66</v>
      </c>
      <c r="B13" s="70">
        <v>1012</v>
      </c>
      <c r="C13" s="79">
        <v>3541</v>
      </c>
      <c r="D13" s="79">
        <v>4434</v>
      </c>
      <c r="E13" s="79">
        <f>2232+316+147</f>
        <v>2695</v>
      </c>
      <c r="F13" s="73">
        <f t="shared" si="0"/>
        <v>-1739</v>
      </c>
      <c r="G13" s="74">
        <f t="shared" si="1"/>
        <v>60.780333784393328</v>
      </c>
      <c r="H13" s="80"/>
    </row>
    <row r="14" spans="1:8">
      <c r="A14" s="76" t="s">
        <v>65</v>
      </c>
      <c r="B14" s="70">
        <v>1013</v>
      </c>
      <c r="C14" s="79">
        <v>378</v>
      </c>
      <c r="D14" s="79">
        <v>500</v>
      </c>
      <c r="E14" s="79">
        <f>431</f>
        <v>431</v>
      </c>
      <c r="F14" s="73">
        <f t="shared" si="0"/>
        <v>-69</v>
      </c>
      <c r="G14" s="74">
        <f t="shared" si="1"/>
        <v>86.2</v>
      </c>
      <c r="H14" s="80"/>
    </row>
    <row r="15" spans="1:8">
      <c r="A15" s="76" t="s">
        <v>40</v>
      </c>
      <c r="B15" s="70">
        <v>1014</v>
      </c>
      <c r="C15" s="79">
        <v>18159</v>
      </c>
      <c r="D15" s="79">
        <v>29876</v>
      </c>
      <c r="E15" s="79">
        <f>12372+2148</f>
        <v>14520</v>
      </c>
      <c r="F15" s="73">
        <f t="shared" si="0"/>
        <v>-15356</v>
      </c>
      <c r="G15" s="74">
        <f t="shared" si="1"/>
        <v>48.600883652430042</v>
      </c>
      <c r="H15" s="80"/>
    </row>
    <row r="16" spans="1:8">
      <c r="A16" s="76" t="s">
        <v>41</v>
      </c>
      <c r="B16" s="70">
        <v>1015</v>
      </c>
      <c r="C16" s="79">
        <v>3899</v>
      </c>
      <c r="D16" s="79">
        <v>6388</v>
      </c>
      <c r="E16" s="79">
        <f>2614+489</f>
        <v>3103</v>
      </c>
      <c r="F16" s="73">
        <f t="shared" si="0"/>
        <v>-3285</v>
      </c>
      <c r="G16" s="74">
        <f t="shared" si="1"/>
        <v>48.575453976205388</v>
      </c>
      <c r="H16" s="80"/>
    </row>
    <row r="17" spans="1:8" ht="62">
      <c r="A17" s="76" t="s">
        <v>257</v>
      </c>
      <c r="B17" s="70">
        <v>1016</v>
      </c>
      <c r="C17" s="79">
        <v>47</v>
      </c>
      <c r="D17" s="79">
        <v>80</v>
      </c>
      <c r="E17" s="79">
        <f>18+8+8</f>
        <v>34</v>
      </c>
      <c r="F17" s="73">
        <f t="shared" si="0"/>
        <v>-46</v>
      </c>
      <c r="G17" s="74">
        <f t="shared" si="1"/>
        <v>42.5</v>
      </c>
      <c r="H17" s="80"/>
    </row>
    <row r="18" spans="1:8" ht="31">
      <c r="A18" s="76" t="s">
        <v>64</v>
      </c>
      <c r="B18" s="70">
        <v>1017</v>
      </c>
      <c r="C18" s="79">
        <v>1025</v>
      </c>
      <c r="D18" s="79">
        <v>978</v>
      </c>
      <c r="E18" s="79">
        <f>513+307+547</f>
        <v>1367</v>
      </c>
      <c r="F18" s="73">
        <f t="shared" si="0"/>
        <v>389</v>
      </c>
      <c r="G18" s="74">
        <f>E18/D18*100</f>
        <v>139.77505112474438</v>
      </c>
      <c r="H18" s="80"/>
    </row>
    <row r="19" spans="1:8">
      <c r="A19" s="76" t="s">
        <v>122</v>
      </c>
      <c r="B19" s="70">
        <v>1018</v>
      </c>
      <c r="C19" s="79">
        <f>SUM(C20:C30)</f>
        <v>6212</v>
      </c>
      <c r="D19" s="79">
        <f>SUM(D20:D30)</f>
        <v>5872</v>
      </c>
      <c r="E19" s="79">
        <f>SUM(E20:E30)</f>
        <v>4564</v>
      </c>
      <c r="F19" s="73">
        <f t="shared" si="0"/>
        <v>-1308</v>
      </c>
      <c r="G19" s="74">
        <f>E19/D19*100</f>
        <v>77.724795640326974</v>
      </c>
      <c r="H19" s="80"/>
    </row>
    <row r="20" spans="1:8">
      <c r="A20" s="81" t="s">
        <v>381</v>
      </c>
      <c r="B20" s="70" t="s">
        <v>375</v>
      </c>
      <c r="C20" s="79">
        <v>293</v>
      </c>
      <c r="D20" s="79">
        <v>184</v>
      </c>
      <c r="E20" s="79">
        <v>204</v>
      </c>
      <c r="F20" s="82">
        <f t="shared" si="0"/>
        <v>20</v>
      </c>
      <c r="G20" s="83"/>
      <c r="H20" s="80"/>
    </row>
    <row r="21" spans="1:8">
      <c r="A21" s="81" t="s">
        <v>382</v>
      </c>
      <c r="B21" s="70" t="s">
        <v>376</v>
      </c>
      <c r="C21" s="79">
        <v>278</v>
      </c>
      <c r="D21" s="79">
        <v>400</v>
      </c>
      <c r="E21" s="79">
        <v>166</v>
      </c>
      <c r="F21" s="82">
        <f t="shared" si="0"/>
        <v>-234</v>
      </c>
      <c r="G21" s="83"/>
      <c r="H21" s="80"/>
    </row>
    <row r="22" spans="1:8" ht="62">
      <c r="A22" s="81" t="s">
        <v>509</v>
      </c>
      <c r="B22" s="70" t="s">
        <v>377</v>
      </c>
      <c r="C22" s="79">
        <v>295</v>
      </c>
      <c r="D22" s="79">
        <v>183</v>
      </c>
      <c r="E22" s="79">
        <f>19+1+38</f>
        <v>58</v>
      </c>
      <c r="F22" s="82">
        <f t="shared" si="0"/>
        <v>-125</v>
      </c>
      <c r="G22" s="83"/>
      <c r="H22" s="80"/>
    </row>
    <row r="23" spans="1:8">
      <c r="A23" s="81" t="s">
        <v>450</v>
      </c>
      <c r="B23" s="70" t="s">
        <v>378</v>
      </c>
      <c r="C23" s="79">
        <v>22</v>
      </c>
      <c r="D23" s="79">
        <v>50</v>
      </c>
      <c r="E23" s="79">
        <f>10</f>
        <v>10</v>
      </c>
      <c r="F23" s="82">
        <f t="shared" si="0"/>
        <v>-40</v>
      </c>
      <c r="G23" s="83"/>
      <c r="H23" s="80"/>
    </row>
    <row r="24" spans="1:8">
      <c r="A24" s="81" t="s">
        <v>451</v>
      </c>
      <c r="B24" s="70" t="s">
        <v>379</v>
      </c>
      <c r="C24" s="79">
        <v>31</v>
      </c>
      <c r="D24" s="79">
        <v>60</v>
      </c>
      <c r="E24" s="79">
        <v>8</v>
      </c>
      <c r="F24" s="82">
        <f t="shared" si="0"/>
        <v>-52</v>
      </c>
      <c r="G24" s="83"/>
      <c r="H24" s="80"/>
    </row>
    <row r="25" spans="1:8">
      <c r="A25" s="81" t="s">
        <v>383</v>
      </c>
      <c r="B25" s="70" t="s">
        <v>380</v>
      </c>
      <c r="C25" s="79">
        <v>1908</v>
      </c>
      <c r="D25" s="79">
        <v>1793</v>
      </c>
      <c r="E25" s="79">
        <f>777+200</f>
        <v>977</v>
      </c>
      <c r="F25" s="82">
        <f t="shared" si="0"/>
        <v>-816</v>
      </c>
      <c r="G25" s="83"/>
      <c r="H25" s="80"/>
    </row>
    <row r="26" spans="1:8">
      <c r="A26" s="81" t="s">
        <v>452</v>
      </c>
      <c r="B26" s="70" t="s">
        <v>384</v>
      </c>
      <c r="C26" s="79">
        <v>11</v>
      </c>
      <c r="D26" s="79">
        <v>33</v>
      </c>
      <c r="E26" s="79">
        <v>18</v>
      </c>
      <c r="F26" s="82">
        <f t="shared" si="0"/>
        <v>-15</v>
      </c>
      <c r="G26" s="83"/>
      <c r="H26" s="80"/>
    </row>
    <row r="27" spans="1:8">
      <c r="A27" s="81" t="s">
        <v>490</v>
      </c>
      <c r="B27" s="70" t="s">
        <v>386</v>
      </c>
      <c r="C27" s="79"/>
      <c r="D27" s="79">
        <v>11</v>
      </c>
      <c r="E27" s="79"/>
      <c r="F27" s="82">
        <f t="shared" si="0"/>
        <v>-11</v>
      </c>
      <c r="G27" s="83"/>
      <c r="H27" s="80"/>
    </row>
    <row r="28" spans="1:8" ht="31">
      <c r="A28" s="81" t="s">
        <v>385</v>
      </c>
      <c r="B28" s="70" t="s">
        <v>488</v>
      </c>
      <c r="C28" s="79">
        <v>3075</v>
      </c>
      <c r="D28" s="79">
        <v>2778</v>
      </c>
      <c r="E28" s="79">
        <v>2782</v>
      </c>
      <c r="F28" s="82">
        <f>E28-D28</f>
        <v>4</v>
      </c>
      <c r="G28" s="83"/>
      <c r="H28" s="80"/>
    </row>
    <row r="29" spans="1:8" ht="31">
      <c r="A29" s="81" t="s">
        <v>493</v>
      </c>
      <c r="B29" s="70" t="s">
        <v>489</v>
      </c>
      <c r="C29" s="79">
        <v>11</v>
      </c>
      <c r="D29" s="79">
        <v>30</v>
      </c>
      <c r="E29" s="79">
        <v>3</v>
      </c>
      <c r="F29" s="82">
        <f t="shared" si="0"/>
        <v>-27</v>
      </c>
      <c r="G29" s="83"/>
      <c r="H29" s="80"/>
    </row>
    <row r="30" spans="1:8">
      <c r="A30" s="81" t="s">
        <v>508</v>
      </c>
      <c r="B30" s="70" t="s">
        <v>507</v>
      </c>
      <c r="C30" s="79">
        <v>288</v>
      </c>
      <c r="D30" s="79">
        <v>350</v>
      </c>
      <c r="E30" s="79">
        <v>338</v>
      </c>
      <c r="F30" s="82">
        <f t="shared" si="0"/>
        <v>-12</v>
      </c>
      <c r="G30" s="83"/>
      <c r="H30" s="80"/>
    </row>
    <row r="31" spans="1:8">
      <c r="A31" s="76" t="s">
        <v>23</v>
      </c>
      <c r="B31" s="77">
        <v>1020</v>
      </c>
      <c r="C31" s="94">
        <f>C9-C11</f>
        <v>-8960</v>
      </c>
      <c r="D31" s="94">
        <f>D9-D11</f>
        <v>-14374</v>
      </c>
      <c r="E31" s="94">
        <f>E9-E11</f>
        <v>-8390.0999999999985</v>
      </c>
      <c r="F31" s="73">
        <f t="shared" si="0"/>
        <v>5983.9000000000015</v>
      </c>
      <c r="G31" s="74">
        <f>E31/D31*100</f>
        <v>58.369973563378309</v>
      </c>
      <c r="H31" s="78"/>
    </row>
    <row r="32" spans="1:8" ht="31">
      <c r="A32" s="76" t="s">
        <v>213</v>
      </c>
      <c r="B32" s="77">
        <v>1030</v>
      </c>
      <c r="C32" s="84">
        <f>C33</f>
        <v>21034</v>
      </c>
      <c r="D32" s="84">
        <f>D33</f>
        <v>29417</v>
      </c>
      <c r="E32" s="84">
        <f>E33</f>
        <v>16075</v>
      </c>
      <c r="F32" s="73">
        <f t="shared" si="0"/>
        <v>-13342</v>
      </c>
      <c r="G32" s="74"/>
      <c r="H32" s="75"/>
    </row>
    <row r="33" spans="1:8" ht="46.5">
      <c r="A33" s="76" t="s">
        <v>497</v>
      </c>
      <c r="B33" s="77" t="s">
        <v>434</v>
      </c>
      <c r="C33" s="84">
        <v>21034</v>
      </c>
      <c r="D33" s="84">
        <v>29417</v>
      </c>
      <c r="E33" s="84">
        <v>16075</v>
      </c>
      <c r="F33" s="73"/>
      <c r="G33" s="74"/>
      <c r="H33" s="75"/>
    </row>
    <row r="34" spans="1:8">
      <c r="A34" s="76" t="s">
        <v>214</v>
      </c>
      <c r="B34" s="77">
        <v>1031</v>
      </c>
      <c r="C34" s="94"/>
      <c r="D34" s="94"/>
      <c r="E34" s="94"/>
      <c r="F34" s="73"/>
      <c r="G34" s="74"/>
      <c r="H34" s="75"/>
    </row>
    <row r="35" spans="1:8">
      <c r="A35" s="76" t="s">
        <v>223</v>
      </c>
      <c r="B35" s="77">
        <v>1040</v>
      </c>
      <c r="C35" s="94">
        <f>SUM(C36:C57)</f>
        <v>6954</v>
      </c>
      <c r="D35" s="94">
        <f>SUM(D36:D57)</f>
        <v>8424.4588800000001</v>
      </c>
      <c r="E35" s="94">
        <f>SUM(E36:E57)</f>
        <v>7078</v>
      </c>
      <c r="F35" s="73">
        <f>E35-D35</f>
        <v>-1346.4588800000001</v>
      </c>
      <c r="G35" s="74">
        <f>E35/D35*100</f>
        <v>84.017265688167271</v>
      </c>
      <c r="H35" s="78"/>
    </row>
    <row r="36" spans="1:8" ht="31">
      <c r="A36" s="76" t="s">
        <v>106</v>
      </c>
      <c r="B36" s="77">
        <v>1041</v>
      </c>
      <c r="C36" s="85"/>
      <c r="D36" s="88"/>
      <c r="E36" s="85"/>
      <c r="F36" s="73"/>
      <c r="G36" s="74"/>
      <c r="H36" s="75"/>
    </row>
    <row r="37" spans="1:8">
      <c r="A37" s="76" t="s">
        <v>204</v>
      </c>
      <c r="B37" s="77">
        <v>1042</v>
      </c>
      <c r="C37" s="85"/>
      <c r="D37" s="88">
        <v>216</v>
      </c>
      <c r="E37" s="85">
        <f>4+11+2+1</f>
        <v>18</v>
      </c>
      <c r="F37" s="73">
        <f>E37-D37</f>
        <v>-198</v>
      </c>
      <c r="G37" s="74">
        <f>E37/D37*100</f>
        <v>8.3333333333333321</v>
      </c>
      <c r="H37" s="75"/>
    </row>
    <row r="38" spans="1:8">
      <c r="A38" s="76" t="s">
        <v>63</v>
      </c>
      <c r="B38" s="77">
        <v>1043</v>
      </c>
      <c r="C38" s="85"/>
      <c r="D38" s="88"/>
      <c r="E38" s="85"/>
      <c r="F38" s="73"/>
      <c r="G38" s="74"/>
      <c r="H38" s="75"/>
    </row>
    <row r="39" spans="1:8">
      <c r="A39" s="76" t="s">
        <v>21</v>
      </c>
      <c r="B39" s="77">
        <v>1044</v>
      </c>
      <c r="C39" s="85"/>
      <c r="D39" s="88"/>
      <c r="E39" s="85"/>
      <c r="F39" s="73"/>
      <c r="G39" s="74"/>
      <c r="H39" s="75"/>
    </row>
    <row r="40" spans="1:8">
      <c r="A40" s="76" t="s">
        <v>22</v>
      </c>
      <c r="B40" s="77">
        <v>1045</v>
      </c>
      <c r="C40" s="85"/>
      <c r="D40" s="88"/>
      <c r="E40" s="85"/>
      <c r="F40" s="73"/>
      <c r="G40" s="74"/>
      <c r="H40" s="75"/>
    </row>
    <row r="41" spans="1:8">
      <c r="A41" s="76" t="s">
        <v>38</v>
      </c>
      <c r="B41" s="77">
        <v>1046</v>
      </c>
      <c r="C41" s="85"/>
      <c r="D41" s="88">
        <v>0</v>
      </c>
      <c r="E41" s="85"/>
      <c r="F41" s="73">
        <f t="shared" ref="F41:F46" si="2">E41-D41</f>
        <v>0</v>
      </c>
      <c r="G41" s="86" t="e">
        <f>E41/D41*100</f>
        <v>#DIV/0!</v>
      </c>
      <c r="H41" s="75"/>
    </row>
    <row r="42" spans="1:8">
      <c r="A42" s="76" t="s">
        <v>39</v>
      </c>
      <c r="B42" s="77">
        <v>1047</v>
      </c>
      <c r="C42" s="85">
        <v>6</v>
      </c>
      <c r="D42" s="88">
        <v>16</v>
      </c>
      <c r="E42" s="85">
        <f>1+4+2</f>
        <v>7</v>
      </c>
      <c r="F42" s="73">
        <f t="shared" si="2"/>
        <v>-9</v>
      </c>
      <c r="G42" s="74">
        <f>E42/D42*100</f>
        <v>43.75</v>
      </c>
      <c r="H42" s="75"/>
    </row>
    <row r="43" spans="1:8">
      <c r="A43" s="76" t="s">
        <v>40</v>
      </c>
      <c r="B43" s="77">
        <v>1048</v>
      </c>
      <c r="C43" s="85">
        <v>4072</v>
      </c>
      <c r="D43" s="88">
        <v>5473.7960000000003</v>
      </c>
      <c r="E43" s="85">
        <v>4696</v>
      </c>
      <c r="F43" s="73">
        <f t="shared" si="2"/>
        <v>-777.79600000000028</v>
      </c>
      <c r="G43" s="74">
        <f>E43/D43*100</f>
        <v>85.790555585191697</v>
      </c>
      <c r="H43" s="75"/>
    </row>
    <row r="44" spans="1:8">
      <c r="A44" s="76" t="s">
        <v>41</v>
      </c>
      <c r="B44" s="77">
        <v>1049</v>
      </c>
      <c r="C44" s="85">
        <v>912</v>
      </c>
      <c r="D44" s="88">
        <v>1204.2351200000001</v>
      </c>
      <c r="E44" s="85">
        <v>1043</v>
      </c>
      <c r="F44" s="73">
        <f t="shared" si="2"/>
        <v>-161.23512000000005</v>
      </c>
      <c r="G44" s="74">
        <f>E44/D44*100</f>
        <v>86.610993374782154</v>
      </c>
      <c r="H44" s="75"/>
    </row>
    <row r="45" spans="1:8" ht="46.5">
      <c r="A45" s="76" t="s">
        <v>42</v>
      </c>
      <c r="B45" s="77">
        <v>1050</v>
      </c>
      <c r="C45" s="85">
        <v>112</v>
      </c>
      <c r="D45" s="88">
        <v>80</v>
      </c>
      <c r="E45" s="85">
        <v>87</v>
      </c>
      <c r="F45" s="73">
        <f t="shared" si="2"/>
        <v>7</v>
      </c>
      <c r="G45" s="74">
        <f>E45/D45*100</f>
        <v>108.74999999999999</v>
      </c>
      <c r="H45" s="75"/>
    </row>
    <row r="46" spans="1:8" ht="46.5">
      <c r="A46" s="76" t="s">
        <v>43</v>
      </c>
      <c r="B46" s="77">
        <v>1051</v>
      </c>
      <c r="C46" s="85"/>
      <c r="D46" s="88">
        <v>0</v>
      </c>
      <c r="E46" s="85"/>
      <c r="F46" s="73">
        <f t="shared" si="2"/>
        <v>0</v>
      </c>
      <c r="G46" s="74"/>
      <c r="H46" s="75"/>
    </row>
    <row r="47" spans="1:8" ht="31">
      <c r="A47" s="76" t="s">
        <v>44</v>
      </c>
      <c r="B47" s="77">
        <v>1052</v>
      </c>
      <c r="C47" s="85"/>
      <c r="D47" s="88">
        <v>0</v>
      </c>
      <c r="E47" s="85"/>
      <c r="F47" s="73"/>
      <c r="G47" s="74"/>
      <c r="H47" s="75"/>
    </row>
    <row r="48" spans="1:8" ht="31">
      <c r="A48" s="76" t="s">
        <v>45</v>
      </c>
      <c r="B48" s="77">
        <v>1053</v>
      </c>
      <c r="C48" s="85"/>
      <c r="D48" s="88">
        <v>0</v>
      </c>
      <c r="E48" s="85"/>
      <c r="F48" s="73"/>
      <c r="G48" s="74"/>
      <c r="H48" s="75"/>
    </row>
    <row r="49" spans="1:8">
      <c r="A49" s="76" t="s">
        <v>46</v>
      </c>
      <c r="B49" s="77">
        <v>1054</v>
      </c>
      <c r="C49" s="85">
        <v>431</v>
      </c>
      <c r="D49" s="88">
        <v>200</v>
      </c>
      <c r="E49" s="85">
        <f>4+2+1+24</f>
        <v>31</v>
      </c>
      <c r="F49" s="73">
        <f>E49-D49</f>
        <v>-169</v>
      </c>
      <c r="G49" s="74">
        <f>E49/D49*100</f>
        <v>15.5</v>
      </c>
      <c r="H49" s="75"/>
    </row>
    <row r="50" spans="1:8">
      <c r="A50" s="76" t="s">
        <v>67</v>
      </c>
      <c r="B50" s="77">
        <v>1055</v>
      </c>
      <c r="C50" s="85">
        <v>18</v>
      </c>
      <c r="D50" s="88">
        <v>85</v>
      </c>
      <c r="E50" s="85">
        <f>46+6+1</f>
        <v>53</v>
      </c>
      <c r="F50" s="73">
        <f>E50-D50</f>
        <v>-32</v>
      </c>
      <c r="G50" s="74">
        <f>E50/D50*100</f>
        <v>62.352941176470587</v>
      </c>
      <c r="H50" s="75"/>
    </row>
    <row r="51" spans="1:8">
      <c r="A51" s="76" t="s">
        <v>47</v>
      </c>
      <c r="B51" s="77">
        <v>1056</v>
      </c>
      <c r="C51" s="85"/>
      <c r="D51" s="88">
        <v>0</v>
      </c>
      <c r="E51" s="85">
        <v>4</v>
      </c>
      <c r="F51" s="73">
        <f>E51-D51</f>
        <v>4</v>
      </c>
      <c r="G51" s="86" t="e">
        <f>E51/D51*100</f>
        <v>#DIV/0!</v>
      </c>
      <c r="H51" s="75"/>
    </row>
    <row r="52" spans="1:8">
      <c r="A52" s="76" t="s">
        <v>48</v>
      </c>
      <c r="B52" s="77">
        <v>1057</v>
      </c>
      <c r="C52" s="85"/>
      <c r="D52" s="88">
        <v>0</v>
      </c>
      <c r="E52" s="85"/>
      <c r="F52" s="73"/>
      <c r="G52" s="74"/>
      <c r="H52" s="75"/>
    </row>
    <row r="53" spans="1:8" ht="31">
      <c r="A53" s="76" t="s">
        <v>49</v>
      </c>
      <c r="B53" s="77">
        <v>1058</v>
      </c>
      <c r="C53" s="85"/>
      <c r="D53" s="88">
        <v>0</v>
      </c>
      <c r="E53" s="85"/>
      <c r="F53" s="73"/>
      <c r="G53" s="74"/>
      <c r="H53" s="75"/>
    </row>
    <row r="54" spans="1:8" ht="31">
      <c r="A54" s="76" t="s">
        <v>50</v>
      </c>
      <c r="B54" s="77">
        <v>1059</v>
      </c>
      <c r="C54" s="85"/>
      <c r="D54" s="88">
        <v>0</v>
      </c>
      <c r="E54" s="85"/>
      <c r="F54" s="73"/>
      <c r="G54" s="74"/>
      <c r="H54" s="75"/>
    </row>
    <row r="55" spans="1:8" ht="62">
      <c r="A55" s="76" t="s">
        <v>76</v>
      </c>
      <c r="B55" s="77">
        <v>1060</v>
      </c>
      <c r="C55" s="85"/>
      <c r="D55" s="88">
        <v>0</v>
      </c>
      <c r="E55" s="85"/>
      <c r="F55" s="73">
        <f>E55-D55</f>
        <v>0</v>
      </c>
      <c r="G55" s="86" t="e">
        <f>E55/D55*100</f>
        <v>#DIV/0!</v>
      </c>
      <c r="H55" s="75"/>
    </row>
    <row r="56" spans="1:8">
      <c r="A56" s="76" t="s">
        <v>51</v>
      </c>
      <c r="B56" s="77">
        <v>1061</v>
      </c>
      <c r="C56" s="85">
        <v>200</v>
      </c>
      <c r="D56" s="88">
        <v>0</v>
      </c>
      <c r="E56" s="85"/>
      <c r="F56" s="73"/>
      <c r="G56" s="74"/>
      <c r="H56" s="75"/>
    </row>
    <row r="57" spans="1:8" ht="31">
      <c r="A57" s="76" t="s">
        <v>110</v>
      </c>
      <c r="B57" s="77">
        <v>1062</v>
      </c>
      <c r="C57" s="85">
        <f>SUM(C58:C67)</f>
        <v>1203</v>
      </c>
      <c r="D57" s="85">
        <f>SUM(D58:D67)</f>
        <v>1149.42776</v>
      </c>
      <c r="E57" s="85">
        <f>SUM(E58:E67)</f>
        <v>1139</v>
      </c>
      <c r="F57" s="73">
        <f>E57-D57</f>
        <v>-10.427760000000035</v>
      </c>
      <c r="G57" s="74">
        <f>E57/D57*100</f>
        <v>99.092786831596968</v>
      </c>
      <c r="H57" s="75"/>
    </row>
    <row r="58" spans="1:8">
      <c r="A58" s="76" t="s">
        <v>65</v>
      </c>
      <c r="B58" s="69" t="s">
        <v>387</v>
      </c>
      <c r="C58" s="87">
        <v>61</v>
      </c>
      <c r="D58" s="88">
        <v>120</v>
      </c>
      <c r="E58" s="87">
        <f>108</f>
        <v>108</v>
      </c>
      <c r="F58" s="73"/>
      <c r="G58" s="74"/>
      <c r="H58" s="88"/>
    </row>
    <row r="59" spans="1:8">
      <c r="A59" s="76" t="s">
        <v>441</v>
      </c>
      <c r="B59" s="69" t="s">
        <v>388</v>
      </c>
      <c r="C59" s="87">
        <v>45</v>
      </c>
      <c r="D59" s="88">
        <v>150</v>
      </c>
      <c r="E59" s="87">
        <f>3+49</f>
        <v>52</v>
      </c>
      <c r="F59" s="73"/>
      <c r="G59" s="74"/>
      <c r="H59" s="88"/>
    </row>
    <row r="60" spans="1:8">
      <c r="A60" s="76" t="s">
        <v>389</v>
      </c>
      <c r="B60" s="69" t="s">
        <v>390</v>
      </c>
      <c r="C60" s="87">
        <v>255</v>
      </c>
      <c r="D60" s="88">
        <v>300</v>
      </c>
      <c r="E60" s="87">
        <v>254</v>
      </c>
      <c r="F60" s="73"/>
      <c r="G60" s="74"/>
      <c r="H60" s="88"/>
    </row>
    <row r="61" spans="1:8">
      <c r="A61" s="76" t="s">
        <v>563</v>
      </c>
      <c r="B61" s="69" t="s">
        <v>391</v>
      </c>
      <c r="C61" s="87">
        <v>15</v>
      </c>
      <c r="D61" s="88">
        <v>86</v>
      </c>
      <c r="E61" s="87">
        <f>3+7+18+20+4+5</f>
        <v>57</v>
      </c>
      <c r="F61" s="89"/>
      <c r="G61" s="88"/>
      <c r="H61" s="88"/>
    </row>
    <row r="62" spans="1:8">
      <c r="A62" s="76" t="s">
        <v>392</v>
      </c>
      <c r="B62" s="69" t="s">
        <v>393</v>
      </c>
      <c r="C62" s="87">
        <v>5</v>
      </c>
      <c r="D62" s="88">
        <v>7</v>
      </c>
      <c r="E62" s="87">
        <v>6</v>
      </c>
      <c r="F62" s="89"/>
      <c r="G62" s="88"/>
      <c r="H62" s="88"/>
    </row>
    <row r="63" spans="1:8">
      <c r="A63" s="76" t="s">
        <v>383</v>
      </c>
      <c r="B63" s="69" t="s">
        <v>394</v>
      </c>
      <c r="C63" s="87">
        <v>555</v>
      </c>
      <c r="D63" s="88">
        <v>328.42775999999998</v>
      </c>
      <c r="E63" s="87">
        <v>546</v>
      </c>
      <c r="F63" s="89"/>
      <c r="G63" s="88"/>
      <c r="H63" s="88"/>
    </row>
    <row r="64" spans="1:8">
      <c r="A64" s="76" t="s">
        <v>395</v>
      </c>
      <c r="B64" s="69" t="s">
        <v>396</v>
      </c>
      <c r="C64" s="87"/>
      <c r="D64" s="88">
        <v>5</v>
      </c>
      <c r="E64" s="87"/>
      <c r="F64" s="89"/>
      <c r="G64" s="88"/>
      <c r="H64" s="88"/>
    </row>
    <row r="65" spans="1:8">
      <c r="A65" s="76" t="s">
        <v>543</v>
      </c>
      <c r="B65" s="69" t="s">
        <v>442</v>
      </c>
      <c r="C65" s="87">
        <v>262</v>
      </c>
      <c r="D65" s="88">
        <v>150</v>
      </c>
      <c r="E65" s="87">
        <v>42</v>
      </c>
      <c r="F65" s="89"/>
      <c r="G65" s="88"/>
      <c r="H65" s="88"/>
    </row>
    <row r="66" spans="1:8" ht="31">
      <c r="A66" s="76" t="s">
        <v>544</v>
      </c>
      <c r="B66" s="69" t="s">
        <v>456</v>
      </c>
      <c r="C66" s="87">
        <v>5</v>
      </c>
      <c r="D66" s="88">
        <v>3</v>
      </c>
      <c r="E66" s="87">
        <f>4+3</f>
        <v>7</v>
      </c>
      <c r="F66" s="89"/>
      <c r="G66" s="88"/>
      <c r="H66" s="88"/>
    </row>
    <row r="67" spans="1:8" ht="31">
      <c r="A67" s="76" t="s">
        <v>555</v>
      </c>
      <c r="B67" s="69" t="s">
        <v>554</v>
      </c>
      <c r="C67" s="87"/>
      <c r="D67" s="87"/>
      <c r="E67" s="87">
        <v>67</v>
      </c>
      <c r="F67" s="89"/>
      <c r="G67" s="88"/>
      <c r="H67" s="88"/>
    </row>
    <row r="68" spans="1:8">
      <c r="A68" s="76" t="s">
        <v>224</v>
      </c>
      <c r="B68" s="77">
        <v>1070</v>
      </c>
      <c r="C68" s="84">
        <f>SUM(C69:C74)</f>
        <v>2514</v>
      </c>
      <c r="D68" s="84">
        <f>SUM(D69:D74)</f>
        <v>2984.1564799999996</v>
      </c>
      <c r="E68" s="84">
        <f>SUM(E69:E74)</f>
        <v>2010</v>
      </c>
      <c r="F68" s="73">
        <f t="shared" ref="F68:F74" si="3">E68-D68</f>
        <v>-974.15647999999965</v>
      </c>
      <c r="G68" s="74">
        <f t="shared" ref="G68:G74" si="4">E68/D68*100</f>
        <v>67.355717217617226</v>
      </c>
      <c r="H68" s="75"/>
    </row>
    <row r="69" spans="1:8">
      <c r="A69" s="76" t="s">
        <v>184</v>
      </c>
      <c r="B69" s="77">
        <v>1071</v>
      </c>
      <c r="C69" s="84"/>
      <c r="D69" s="88"/>
      <c r="E69" s="84"/>
      <c r="F69" s="73">
        <f t="shared" si="3"/>
        <v>0</v>
      </c>
      <c r="G69" s="86" t="e">
        <f t="shared" si="4"/>
        <v>#DIV/0!</v>
      </c>
      <c r="H69" s="75"/>
    </row>
    <row r="70" spans="1:8">
      <c r="A70" s="76" t="s">
        <v>185</v>
      </c>
      <c r="B70" s="77">
        <v>1072</v>
      </c>
      <c r="C70" s="84"/>
      <c r="D70" s="88"/>
      <c r="E70" s="84"/>
      <c r="F70" s="73">
        <f t="shared" si="3"/>
        <v>0</v>
      </c>
      <c r="G70" s="86" t="e">
        <f t="shared" si="4"/>
        <v>#DIV/0!</v>
      </c>
      <c r="H70" s="75"/>
    </row>
    <row r="71" spans="1:8">
      <c r="A71" s="76" t="s">
        <v>40</v>
      </c>
      <c r="B71" s="77">
        <v>1073</v>
      </c>
      <c r="C71" s="84">
        <v>1509</v>
      </c>
      <c r="D71" s="88">
        <v>1858.7159999999999</v>
      </c>
      <c r="E71" s="84">
        <v>1084</v>
      </c>
      <c r="F71" s="73">
        <f t="shared" si="3"/>
        <v>-774.71599999999989</v>
      </c>
      <c r="G71" s="74">
        <f t="shared" si="4"/>
        <v>58.319829387598752</v>
      </c>
      <c r="H71" s="75"/>
    </row>
    <row r="72" spans="1:8" ht="31">
      <c r="A72" s="76" t="s">
        <v>64</v>
      </c>
      <c r="B72" s="77">
        <v>1074</v>
      </c>
      <c r="C72" s="84">
        <v>77</v>
      </c>
      <c r="D72" s="88">
        <v>70</v>
      </c>
      <c r="E72" s="84">
        <f>38+13</f>
        <v>51</v>
      </c>
      <c r="F72" s="73">
        <f t="shared" si="3"/>
        <v>-19</v>
      </c>
      <c r="G72" s="74">
        <f t="shared" si="4"/>
        <v>72.857142857142847</v>
      </c>
      <c r="H72" s="75"/>
    </row>
    <row r="73" spans="1:8">
      <c r="A73" s="76" t="s">
        <v>79</v>
      </c>
      <c r="B73" s="77">
        <v>1075</v>
      </c>
      <c r="C73" s="84"/>
      <c r="D73" s="88"/>
      <c r="E73" s="84"/>
      <c r="F73" s="73">
        <f t="shared" si="3"/>
        <v>0</v>
      </c>
      <c r="G73" s="86" t="e">
        <f t="shared" si="4"/>
        <v>#DIV/0!</v>
      </c>
      <c r="H73" s="75"/>
    </row>
    <row r="74" spans="1:8">
      <c r="A74" s="76" t="s">
        <v>123</v>
      </c>
      <c r="B74" s="77">
        <v>1076</v>
      </c>
      <c r="C74" s="84">
        <f>SUM(C75:C81)</f>
        <v>928</v>
      </c>
      <c r="D74" s="84">
        <f>SUM(D75:D81)</f>
        <v>1055.44048</v>
      </c>
      <c r="E74" s="84">
        <f>SUM(E75:E81)</f>
        <v>875</v>
      </c>
      <c r="F74" s="73">
        <f t="shared" si="3"/>
        <v>-180.44047999999998</v>
      </c>
      <c r="G74" s="74">
        <f t="shared" si="4"/>
        <v>82.903774924380386</v>
      </c>
      <c r="H74" s="75"/>
    </row>
    <row r="75" spans="1:8">
      <c r="A75" s="76" t="s">
        <v>41</v>
      </c>
      <c r="B75" s="69" t="s">
        <v>397</v>
      </c>
      <c r="C75" s="79">
        <v>317</v>
      </c>
      <c r="D75" s="88">
        <v>408.91752000000002</v>
      </c>
      <c r="E75" s="79">
        <v>239</v>
      </c>
      <c r="F75" s="89"/>
      <c r="G75" s="88"/>
      <c r="H75" s="88"/>
    </row>
    <row r="76" spans="1:8">
      <c r="A76" s="76" t="s">
        <v>383</v>
      </c>
      <c r="B76" s="69" t="s">
        <v>398</v>
      </c>
      <c r="C76" s="79">
        <v>102</v>
      </c>
      <c r="D76" s="88">
        <v>111.52295999999998</v>
      </c>
      <c r="E76" s="79">
        <v>71</v>
      </c>
      <c r="F76" s="89"/>
      <c r="G76" s="88"/>
      <c r="H76" s="88"/>
    </row>
    <row r="77" spans="1:8">
      <c r="A77" s="76" t="s">
        <v>399</v>
      </c>
      <c r="B77" s="69" t="s">
        <v>400</v>
      </c>
      <c r="C77" s="79">
        <v>125</v>
      </c>
      <c r="D77" s="88">
        <v>36</v>
      </c>
      <c r="E77" s="79">
        <v>36</v>
      </c>
      <c r="F77" s="89"/>
      <c r="G77" s="88"/>
      <c r="H77" s="88"/>
    </row>
    <row r="78" spans="1:8">
      <c r="A78" s="76" t="s">
        <v>65</v>
      </c>
      <c r="B78" s="69" t="s">
        <v>401</v>
      </c>
      <c r="C78" s="79">
        <v>199</v>
      </c>
      <c r="D78" s="88">
        <v>300</v>
      </c>
      <c r="E78" s="79">
        <v>408</v>
      </c>
      <c r="F78" s="89"/>
      <c r="G78" s="88"/>
      <c r="H78" s="88"/>
    </row>
    <row r="79" spans="1:8">
      <c r="A79" s="76" t="s">
        <v>494</v>
      </c>
      <c r="B79" s="69" t="s">
        <v>402</v>
      </c>
      <c r="C79" s="79"/>
      <c r="D79" s="88">
        <v>3</v>
      </c>
      <c r="E79" s="79"/>
      <c r="F79" s="89"/>
      <c r="G79" s="88"/>
      <c r="H79" s="88"/>
    </row>
    <row r="80" spans="1:8">
      <c r="A80" s="76" t="s">
        <v>511</v>
      </c>
      <c r="B80" s="69" t="s">
        <v>404</v>
      </c>
      <c r="C80" s="79">
        <v>13</v>
      </c>
      <c r="D80" s="79"/>
      <c r="E80" s="79">
        <f>14</f>
        <v>14</v>
      </c>
      <c r="F80" s="89"/>
      <c r="G80" s="88"/>
      <c r="H80" s="88"/>
    </row>
    <row r="81" spans="1:8">
      <c r="A81" s="76" t="s">
        <v>403</v>
      </c>
      <c r="B81" s="69" t="s">
        <v>512</v>
      </c>
      <c r="C81" s="79">
        <f>SUM(C82:C88)</f>
        <v>172</v>
      </c>
      <c r="D81" s="79">
        <f>SUM(D82:D88)</f>
        <v>196</v>
      </c>
      <c r="E81" s="79">
        <f>SUM(E82:E88)</f>
        <v>107</v>
      </c>
      <c r="F81" s="89"/>
      <c r="G81" s="88"/>
      <c r="H81" s="88"/>
    </row>
    <row r="82" spans="1:8">
      <c r="A82" s="76" t="s">
        <v>405</v>
      </c>
      <c r="B82" s="69" t="s">
        <v>533</v>
      </c>
      <c r="C82" s="79"/>
      <c r="D82" s="88">
        <v>3</v>
      </c>
      <c r="E82" s="79">
        <v>4</v>
      </c>
      <c r="F82" s="89"/>
      <c r="G82" s="88"/>
      <c r="H82" s="88"/>
    </row>
    <row r="83" spans="1:8">
      <c r="A83" s="76" t="s">
        <v>392</v>
      </c>
      <c r="B83" s="69" t="s">
        <v>534</v>
      </c>
      <c r="C83" s="79">
        <v>6</v>
      </c>
      <c r="D83" s="88">
        <v>11</v>
      </c>
      <c r="E83" s="79">
        <v>30</v>
      </c>
      <c r="F83" s="89"/>
      <c r="G83" s="88"/>
      <c r="H83" s="88"/>
    </row>
    <row r="84" spans="1:8">
      <c r="A84" s="76" t="s">
        <v>495</v>
      </c>
      <c r="B84" s="69" t="s">
        <v>535</v>
      </c>
      <c r="C84" s="79">
        <v>7</v>
      </c>
      <c r="D84" s="88">
        <v>12</v>
      </c>
      <c r="E84" s="79">
        <v>18</v>
      </c>
      <c r="F84" s="89"/>
      <c r="G84" s="88"/>
      <c r="H84" s="88"/>
    </row>
    <row r="85" spans="1:8">
      <c r="A85" s="76" t="s">
        <v>510</v>
      </c>
      <c r="B85" s="69" t="s">
        <v>536</v>
      </c>
      <c r="C85" s="79">
        <v>5</v>
      </c>
      <c r="D85" s="88">
        <v>6</v>
      </c>
      <c r="E85" s="79">
        <f>2+10</f>
        <v>12</v>
      </c>
      <c r="F85" s="89"/>
      <c r="G85" s="88"/>
      <c r="H85" s="88"/>
    </row>
    <row r="86" spans="1:8">
      <c r="A86" s="76" t="s">
        <v>46</v>
      </c>
      <c r="B86" s="69" t="s">
        <v>537</v>
      </c>
      <c r="C86" s="79">
        <v>135</v>
      </c>
      <c r="D86" s="88">
        <v>120</v>
      </c>
      <c r="E86" s="79">
        <f>9+18</f>
        <v>27</v>
      </c>
      <c r="F86" s="89"/>
      <c r="G86" s="88"/>
      <c r="H86" s="88"/>
    </row>
    <row r="87" spans="1:8">
      <c r="A87" s="76" t="s">
        <v>474</v>
      </c>
      <c r="B87" s="69" t="s">
        <v>538</v>
      </c>
      <c r="C87" s="79">
        <v>19</v>
      </c>
      <c r="D87" s="88">
        <v>40</v>
      </c>
      <c r="E87" s="79">
        <v>12</v>
      </c>
      <c r="F87" s="89"/>
      <c r="G87" s="88"/>
      <c r="H87" s="88"/>
    </row>
    <row r="88" spans="1:8">
      <c r="A88" s="76" t="s">
        <v>457</v>
      </c>
      <c r="B88" s="69" t="s">
        <v>539</v>
      </c>
      <c r="C88" s="79"/>
      <c r="D88" s="88">
        <v>4</v>
      </c>
      <c r="E88" s="79">
        <v>4</v>
      </c>
      <c r="F88" s="89"/>
      <c r="G88" s="88"/>
      <c r="H88" s="88"/>
    </row>
    <row r="89" spans="1:8" ht="31">
      <c r="A89" s="151" t="s">
        <v>80</v>
      </c>
      <c r="B89" s="77">
        <v>1080</v>
      </c>
      <c r="C89" s="94">
        <f>SUM(C90:C94)</f>
        <v>3185</v>
      </c>
      <c r="D89" s="94">
        <f>SUM(D90:D94)</f>
        <v>0</v>
      </c>
      <c r="E89" s="94">
        <f>SUM(E90:E94)</f>
        <v>1293</v>
      </c>
      <c r="F89" s="73">
        <f>E89-D89</f>
        <v>1293</v>
      </c>
      <c r="G89" s="86" t="e">
        <f>E89/D89*100</f>
        <v>#DIV/0!</v>
      </c>
      <c r="H89" s="78"/>
    </row>
    <row r="90" spans="1:8">
      <c r="A90" s="76" t="s">
        <v>73</v>
      </c>
      <c r="B90" s="77">
        <v>1081</v>
      </c>
      <c r="C90" s="84"/>
      <c r="D90" s="84"/>
      <c r="E90" s="84"/>
      <c r="F90" s="73"/>
      <c r="G90" s="74"/>
      <c r="H90" s="75"/>
    </row>
    <row r="91" spans="1:8">
      <c r="A91" s="76" t="s">
        <v>52</v>
      </c>
      <c r="B91" s="77">
        <v>1082</v>
      </c>
      <c r="C91" s="84"/>
      <c r="D91" s="84"/>
      <c r="E91" s="84"/>
      <c r="F91" s="73"/>
      <c r="G91" s="74"/>
      <c r="H91" s="75"/>
    </row>
    <row r="92" spans="1:8" ht="31">
      <c r="A92" s="76" t="s">
        <v>62</v>
      </c>
      <c r="B92" s="77">
        <v>1083</v>
      </c>
      <c r="C92" s="84"/>
      <c r="D92" s="84"/>
      <c r="E92" s="84"/>
      <c r="F92" s="73"/>
      <c r="G92" s="74"/>
      <c r="H92" s="75"/>
    </row>
    <row r="93" spans="1:8">
      <c r="A93" s="76" t="s">
        <v>214</v>
      </c>
      <c r="B93" s="77">
        <v>1084</v>
      </c>
      <c r="C93" s="84"/>
      <c r="D93" s="84"/>
      <c r="E93" s="84"/>
      <c r="F93" s="73"/>
      <c r="G93" s="74"/>
      <c r="H93" s="75"/>
    </row>
    <row r="94" spans="1:8">
      <c r="A94" s="76" t="s">
        <v>258</v>
      </c>
      <c r="B94" s="77">
        <v>1085</v>
      </c>
      <c r="C94" s="84">
        <f>SUM(C95:C100)</f>
        <v>3185</v>
      </c>
      <c r="D94" s="84">
        <f>SUM(D95:D100)</f>
        <v>0</v>
      </c>
      <c r="E94" s="84">
        <f>SUM(E95:E100)</f>
        <v>1293</v>
      </c>
      <c r="F94" s="73">
        <f>E94-D94</f>
        <v>1293</v>
      </c>
      <c r="G94" s="86" t="e">
        <f>E94/D94*100</f>
        <v>#DIV/0!</v>
      </c>
      <c r="H94" s="75"/>
    </row>
    <row r="95" spans="1:8">
      <c r="A95" s="90" t="s">
        <v>406</v>
      </c>
      <c r="B95" s="91" t="s">
        <v>407</v>
      </c>
      <c r="C95" s="79">
        <v>57</v>
      </c>
      <c r="D95" s="79"/>
      <c r="E95" s="79">
        <v>119</v>
      </c>
      <c r="F95" s="89"/>
      <c r="G95" s="88"/>
      <c r="H95" s="88"/>
    </row>
    <row r="96" spans="1:8">
      <c r="A96" s="90" t="s">
        <v>473</v>
      </c>
      <c r="B96" s="91" t="s">
        <v>408</v>
      </c>
      <c r="C96" s="79">
        <v>36</v>
      </c>
      <c r="D96" s="79"/>
      <c r="E96" s="79">
        <v>91</v>
      </c>
      <c r="F96" s="89"/>
      <c r="G96" s="88"/>
      <c r="H96" s="88"/>
    </row>
    <row r="97" spans="1:8">
      <c r="A97" s="90" t="s">
        <v>418</v>
      </c>
      <c r="B97" s="91" t="s">
        <v>409</v>
      </c>
      <c r="C97" s="79"/>
      <c r="D97" s="79"/>
      <c r="E97" s="79"/>
      <c r="F97" s="89"/>
      <c r="G97" s="88"/>
      <c r="H97" s="88"/>
    </row>
    <row r="98" spans="1:8" ht="31">
      <c r="A98" s="90" t="s">
        <v>513</v>
      </c>
      <c r="B98" s="91" t="s">
        <v>410</v>
      </c>
      <c r="C98" s="79">
        <v>2874</v>
      </c>
      <c r="D98" s="79"/>
      <c r="E98" s="79">
        <v>1075</v>
      </c>
      <c r="F98" s="89"/>
      <c r="G98" s="88"/>
      <c r="H98" s="88"/>
    </row>
    <row r="99" spans="1:8">
      <c r="A99" s="90" t="s">
        <v>411</v>
      </c>
      <c r="B99" s="91" t="s">
        <v>412</v>
      </c>
      <c r="C99" s="79"/>
      <c r="D99" s="79"/>
      <c r="E99" s="79">
        <v>3</v>
      </c>
      <c r="F99" s="89"/>
      <c r="G99" s="88"/>
      <c r="H99" s="88"/>
    </row>
    <row r="100" spans="1:8" ht="31">
      <c r="A100" s="90" t="s">
        <v>551</v>
      </c>
      <c r="B100" s="91" t="s">
        <v>413</v>
      </c>
      <c r="C100" s="79">
        <v>218</v>
      </c>
      <c r="D100" s="79"/>
      <c r="E100" s="79">
        <f>2+3</f>
        <v>5</v>
      </c>
      <c r="F100" s="89"/>
      <c r="G100" s="88"/>
      <c r="H100" s="88"/>
    </row>
    <row r="101" spans="1:8" ht="31">
      <c r="A101" s="76" t="s">
        <v>4</v>
      </c>
      <c r="B101" s="77">
        <v>1100</v>
      </c>
      <c r="C101" s="94">
        <f>C31+C32-C35-C68-C89</f>
        <v>-579</v>
      </c>
      <c r="D101" s="94">
        <f>D31+D32-D35-D68-D89</f>
        <v>3634.3846400000002</v>
      </c>
      <c r="E101" s="94">
        <f>E31+E32-E35-E68-E89</f>
        <v>-2696.0999999999985</v>
      </c>
      <c r="F101" s="73">
        <f>E101-D101</f>
        <v>-6330.4846399999988</v>
      </c>
      <c r="G101" s="74">
        <f>E101/D101*100</f>
        <v>-74.183122235515455</v>
      </c>
      <c r="H101" s="78"/>
    </row>
    <row r="102" spans="1:8">
      <c r="A102" s="76" t="s">
        <v>108</v>
      </c>
      <c r="B102" s="77">
        <v>1110</v>
      </c>
      <c r="C102" s="84"/>
      <c r="D102" s="84"/>
      <c r="E102" s="84"/>
      <c r="F102" s="73"/>
      <c r="G102" s="74"/>
      <c r="H102" s="75"/>
    </row>
    <row r="103" spans="1:8">
      <c r="A103" s="76" t="s">
        <v>109</v>
      </c>
      <c r="B103" s="77">
        <v>1120</v>
      </c>
      <c r="C103" s="84">
        <f>C104</f>
        <v>1</v>
      </c>
      <c r="D103" s="84">
        <f>D104</f>
        <v>0</v>
      </c>
      <c r="E103" s="84">
        <f>E104</f>
        <v>1</v>
      </c>
      <c r="F103" s="73"/>
      <c r="G103" s="74"/>
      <c r="H103" s="75"/>
    </row>
    <row r="104" spans="1:8">
      <c r="A104" s="90" t="s">
        <v>460</v>
      </c>
      <c r="B104" s="69" t="s">
        <v>414</v>
      </c>
      <c r="C104" s="79">
        <v>1</v>
      </c>
      <c r="D104" s="79"/>
      <c r="E104" s="79">
        <v>1</v>
      </c>
      <c r="F104" s="89"/>
      <c r="G104" s="88"/>
      <c r="H104" s="88"/>
    </row>
    <row r="105" spans="1:8" ht="31">
      <c r="A105" s="76" t="s">
        <v>111</v>
      </c>
      <c r="B105" s="77">
        <v>1130</v>
      </c>
      <c r="C105" s="84"/>
      <c r="D105" s="84"/>
      <c r="E105" s="84"/>
      <c r="F105" s="73"/>
      <c r="G105" s="74"/>
      <c r="H105" s="75"/>
    </row>
    <row r="106" spans="1:8">
      <c r="A106" s="76" t="s">
        <v>445</v>
      </c>
      <c r="B106" s="77">
        <v>1140</v>
      </c>
      <c r="C106" s="84"/>
      <c r="D106" s="84"/>
      <c r="E106" s="84"/>
      <c r="F106" s="73"/>
      <c r="G106" s="74"/>
      <c r="H106" s="75"/>
    </row>
    <row r="107" spans="1:8">
      <c r="A107" s="76" t="s">
        <v>215</v>
      </c>
      <c r="B107" s="77">
        <v>1150</v>
      </c>
      <c r="C107" s="79">
        <f>SUM(C108:C111)</f>
        <v>1141</v>
      </c>
      <c r="D107" s="79">
        <f>SUM(D108:D111)</f>
        <v>1128</v>
      </c>
      <c r="E107" s="79">
        <f>SUM(E108:E111)</f>
        <v>1991</v>
      </c>
      <c r="F107" s="73">
        <f>E107-D107</f>
        <v>863</v>
      </c>
      <c r="G107" s="74">
        <f>E107/D107*100</f>
        <v>176.50709219858157</v>
      </c>
      <c r="H107" s="75"/>
    </row>
    <row r="108" spans="1:8">
      <c r="A108" s="76" t="s">
        <v>453</v>
      </c>
      <c r="B108" s="77" t="s">
        <v>415</v>
      </c>
      <c r="C108" s="92"/>
      <c r="D108" s="92"/>
      <c r="E108" s="92"/>
      <c r="F108" s="73"/>
      <c r="G108" s="74"/>
      <c r="H108" s="75"/>
    </row>
    <row r="109" spans="1:8">
      <c r="A109" s="76" t="s">
        <v>446</v>
      </c>
      <c r="B109" s="77" t="s">
        <v>437</v>
      </c>
      <c r="C109" s="92">
        <v>741</v>
      </c>
      <c r="D109" s="92">
        <v>1128</v>
      </c>
      <c r="E109" s="92">
        <f>1387+302</f>
        <v>1689</v>
      </c>
      <c r="F109" s="73"/>
      <c r="G109" s="74"/>
      <c r="H109" s="75"/>
    </row>
    <row r="110" spans="1:8" ht="31">
      <c r="A110" s="76" t="s">
        <v>438</v>
      </c>
      <c r="B110" s="77" t="s">
        <v>444</v>
      </c>
      <c r="C110" s="92"/>
      <c r="D110" s="92"/>
      <c r="E110" s="92"/>
      <c r="F110" s="73"/>
      <c r="G110" s="74"/>
      <c r="H110" s="75"/>
    </row>
    <row r="111" spans="1:8" ht="31">
      <c r="A111" s="76" t="s">
        <v>458</v>
      </c>
      <c r="B111" s="77" t="s">
        <v>459</v>
      </c>
      <c r="C111" s="92">
        <v>400</v>
      </c>
      <c r="D111" s="92"/>
      <c r="E111" s="92">
        <v>302</v>
      </c>
      <c r="F111" s="73"/>
      <c r="G111" s="74"/>
      <c r="H111" s="75"/>
    </row>
    <row r="112" spans="1:8">
      <c r="A112" s="76" t="s">
        <v>214</v>
      </c>
      <c r="B112" s="77">
        <v>1151</v>
      </c>
      <c r="C112" s="84"/>
      <c r="D112" s="84"/>
      <c r="E112" s="84"/>
      <c r="F112" s="73"/>
      <c r="G112" s="74"/>
      <c r="H112" s="75"/>
    </row>
    <row r="113" spans="1:8" ht="18.5" customHeight="1">
      <c r="A113" s="76" t="s">
        <v>216</v>
      </c>
      <c r="B113" s="77">
        <v>1160</v>
      </c>
      <c r="C113" s="84">
        <f>C114+C115</f>
        <v>256</v>
      </c>
      <c r="D113" s="84">
        <f>D114+D115</f>
        <v>0</v>
      </c>
      <c r="E113" s="84">
        <f>E114+E115</f>
        <v>662</v>
      </c>
      <c r="F113" s="73">
        <f>E113-D113</f>
        <v>662</v>
      </c>
      <c r="G113" s="86" t="e">
        <f>E113/D113*100</f>
        <v>#DIV/0!</v>
      </c>
      <c r="H113" s="75"/>
    </row>
    <row r="114" spans="1:8" ht="31">
      <c r="A114" s="76" t="s">
        <v>545</v>
      </c>
      <c r="B114" s="77" t="s">
        <v>416</v>
      </c>
      <c r="C114" s="92">
        <v>44</v>
      </c>
      <c r="D114" s="92"/>
      <c r="E114" s="92"/>
      <c r="F114" s="73"/>
      <c r="G114" s="74"/>
      <c r="H114" s="75"/>
    </row>
    <row r="115" spans="1:8">
      <c r="A115" s="76" t="s">
        <v>564</v>
      </c>
      <c r="B115" s="77" t="s">
        <v>417</v>
      </c>
      <c r="C115" s="92">
        <v>212</v>
      </c>
      <c r="D115" s="92"/>
      <c r="E115" s="92">
        <v>662</v>
      </c>
      <c r="F115" s="73"/>
      <c r="G115" s="74"/>
      <c r="H115" s="75"/>
    </row>
    <row r="116" spans="1:8">
      <c r="A116" s="76" t="s">
        <v>214</v>
      </c>
      <c r="B116" s="77">
        <v>1161</v>
      </c>
      <c r="C116" s="84"/>
      <c r="D116" s="84"/>
      <c r="E116" s="84"/>
      <c r="F116" s="73"/>
      <c r="G116" s="74"/>
      <c r="H116" s="75"/>
    </row>
    <row r="117" spans="1:8">
      <c r="A117" s="76" t="s">
        <v>96</v>
      </c>
      <c r="B117" s="77">
        <v>1170</v>
      </c>
      <c r="C117" s="94">
        <f>C101+C102+C103-C105-C106+C107-C113</f>
        <v>307</v>
      </c>
      <c r="D117" s="94">
        <f>D101+D102+D103-D105-D106+D107-D113</f>
        <v>4762.3846400000002</v>
      </c>
      <c r="E117" s="94">
        <f>E101+E102+E103-E105-E106+E107-E113</f>
        <v>-1366.0999999999985</v>
      </c>
      <c r="F117" s="73">
        <f>E117-D117</f>
        <v>-6128.4846399999988</v>
      </c>
      <c r="G117" s="74">
        <f>E117/D117*100</f>
        <v>-28.685209265247391</v>
      </c>
      <c r="H117" s="78"/>
    </row>
    <row r="118" spans="1:8">
      <c r="A118" s="76" t="s">
        <v>137</v>
      </c>
      <c r="B118" s="77">
        <v>1180</v>
      </c>
      <c r="C118" s="84"/>
      <c r="D118" s="84">
        <v>857</v>
      </c>
      <c r="E118" s="84"/>
      <c r="F118" s="73">
        <f>E118-D118</f>
        <v>-857</v>
      </c>
      <c r="G118" s="86">
        <f>E118/D118*100</f>
        <v>0</v>
      </c>
      <c r="H118" s="75"/>
    </row>
    <row r="119" spans="1:8" ht="31">
      <c r="A119" s="76" t="s">
        <v>138</v>
      </c>
      <c r="B119" s="77">
        <v>1190</v>
      </c>
      <c r="C119" s="84"/>
      <c r="D119" s="84"/>
      <c r="E119" s="84"/>
      <c r="F119" s="73"/>
      <c r="G119" s="74"/>
      <c r="H119" s="75"/>
    </row>
    <row r="120" spans="1:8" ht="31">
      <c r="A120" s="76" t="s">
        <v>97</v>
      </c>
      <c r="B120" s="77">
        <v>1200</v>
      </c>
      <c r="C120" s="94">
        <f>C117-C118</f>
        <v>307</v>
      </c>
      <c r="D120" s="94">
        <f>D117-D118</f>
        <v>3905.3846400000002</v>
      </c>
      <c r="E120" s="94">
        <f>E117-E118</f>
        <v>-1366.0999999999985</v>
      </c>
      <c r="F120" s="73">
        <f>E120-D120</f>
        <v>-5271.4846399999988</v>
      </c>
      <c r="G120" s="74">
        <f>E120/D120*100</f>
        <v>-34.979909174836067</v>
      </c>
      <c r="H120" s="78"/>
    </row>
    <row r="121" spans="1:8">
      <c r="A121" s="76" t="s">
        <v>24</v>
      </c>
      <c r="B121" s="69">
        <v>1201</v>
      </c>
      <c r="C121" s="79">
        <f>C120</f>
        <v>307</v>
      </c>
      <c r="D121" s="79">
        <f>D120</f>
        <v>3905.3846400000002</v>
      </c>
      <c r="E121" s="79">
        <f>E120</f>
        <v>-1366.0999999999985</v>
      </c>
      <c r="F121" s="82"/>
      <c r="G121" s="83"/>
      <c r="H121" s="80"/>
    </row>
    <row r="122" spans="1:8">
      <c r="A122" s="76" t="s">
        <v>25</v>
      </c>
      <c r="B122" s="69">
        <v>1202</v>
      </c>
      <c r="C122" s="79"/>
      <c r="D122" s="79"/>
      <c r="E122" s="79"/>
      <c r="F122" s="82"/>
      <c r="G122" s="83"/>
      <c r="H122" s="80"/>
    </row>
    <row r="123" spans="1:8">
      <c r="A123" s="76" t="s">
        <v>259</v>
      </c>
      <c r="B123" s="77">
        <v>1210</v>
      </c>
      <c r="C123" s="84"/>
      <c r="D123" s="84"/>
      <c r="E123" s="84"/>
      <c r="F123" s="73"/>
      <c r="G123" s="74"/>
      <c r="H123" s="75"/>
    </row>
    <row r="124" spans="1:8" ht="15.65" customHeight="1">
      <c r="A124" s="115" t="s">
        <v>272</v>
      </c>
      <c r="B124" s="115"/>
      <c r="C124" s="115"/>
      <c r="D124" s="115"/>
      <c r="E124" s="115"/>
      <c r="F124" s="115"/>
      <c r="G124" s="115"/>
      <c r="H124" s="115"/>
    </row>
    <row r="125" spans="1:8" ht="31">
      <c r="A125" s="1" t="s">
        <v>273</v>
      </c>
      <c r="B125" s="69">
        <v>1300</v>
      </c>
      <c r="C125" s="93">
        <f>C32-C89</f>
        <v>17849</v>
      </c>
      <c r="D125" s="93">
        <f>D32-D89</f>
        <v>29417</v>
      </c>
      <c r="E125" s="93">
        <f>E32-E89</f>
        <v>14782</v>
      </c>
      <c r="F125" s="73">
        <f>E125-D125</f>
        <v>-14635</v>
      </c>
      <c r="G125" s="86">
        <f>E125/D125*100</f>
        <v>50.249855525716427</v>
      </c>
      <c r="H125" s="80"/>
    </row>
    <row r="126" spans="1:8" ht="62">
      <c r="A126" s="90" t="s">
        <v>274</v>
      </c>
      <c r="B126" s="69">
        <v>1310</v>
      </c>
      <c r="C126" s="93">
        <f>C102+C103-C105-C106</f>
        <v>1</v>
      </c>
      <c r="D126" s="93">
        <f>D102+D103-D105-D106</f>
        <v>0</v>
      </c>
      <c r="E126" s="93">
        <f>E102+E103-E105-E106</f>
        <v>1</v>
      </c>
      <c r="F126" s="73">
        <f>E126-D126</f>
        <v>1</v>
      </c>
      <c r="G126" s="86" t="e">
        <f>E126/D126*100</f>
        <v>#DIV/0!</v>
      </c>
      <c r="H126" s="80"/>
    </row>
    <row r="127" spans="1:8" ht="31">
      <c r="A127" s="1" t="s">
        <v>275</v>
      </c>
      <c r="B127" s="69">
        <v>1320</v>
      </c>
      <c r="C127" s="93">
        <f>C107-C113</f>
        <v>885</v>
      </c>
      <c r="D127" s="93">
        <f>D107-D113</f>
        <v>1128</v>
      </c>
      <c r="E127" s="93">
        <f>E107-E113</f>
        <v>1329</v>
      </c>
      <c r="F127" s="73">
        <f>E127-D127</f>
        <v>201</v>
      </c>
      <c r="G127" s="74">
        <f>E127/D127*100</f>
        <v>117.81914893617021</v>
      </c>
      <c r="H127" s="80"/>
    </row>
    <row r="128" spans="1:8" ht="31">
      <c r="A128" s="76" t="s">
        <v>362</v>
      </c>
      <c r="B128" s="77">
        <v>1330</v>
      </c>
      <c r="C128" s="94">
        <f>C9+C32+C102+C103+C107</f>
        <v>46544</v>
      </c>
      <c r="D128" s="94">
        <f>D9+D32+D102+D103+D107</f>
        <v>64373</v>
      </c>
      <c r="E128" s="94">
        <f>E9+E32+E102+E103+E107</f>
        <v>36499.9</v>
      </c>
      <c r="F128" s="73">
        <f>E128-D128</f>
        <v>-27873.1</v>
      </c>
      <c r="G128" s="74">
        <f>E128/D128*100</f>
        <v>56.700635359545146</v>
      </c>
      <c r="H128" s="75"/>
    </row>
    <row r="129" spans="1:8" ht="62">
      <c r="A129" s="76" t="s">
        <v>363</v>
      </c>
      <c r="B129" s="77">
        <v>1340</v>
      </c>
      <c r="C129" s="94">
        <f>C11+C35+C68+C89+C105+C113+C118</f>
        <v>46237</v>
      </c>
      <c r="D129" s="94">
        <f>D11+D35+D68+D89+D105+D113+D118</f>
        <v>60467.615359999996</v>
      </c>
      <c r="E129" s="94">
        <f>E11+E35+E68+E89+E105+E113+E118</f>
        <v>37866</v>
      </c>
      <c r="F129" s="73">
        <f>E129-D129</f>
        <v>-22601.615359999996</v>
      </c>
      <c r="G129" s="74">
        <f>E129/D129*100</f>
        <v>62.621950236603482</v>
      </c>
      <c r="H129" s="75"/>
    </row>
    <row r="130" spans="1:8">
      <c r="A130" s="342" t="s">
        <v>165</v>
      </c>
      <c r="B130" s="342"/>
      <c r="C130" s="342"/>
      <c r="D130" s="342"/>
      <c r="E130" s="342"/>
      <c r="F130" s="342"/>
      <c r="G130" s="342"/>
      <c r="H130" s="342"/>
    </row>
    <row r="131" spans="1:8" ht="31">
      <c r="A131" s="76" t="s">
        <v>276</v>
      </c>
      <c r="B131" s="77">
        <v>1400</v>
      </c>
      <c r="C131" s="94">
        <f>C101</f>
        <v>-579</v>
      </c>
      <c r="D131" s="94">
        <f>D101</f>
        <v>3634.3846400000002</v>
      </c>
      <c r="E131" s="94">
        <f>E101</f>
        <v>-2696.0999999999985</v>
      </c>
      <c r="F131" s="73">
        <f>E131-D131</f>
        <v>-6330.4846399999988</v>
      </c>
      <c r="G131" s="74">
        <f>E131/D131*100</f>
        <v>-74.183122235515455</v>
      </c>
      <c r="H131" s="75"/>
    </row>
    <row r="132" spans="1:8">
      <c r="A132" s="76" t="s">
        <v>277</v>
      </c>
      <c r="B132" s="77">
        <v>1401</v>
      </c>
      <c r="C132" s="94">
        <f>C143</f>
        <v>1214</v>
      </c>
      <c r="D132" s="94">
        <f>D143</f>
        <v>1128</v>
      </c>
      <c r="E132" s="92">
        <f>E143</f>
        <v>1505</v>
      </c>
      <c r="F132" s="73">
        <f>E132-D132</f>
        <v>377</v>
      </c>
      <c r="G132" s="74">
        <f>E132/D132*100</f>
        <v>133.42198581560282</v>
      </c>
      <c r="H132" s="75"/>
    </row>
    <row r="133" spans="1:8" ht="31">
      <c r="A133" s="76" t="s">
        <v>278</v>
      </c>
      <c r="B133" s="77">
        <v>1402</v>
      </c>
      <c r="C133" s="94"/>
      <c r="D133" s="94">
        <f>D34</f>
        <v>0</v>
      </c>
      <c r="E133" s="94">
        <f>E34</f>
        <v>0</v>
      </c>
      <c r="F133" s="73"/>
      <c r="G133" s="74"/>
      <c r="H133" s="75"/>
    </row>
    <row r="134" spans="1:8" ht="31">
      <c r="A134" s="76" t="s">
        <v>279</v>
      </c>
      <c r="B134" s="77">
        <v>1403</v>
      </c>
      <c r="C134" s="94"/>
      <c r="D134" s="94">
        <f>D93</f>
        <v>0</v>
      </c>
      <c r="E134" s="94">
        <f>E93</f>
        <v>0</v>
      </c>
      <c r="F134" s="73"/>
      <c r="G134" s="74"/>
      <c r="H134" s="75"/>
    </row>
    <row r="135" spans="1:8" ht="31">
      <c r="A135" s="76" t="s">
        <v>319</v>
      </c>
      <c r="B135" s="77">
        <v>1404</v>
      </c>
      <c r="C135" s="94"/>
      <c r="D135" s="94"/>
      <c r="E135" s="94"/>
      <c r="F135" s="73"/>
      <c r="G135" s="74"/>
      <c r="H135" s="75"/>
    </row>
    <row r="136" spans="1:8">
      <c r="A136" s="76" t="s">
        <v>141</v>
      </c>
      <c r="B136" s="77">
        <v>1410</v>
      </c>
      <c r="C136" s="94">
        <f>C131+C132-C133+C134-C135</f>
        <v>635</v>
      </c>
      <c r="D136" s="94">
        <f>D131+D132-D133+D134-D135</f>
        <v>4762.3846400000002</v>
      </c>
      <c r="E136" s="94">
        <f>E131+E132-E133+E134-E135</f>
        <v>-1191.0999999999985</v>
      </c>
      <c r="F136" s="73">
        <f>E136-D136</f>
        <v>-5953.4846399999988</v>
      </c>
      <c r="G136" s="74">
        <f>E136/D136*100</f>
        <v>-25.01057957384976</v>
      </c>
      <c r="H136" s="75"/>
    </row>
    <row r="137" spans="1:8">
      <c r="A137" s="145" t="s">
        <v>231</v>
      </c>
      <c r="B137" s="145"/>
      <c r="C137" s="145"/>
      <c r="D137" s="145"/>
      <c r="E137" s="145"/>
      <c r="F137" s="145"/>
      <c r="G137" s="145"/>
      <c r="H137" s="145"/>
    </row>
    <row r="138" spans="1:8">
      <c r="A138" s="76" t="s">
        <v>280</v>
      </c>
      <c r="B138" s="77">
        <v>1500</v>
      </c>
      <c r="C138" s="84">
        <f>C139+C140</f>
        <v>4261</v>
      </c>
      <c r="D138" s="84">
        <f>D139+D140</f>
        <v>5514</v>
      </c>
      <c r="E138" s="84">
        <f>E139+E140</f>
        <v>3808</v>
      </c>
      <c r="F138" s="73">
        <f t="shared" ref="F138:F145" si="5">E138-D138</f>
        <v>-1706</v>
      </c>
      <c r="G138" s="74">
        <f t="shared" ref="G138:G145" si="6">E138/D138*100</f>
        <v>69.060573086688422</v>
      </c>
      <c r="H138" s="75"/>
    </row>
    <row r="139" spans="1:8">
      <c r="A139" s="76" t="s">
        <v>281</v>
      </c>
      <c r="B139" s="69">
        <v>1501</v>
      </c>
      <c r="C139" s="79">
        <f>C12+C61</f>
        <v>82</v>
      </c>
      <c r="D139" s="79">
        <f>D12+D61</f>
        <v>160</v>
      </c>
      <c r="E139" s="79">
        <f>E12+E61</f>
        <v>166</v>
      </c>
      <c r="F139" s="73">
        <f t="shared" si="5"/>
        <v>6</v>
      </c>
      <c r="G139" s="74">
        <f t="shared" si="6"/>
        <v>103.75000000000001</v>
      </c>
      <c r="H139" s="80"/>
    </row>
    <row r="140" spans="1:8">
      <c r="A140" s="76" t="s">
        <v>28</v>
      </c>
      <c r="B140" s="69">
        <v>1502</v>
      </c>
      <c r="C140" s="79">
        <f>C13+C14+C58+C78</f>
        <v>4179</v>
      </c>
      <c r="D140" s="79">
        <f>D13+D14+D58+D78</f>
        <v>5354</v>
      </c>
      <c r="E140" s="79">
        <f>E13+E14+E58+E78</f>
        <v>3642</v>
      </c>
      <c r="F140" s="73">
        <f t="shared" si="5"/>
        <v>-1712</v>
      </c>
      <c r="G140" s="74">
        <f t="shared" si="6"/>
        <v>68.023907358983934</v>
      </c>
      <c r="H140" s="80"/>
    </row>
    <row r="141" spans="1:8">
      <c r="A141" s="76" t="s">
        <v>5</v>
      </c>
      <c r="B141" s="77">
        <v>1510</v>
      </c>
      <c r="C141" s="84">
        <f>C15+C43+C71</f>
        <v>23740</v>
      </c>
      <c r="D141" s="84">
        <f>D15+D43+D71</f>
        <v>37208.512000000002</v>
      </c>
      <c r="E141" s="84">
        <f>E15+E43+E71</f>
        <v>20300</v>
      </c>
      <c r="F141" s="73">
        <f t="shared" si="5"/>
        <v>-16908.512000000002</v>
      </c>
      <c r="G141" s="74">
        <f t="shared" si="6"/>
        <v>54.557408799362896</v>
      </c>
      <c r="H141" s="75"/>
    </row>
    <row r="142" spans="1:8">
      <c r="A142" s="76" t="s">
        <v>6</v>
      </c>
      <c r="B142" s="77">
        <v>1520</v>
      </c>
      <c r="C142" s="84">
        <f>C16+C44+C75</f>
        <v>5128</v>
      </c>
      <c r="D142" s="84">
        <f>D16+D44+D75</f>
        <v>8001.1526400000002</v>
      </c>
      <c r="E142" s="84">
        <f>E16+E44+E75+E96</f>
        <v>4476</v>
      </c>
      <c r="F142" s="73">
        <f t="shared" si="5"/>
        <v>-3525.1526400000002</v>
      </c>
      <c r="G142" s="74">
        <f t="shared" si="6"/>
        <v>55.941939885301331</v>
      </c>
      <c r="H142" s="75"/>
    </row>
    <row r="143" spans="1:8">
      <c r="A143" s="76" t="s">
        <v>7</v>
      </c>
      <c r="B143" s="77">
        <v>1530</v>
      </c>
      <c r="C143" s="92">
        <f>C18+C45+C72</f>
        <v>1214</v>
      </c>
      <c r="D143" s="92">
        <f>D18+D45+D72</f>
        <v>1128</v>
      </c>
      <c r="E143" s="92">
        <f>E18+E45+E72</f>
        <v>1505</v>
      </c>
      <c r="F143" s="73">
        <f t="shared" si="5"/>
        <v>377</v>
      </c>
      <c r="G143" s="74">
        <f t="shared" si="6"/>
        <v>133.42198581560282</v>
      </c>
      <c r="H143" s="75"/>
    </row>
    <row r="144" spans="1:8">
      <c r="A144" s="76" t="s">
        <v>29</v>
      </c>
      <c r="B144" s="77">
        <v>1540</v>
      </c>
      <c r="C144" s="84">
        <f>C11+C35+C68+C89-C138-C141-C142-C143</f>
        <v>11638</v>
      </c>
      <c r="D144" s="84">
        <f>D11+D35+D68+D89-D138-D141-D142-D143</f>
        <v>7758.9507199999935</v>
      </c>
      <c r="E144" s="84">
        <f>E11+E35+E68+E89-E138-E141-E142-E143</f>
        <v>7115</v>
      </c>
      <c r="F144" s="73">
        <f t="shared" si="5"/>
        <v>-643.95071999999345</v>
      </c>
      <c r="G144" s="74">
        <f t="shared" si="6"/>
        <v>91.700543755999092</v>
      </c>
      <c r="H144" s="75"/>
    </row>
    <row r="145" spans="1:8">
      <c r="A145" s="76" t="s">
        <v>58</v>
      </c>
      <c r="B145" s="77">
        <v>1550</v>
      </c>
      <c r="C145" s="94">
        <f>C138+C141+C142+C143+C144</f>
        <v>45981</v>
      </c>
      <c r="D145" s="94">
        <f>D138+D141+D142+D143+D144</f>
        <v>59610.615359999996</v>
      </c>
      <c r="E145" s="94">
        <f>E138+E141+E142+E143+E144</f>
        <v>37204</v>
      </c>
      <c r="F145" s="73">
        <f t="shared" si="5"/>
        <v>-22406.615359999996</v>
      </c>
      <c r="G145" s="74">
        <f t="shared" si="6"/>
        <v>62.411702639400502</v>
      </c>
      <c r="H145" s="75"/>
    </row>
    <row r="146" spans="1:8">
      <c r="A146" s="101"/>
      <c r="B146" s="95"/>
      <c r="C146" s="103"/>
      <c r="D146" s="152"/>
      <c r="E146" s="95"/>
      <c r="F146" s="153"/>
      <c r="G146" s="95"/>
      <c r="H146" s="95"/>
    </row>
    <row r="147" spans="1:8" ht="31">
      <c r="A147" s="101" t="s">
        <v>568</v>
      </c>
      <c r="B147" s="95"/>
      <c r="C147" s="96"/>
      <c r="D147" s="96"/>
      <c r="E147" s="97"/>
      <c r="F147" s="98" t="s">
        <v>557</v>
      </c>
      <c r="G147" s="96"/>
      <c r="H147" s="59"/>
    </row>
    <row r="148" spans="1:8">
      <c r="A148" s="99" t="s">
        <v>364</v>
      </c>
      <c r="B148" s="96"/>
      <c r="C148" s="100" t="s">
        <v>78</v>
      </c>
      <c r="D148" s="100"/>
      <c r="E148" s="96"/>
      <c r="F148" s="96" t="s">
        <v>102</v>
      </c>
      <c r="G148" s="96"/>
      <c r="H148" s="59"/>
    </row>
    <row r="149" spans="1:8">
      <c r="A149" s="101"/>
      <c r="B149" s="102"/>
      <c r="C149" s="103"/>
      <c r="D149" s="102"/>
      <c r="E149" s="102"/>
      <c r="F149" s="104"/>
      <c r="G149" s="102"/>
      <c r="H149" s="102"/>
    </row>
    <row r="150" spans="1:8">
      <c r="A150" s="105"/>
      <c r="B150" s="105"/>
      <c r="C150" s="105"/>
      <c r="D150" s="105"/>
      <c r="E150" s="105"/>
      <c r="F150" s="105"/>
      <c r="G150" s="105"/>
      <c r="H150" s="105"/>
    </row>
    <row r="151" spans="1:8">
      <c r="A151" s="106"/>
    </row>
    <row r="152" spans="1:8">
      <c r="A152" s="106"/>
    </row>
    <row r="153" spans="1:8">
      <c r="A153" s="106"/>
    </row>
    <row r="154" spans="1:8">
      <c r="A154" s="106"/>
    </row>
    <row r="155" spans="1:8">
      <c r="A155" s="106"/>
    </row>
    <row r="156" spans="1:8">
      <c r="A156" s="106"/>
    </row>
    <row r="157" spans="1:8">
      <c r="A157" s="106"/>
    </row>
    <row r="158" spans="1:8">
      <c r="A158" s="106"/>
    </row>
    <row r="159" spans="1:8">
      <c r="A159" s="106"/>
    </row>
    <row r="160" spans="1:8">
      <c r="A160" s="106"/>
    </row>
    <row r="161" spans="1:1">
      <c r="A161" s="106"/>
    </row>
    <row r="162" spans="1:1">
      <c r="A162" s="106"/>
    </row>
    <row r="163" spans="1:1">
      <c r="A163" s="106"/>
    </row>
    <row r="164" spans="1:1">
      <c r="A164" s="106"/>
    </row>
    <row r="165" spans="1:1">
      <c r="A165" s="106"/>
    </row>
    <row r="166" spans="1:1">
      <c r="A166" s="106"/>
    </row>
    <row r="167" spans="1:1">
      <c r="A167" s="106"/>
    </row>
    <row r="168" spans="1:1">
      <c r="A168" s="106"/>
    </row>
    <row r="169" spans="1:1">
      <c r="A169" s="106"/>
    </row>
    <row r="170" spans="1:1">
      <c r="A170" s="106"/>
    </row>
    <row r="171" spans="1:1">
      <c r="A171" s="106"/>
    </row>
    <row r="172" spans="1:1">
      <c r="A172" s="106"/>
    </row>
    <row r="173" spans="1:1">
      <c r="A173" s="106"/>
    </row>
    <row r="174" spans="1:1">
      <c r="A174" s="106"/>
    </row>
    <row r="175" spans="1:1">
      <c r="A175" s="106"/>
    </row>
    <row r="176" spans="1:1">
      <c r="A176" s="106"/>
    </row>
    <row r="177" spans="1:1">
      <c r="A177" s="106"/>
    </row>
    <row r="178" spans="1:1">
      <c r="A178" s="106"/>
    </row>
    <row r="179" spans="1:1">
      <c r="A179" s="106"/>
    </row>
    <row r="180" spans="1:1">
      <c r="A180" s="106"/>
    </row>
    <row r="181" spans="1:1">
      <c r="A181" s="106"/>
    </row>
    <row r="182" spans="1:1">
      <c r="A182" s="106"/>
    </row>
    <row r="183" spans="1:1">
      <c r="A183" s="106"/>
    </row>
    <row r="184" spans="1:1">
      <c r="A184" s="106"/>
    </row>
    <row r="185" spans="1:1">
      <c r="A185" s="106"/>
    </row>
    <row r="186" spans="1:1">
      <c r="A186" s="106"/>
    </row>
    <row r="187" spans="1:1">
      <c r="A187" s="106"/>
    </row>
    <row r="188" spans="1:1">
      <c r="A188" s="106"/>
    </row>
    <row r="189" spans="1:1">
      <c r="A189" s="106"/>
    </row>
    <row r="190" spans="1:1">
      <c r="A190" s="106"/>
    </row>
    <row r="191" spans="1:1">
      <c r="A191" s="106"/>
    </row>
    <row r="192" spans="1:1">
      <c r="A192" s="106"/>
    </row>
    <row r="193" spans="1:1">
      <c r="A193" s="106"/>
    </row>
    <row r="194" spans="1:1">
      <c r="A194" s="106"/>
    </row>
    <row r="195" spans="1:1">
      <c r="A195" s="106"/>
    </row>
    <row r="196" spans="1:1">
      <c r="A196" s="106"/>
    </row>
    <row r="197" spans="1:1">
      <c r="A197" s="106"/>
    </row>
    <row r="198" spans="1:1">
      <c r="A198" s="106"/>
    </row>
    <row r="199" spans="1:1">
      <c r="A199" s="106"/>
    </row>
    <row r="200" spans="1:1">
      <c r="A200" s="109"/>
    </row>
    <row r="201" spans="1:1">
      <c r="A201" s="109"/>
    </row>
    <row r="202" spans="1:1">
      <c r="A202" s="109"/>
    </row>
    <row r="203" spans="1:1">
      <c r="A203" s="109"/>
    </row>
    <row r="204" spans="1:1">
      <c r="A204" s="109"/>
    </row>
    <row r="205" spans="1:1">
      <c r="A205" s="109"/>
    </row>
    <row r="206" spans="1:1">
      <c r="A206" s="109"/>
    </row>
    <row r="207" spans="1:1">
      <c r="A207" s="109"/>
    </row>
    <row r="208" spans="1:1">
      <c r="A208" s="109"/>
    </row>
    <row r="209" spans="1:1">
      <c r="A209" s="109"/>
    </row>
    <row r="210" spans="1:1">
      <c r="A210" s="109"/>
    </row>
    <row r="211" spans="1:1">
      <c r="A211" s="109"/>
    </row>
    <row r="212" spans="1:1">
      <c r="A212" s="109"/>
    </row>
    <row r="213" spans="1:1">
      <c r="A213" s="109"/>
    </row>
    <row r="214" spans="1:1">
      <c r="A214" s="109"/>
    </row>
    <row r="215" spans="1:1">
      <c r="A215" s="109"/>
    </row>
    <row r="216" spans="1:1">
      <c r="A216" s="109"/>
    </row>
    <row r="217" spans="1:1">
      <c r="A217" s="109"/>
    </row>
    <row r="218" spans="1:1">
      <c r="A218" s="109"/>
    </row>
    <row r="219" spans="1:1">
      <c r="A219" s="109"/>
    </row>
    <row r="220" spans="1:1">
      <c r="A220" s="109"/>
    </row>
    <row r="221" spans="1:1">
      <c r="A221" s="109"/>
    </row>
    <row r="222" spans="1:1">
      <c r="A222" s="109"/>
    </row>
    <row r="223" spans="1:1">
      <c r="A223" s="109"/>
    </row>
    <row r="224" spans="1:1">
      <c r="A224" s="109"/>
    </row>
    <row r="225" spans="1:1">
      <c r="A225" s="109"/>
    </row>
    <row r="226" spans="1:1">
      <c r="A226" s="109"/>
    </row>
    <row r="227" spans="1:1">
      <c r="A227" s="109"/>
    </row>
    <row r="228" spans="1:1">
      <c r="A228" s="109"/>
    </row>
    <row r="229" spans="1:1">
      <c r="A229" s="109"/>
    </row>
    <row r="230" spans="1:1">
      <c r="A230" s="109"/>
    </row>
    <row r="231" spans="1:1">
      <c r="A231" s="109"/>
    </row>
    <row r="232" spans="1:1">
      <c r="A232" s="109"/>
    </row>
    <row r="233" spans="1:1">
      <c r="A233" s="109"/>
    </row>
    <row r="234" spans="1:1">
      <c r="A234" s="109"/>
    </row>
    <row r="235" spans="1:1">
      <c r="A235" s="109"/>
    </row>
    <row r="236" spans="1:1">
      <c r="A236" s="109"/>
    </row>
    <row r="237" spans="1:1">
      <c r="A237" s="109"/>
    </row>
    <row r="238" spans="1:1">
      <c r="A238" s="109"/>
    </row>
    <row r="239" spans="1:1">
      <c r="A239" s="109"/>
    </row>
    <row r="240" spans="1:1">
      <c r="A240" s="109"/>
    </row>
    <row r="241" spans="1:1">
      <c r="A241" s="109"/>
    </row>
    <row r="242" spans="1:1">
      <c r="A242" s="109"/>
    </row>
    <row r="243" spans="1:1">
      <c r="A243" s="109"/>
    </row>
    <row r="244" spans="1:1">
      <c r="A244" s="109"/>
    </row>
    <row r="245" spans="1:1">
      <c r="A245" s="109"/>
    </row>
    <row r="246" spans="1:1">
      <c r="A246" s="109"/>
    </row>
    <row r="247" spans="1:1">
      <c r="A247" s="109"/>
    </row>
    <row r="248" spans="1:1">
      <c r="A248" s="109"/>
    </row>
    <row r="249" spans="1:1">
      <c r="A249" s="109"/>
    </row>
    <row r="250" spans="1:1">
      <c r="A250" s="109"/>
    </row>
    <row r="251" spans="1:1">
      <c r="A251" s="109"/>
    </row>
    <row r="252" spans="1:1">
      <c r="A252" s="109"/>
    </row>
    <row r="253" spans="1:1">
      <c r="A253" s="109"/>
    </row>
    <row r="254" spans="1:1">
      <c r="A254" s="109"/>
    </row>
    <row r="255" spans="1:1">
      <c r="A255" s="109"/>
    </row>
    <row r="256" spans="1:1">
      <c r="A256" s="109"/>
    </row>
    <row r="257" spans="1:1">
      <c r="A257" s="109"/>
    </row>
    <row r="258" spans="1:1">
      <c r="A258" s="109"/>
    </row>
    <row r="259" spans="1:1">
      <c r="A259" s="109"/>
    </row>
    <row r="260" spans="1:1">
      <c r="A260" s="109"/>
    </row>
    <row r="261" spans="1:1">
      <c r="A261" s="109"/>
    </row>
    <row r="262" spans="1:1">
      <c r="A262" s="109"/>
    </row>
    <row r="263" spans="1:1">
      <c r="A263" s="109"/>
    </row>
    <row r="264" spans="1:1">
      <c r="A264" s="109"/>
    </row>
    <row r="265" spans="1:1">
      <c r="A265" s="109"/>
    </row>
    <row r="266" spans="1:1">
      <c r="A266" s="109"/>
    </row>
    <row r="267" spans="1:1">
      <c r="A267" s="109"/>
    </row>
    <row r="268" spans="1:1">
      <c r="A268" s="109"/>
    </row>
    <row r="269" spans="1:1">
      <c r="A269" s="109"/>
    </row>
    <row r="270" spans="1:1">
      <c r="A270" s="109"/>
    </row>
    <row r="271" spans="1:1">
      <c r="A271" s="109"/>
    </row>
    <row r="272" spans="1:1">
      <c r="A272" s="109"/>
    </row>
    <row r="273" spans="1:1">
      <c r="A273" s="109"/>
    </row>
    <row r="274" spans="1:1">
      <c r="A274" s="109"/>
    </row>
    <row r="275" spans="1:1">
      <c r="A275" s="109"/>
    </row>
    <row r="276" spans="1:1">
      <c r="A276" s="109"/>
    </row>
    <row r="277" spans="1:1">
      <c r="A277" s="109"/>
    </row>
    <row r="278" spans="1:1">
      <c r="A278" s="109"/>
    </row>
    <row r="279" spans="1:1">
      <c r="A279" s="109"/>
    </row>
    <row r="280" spans="1:1">
      <c r="A280" s="109"/>
    </row>
    <row r="281" spans="1:1">
      <c r="A281" s="109"/>
    </row>
    <row r="282" spans="1:1">
      <c r="A282" s="109"/>
    </row>
    <row r="283" spans="1:1">
      <c r="A283" s="109"/>
    </row>
    <row r="284" spans="1:1">
      <c r="A284" s="109"/>
    </row>
    <row r="285" spans="1:1">
      <c r="A285" s="109"/>
    </row>
    <row r="286" spans="1:1">
      <c r="A286" s="109"/>
    </row>
    <row r="287" spans="1:1">
      <c r="A287" s="109"/>
    </row>
    <row r="288" spans="1:1">
      <c r="A288" s="109"/>
    </row>
    <row r="289" spans="1:1">
      <c r="A289" s="109"/>
    </row>
    <row r="290" spans="1:1">
      <c r="A290" s="109"/>
    </row>
    <row r="291" spans="1:1">
      <c r="A291" s="109"/>
    </row>
    <row r="292" spans="1:1">
      <c r="A292" s="109"/>
    </row>
    <row r="293" spans="1:1">
      <c r="A293" s="109"/>
    </row>
    <row r="294" spans="1:1">
      <c r="A294" s="109"/>
    </row>
    <row r="295" spans="1:1">
      <c r="A295" s="109"/>
    </row>
    <row r="296" spans="1:1">
      <c r="A296" s="109"/>
    </row>
    <row r="297" spans="1:1">
      <c r="A297" s="109"/>
    </row>
    <row r="298" spans="1:1">
      <c r="A298" s="109"/>
    </row>
    <row r="299" spans="1:1">
      <c r="A299" s="109"/>
    </row>
    <row r="300" spans="1:1">
      <c r="A300" s="109"/>
    </row>
    <row r="301" spans="1:1">
      <c r="A301" s="109"/>
    </row>
    <row r="302" spans="1:1">
      <c r="A302" s="109"/>
    </row>
    <row r="303" spans="1:1">
      <c r="A303" s="109"/>
    </row>
    <row r="304" spans="1:1">
      <c r="A304" s="109"/>
    </row>
    <row r="305" spans="1:1">
      <c r="A305" s="109"/>
    </row>
    <row r="306" spans="1:1">
      <c r="A306" s="109"/>
    </row>
    <row r="307" spans="1:1">
      <c r="A307" s="109"/>
    </row>
    <row r="308" spans="1:1">
      <c r="A308" s="109"/>
    </row>
    <row r="309" spans="1:1">
      <c r="A309" s="109"/>
    </row>
    <row r="310" spans="1:1">
      <c r="A310" s="109"/>
    </row>
    <row r="311" spans="1:1">
      <c r="A311" s="109"/>
    </row>
    <row r="312" spans="1:1">
      <c r="A312" s="109"/>
    </row>
    <row r="313" spans="1:1">
      <c r="A313" s="109"/>
    </row>
    <row r="314" spans="1:1">
      <c r="A314" s="109"/>
    </row>
    <row r="315" spans="1:1">
      <c r="A315" s="109"/>
    </row>
    <row r="316" spans="1:1">
      <c r="A316" s="109"/>
    </row>
    <row r="317" spans="1:1">
      <c r="A317" s="109"/>
    </row>
    <row r="318" spans="1:1">
      <c r="A318" s="109"/>
    </row>
    <row r="319" spans="1:1">
      <c r="A319" s="109"/>
    </row>
    <row r="320" spans="1:1">
      <c r="A320" s="109"/>
    </row>
    <row r="321" spans="1:1">
      <c r="A321" s="109"/>
    </row>
    <row r="322" spans="1:1">
      <c r="A322" s="109"/>
    </row>
    <row r="323" spans="1:1">
      <c r="A323" s="109"/>
    </row>
    <row r="324" spans="1:1">
      <c r="A324" s="109"/>
    </row>
    <row r="325" spans="1:1">
      <c r="A325" s="109"/>
    </row>
    <row r="326" spans="1:1">
      <c r="A326" s="109"/>
    </row>
    <row r="327" spans="1:1">
      <c r="A327" s="109"/>
    </row>
    <row r="328" spans="1:1">
      <c r="A328" s="109"/>
    </row>
    <row r="329" spans="1:1">
      <c r="A329" s="109"/>
    </row>
    <row r="330" spans="1:1">
      <c r="A330" s="109"/>
    </row>
    <row r="331" spans="1:1">
      <c r="A331" s="109"/>
    </row>
    <row r="332" spans="1:1">
      <c r="A332" s="109"/>
    </row>
    <row r="333" spans="1:1">
      <c r="A333" s="109"/>
    </row>
    <row r="334" spans="1:1">
      <c r="A334" s="109"/>
    </row>
    <row r="335" spans="1:1">
      <c r="A335" s="109"/>
    </row>
    <row r="336" spans="1:1">
      <c r="A336" s="109"/>
    </row>
    <row r="337" spans="1:1">
      <c r="A337" s="109"/>
    </row>
    <row r="338" spans="1:1">
      <c r="A338" s="109"/>
    </row>
    <row r="339" spans="1:1">
      <c r="A339" s="109"/>
    </row>
    <row r="340" spans="1:1">
      <c r="A340" s="109"/>
    </row>
    <row r="341" spans="1:1">
      <c r="A341" s="109"/>
    </row>
    <row r="342" spans="1:1">
      <c r="A342" s="109"/>
    </row>
    <row r="343" spans="1:1">
      <c r="A343" s="109"/>
    </row>
    <row r="344" spans="1:1">
      <c r="A344" s="109"/>
    </row>
    <row r="345" spans="1:1">
      <c r="A345" s="109"/>
    </row>
    <row r="346" spans="1:1">
      <c r="A346" s="109"/>
    </row>
    <row r="347" spans="1:1">
      <c r="A347" s="109"/>
    </row>
    <row r="348" spans="1:1">
      <c r="A348" s="109"/>
    </row>
    <row r="349" spans="1:1">
      <c r="A349" s="109"/>
    </row>
    <row r="350" spans="1:1">
      <c r="A350" s="109"/>
    </row>
    <row r="351" spans="1:1">
      <c r="A351" s="109"/>
    </row>
    <row r="352" spans="1:1">
      <c r="A352" s="109"/>
    </row>
    <row r="353" spans="1:1">
      <c r="A353" s="109"/>
    </row>
    <row r="354" spans="1:1">
      <c r="A354" s="109"/>
    </row>
    <row r="355" spans="1:1">
      <c r="A355" s="109"/>
    </row>
    <row r="356" spans="1:1">
      <c r="A356" s="109"/>
    </row>
    <row r="357" spans="1:1">
      <c r="A357" s="109"/>
    </row>
    <row r="358" spans="1:1">
      <c r="A358" s="109"/>
    </row>
    <row r="359" spans="1:1">
      <c r="A359" s="109"/>
    </row>
    <row r="360" spans="1:1">
      <c r="A360" s="109"/>
    </row>
    <row r="361" spans="1:1">
      <c r="A361" s="109"/>
    </row>
    <row r="362" spans="1:1">
      <c r="A362" s="109"/>
    </row>
    <row r="363" spans="1:1">
      <c r="A363" s="109"/>
    </row>
    <row r="364" spans="1:1">
      <c r="A364" s="109"/>
    </row>
    <row r="365" spans="1:1">
      <c r="A365" s="109"/>
    </row>
    <row r="366" spans="1:1">
      <c r="A366" s="109"/>
    </row>
    <row r="1064" spans="4:4">
      <c r="D1064" s="110">
        <v>44608</v>
      </c>
    </row>
  </sheetData>
  <sheetProtection formatCells="0" formatColumns="0" formatRows="0" insertRows="0" deleteRows="0"/>
  <autoFilter ref="A9:H145" xr:uid="{00000000-0009-0000-0000-000001000000}"/>
  <mergeCells count="11">
    <mergeCell ref="A150:H150"/>
    <mergeCell ref="A3:H3"/>
    <mergeCell ref="A137:H137"/>
    <mergeCell ref="D5:H5"/>
    <mergeCell ref="B5:B6"/>
    <mergeCell ref="A5:A6"/>
    <mergeCell ref="C5:C6"/>
    <mergeCell ref="A8:H8"/>
    <mergeCell ref="A124:H124"/>
    <mergeCell ref="A130:H130"/>
    <mergeCell ref="C148:D148"/>
  </mergeCells>
  <phoneticPr fontId="0" type="noConversion"/>
  <pageMargins left="1.1811023622047243" right="0.39370078740157483" top="0.78740157480314965" bottom="0.78740157480314965" header="0" footer="0"/>
  <pageSetup paperSize="9" scale="70" fitToHeight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>
    <tabColor indexed="43"/>
    <pageSetUpPr fitToPage="1"/>
  </sheetPr>
  <dimension ref="A1:G191"/>
  <sheetViews>
    <sheetView view="pageBreakPreview" topLeftCell="A4" zoomScale="80" zoomScaleNormal="75" zoomScaleSheetLayoutView="80" workbookViewId="0">
      <selection activeCell="A11" sqref="A11"/>
    </sheetView>
  </sheetViews>
  <sheetFormatPr defaultColWidth="9.1796875" defaultRowHeight="15.5" outlineLevelRow="1"/>
  <cols>
    <col min="1" max="1" width="64.1796875" style="317" customWidth="1"/>
    <col min="2" max="2" width="11.54296875" style="318" customWidth="1"/>
    <col min="3" max="3" width="15.54296875" style="318" customWidth="1"/>
    <col min="4" max="4" width="11.54296875" style="318" customWidth="1"/>
    <col min="5" max="5" width="11.1796875" style="318" customWidth="1"/>
    <col min="6" max="6" width="15.1796875" style="318" customWidth="1"/>
    <col min="7" max="7" width="15.54296875" style="318" customWidth="1"/>
    <col min="8" max="16384" width="9.1796875" style="317"/>
  </cols>
  <sheetData>
    <row r="1" spans="1:7" outlineLevel="1">
      <c r="G1" s="283" t="s">
        <v>236</v>
      </c>
    </row>
    <row r="2" spans="1:7" outlineLevel="1">
      <c r="G2" s="283" t="s">
        <v>221</v>
      </c>
    </row>
    <row r="3" spans="1:7">
      <c r="A3" s="319" t="s">
        <v>354</v>
      </c>
      <c r="B3" s="319"/>
      <c r="C3" s="319"/>
      <c r="D3" s="319"/>
      <c r="E3" s="319"/>
      <c r="F3" s="319"/>
      <c r="G3" s="319"/>
    </row>
    <row r="4" spans="1:7">
      <c r="A4" s="302" t="s">
        <v>282</v>
      </c>
      <c r="B4" s="320" t="s">
        <v>18</v>
      </c>
      <c r="C4" s="239" t="s">
        <v>343</v>
      </c>
      <c r="D4" s="302" t="s">
        <v>341</v>
      </c>
      <c r="E4" s="302"/>
      <c r="F4" s="302"/>
      <c r="G4" s="302"/>
    </row>
    <row r="5" spans="1:7" ht="31">
      <c r="A5" s="302"/>
      <c r="B5" s="320"/>
      <c r="C5" s="239"/>
      <c r="D5" s="72" t="s">
        <v>260</v>
      </c>
      <c r="E5" s="72" t="s">
        <v>243</v>
      </c>
      <c r="F5" s="72" t="s">
        <v>270</v>
      </c>
      <c r="G5" s="72" t="s">
        <v>271</v>
      </c>
    </row>
    <row r="6" spans="1:7">
      <c r="A6" s="321">
        <v>1</v>
      </c>
      <c r="B6" s="322">
        <v>2</v>
      </c>
      <c r="C6" s="321">
        <v>3</v>
      </c>
      <c r="D6" s="321">
        <v>4</v>
      </c>
      <c r="E6" s="322">
        <v>5</v>
      </c>
      <c r="F6" s="321">
        <v>6</v>
      </c>
      <c r="G6" s="322">
        <v>7</v>
      </c>
    </row>
    <row r="7" spans="1:7">
      <c r="A7" s="320" t="s">
        <v>150</v>
      </c>
      <c r="B7" s="320"/>
      <c r="C7" s="320"/>
      <c r="D7" s="320"/>
      <c r="E7" s="320"/>
      <c r="F7" s="320"/>
      <c r="G7" s="320"/>
    </row>
    <row r="8" spans="1:7" ht="31">
      <c r="A8" s="304" t="s">
        <v>60</v>
      </c>
      <c r="B8" s="272">
        <v>2000</v>
      </c>
      <c r="C8" s="119">
        <v>-14492</v>
      </c>
      <c r="D8" s="119">
        <v>-14308</v>
      </c>
      <c r="E8" s="119">
        <v>-14336.3</v>
      </c>
      <c r="F8" s="119">
        <f>E8-D8</f>
        <v>-28.299999999999272</v>
      </c>
      <c r="G8" s="118">
        <f>E8/D8*100</f>
        <v>100.19779144534526</v>
      </c>
    </row>
    <row r="9" spans="1:7">
      <c r="A9" s="304" t="s">
        <v>203</v>
      </c>
      <c r="B9" s="272">
        <v>2010</v>
      </c>
      <c r="C9" s="119">
        <v>150</v>
      </c>
      <c r="D9" s="328">
        <v>2578</v>
      </c>
      <c r="E9" s="119">
        <f>E10+E11</f>
        <v>506</v>
      </c>
      <c r="F9" s="119">
        <f>E9-D9</f>
        <v>-2072</v>
      </c>
      <c r="G9" s="118">
        <f>E9/D9*100</f>
        <v>19.627618308766486</v>
      </c>
    </row>
    <row r="10" spans="1:7" ht="31">
      <c r="A10" s="243" t="s">
        <v>346</v>
      </c>
      <c r="B10" s="272">
        <v>2011</v>
      </c>
      <c r="C10" s="119">
        <v>34.5</v>
      </c>
      <c r="D10" s="89">
        <v>586</v>
      </c>
      <c r="E10" s="119">
        <v>115</v>
      </c>
      <c r="F10" s="119">
        <f>E10-D10</f>
        <v>-471</v>
      </c>
      <c r="G10" s="118">
        <f>E10/D10*100</f>
        <v>19.624573378839592</v>
      </c>
    </row>
    <row r="11" spans="1:7" ht="62">
      <c r="A11" s="243" t="s">
        <v>347</v>
      </c>
      <c r="B11" s="272">
        <v>2012</v>
      </c>
      <c r="C11" s="119">
        <v>115.5</v>
      </c>
      <c r="D11" s="89">
        <v>1992</v>
      </c>
      <c r="E11" s="119">
        <v>391</v>
      </c>
      <c r="F11" s="119">
        <f>E11-D11</f>
        <v>-1601</v>
      </c>
      <c r="G11" s="118">
        <f>E11/D11*100</f>
        <v>19.628514056224901</v>
      </c>
    </row>
    <row r="12" spans="1:7">
      <c r="A12" s="243" t="s">
        <v>190</v>
      </c>
      <c r="B12" s="272">
        <v>2020</v>
      </c>
      <c r="C12" s="119"/>
      <c r="D12" s="119"/>
      <c r="E12" s="119"/>
      <c r="F12" s="119"/>
      <c r="G12" s="118"/>
    </row>
    <row r="13" spans="1:7">
      <c r="A13" s="304" t="s">
        <v>72</v>
      </c>
      <c r="B13" s="272">
        <v>2030</v>
      </c>
      <c r="C13" s="119"/>
      <c r="D13" s="119"/>
      <c r="E13" s="119"/>
      <c r="F13" s="119"/>
      <c r="G13" s="118"/>
    </row>
    <row r="14" spans="1:7">
      <c r="A14" s="304" t="s">
        <v>130</v>
      </c>
      <c r="B14" s="272">
        <v>2031</v>
      </c>
      <c r="C14" s="119"/>
      <c r="D14" s="119"/>
      <c r="E14" s="119"/>
      <c r="F14" s="119"/>
      <c r="G14" s="118"/>
    </row>
    <row r="15" spans="1:7">
      <c r="A15" s="304" t="s">
        <v>26</v>
      </c>
      <c r="B15" s="272">
        <v>2040</v>
      </c>
      <c r="C15" s="119"/>
      <c r="D15" s="119"/>
      <c r="E15" s="119"/>
      <c r="F15" s="119"/>
      <c r="G15" s="118"/>
    </row>
    <row r="16" spans="1:7">
      <c r="A16" s="304" t="s">
        <v>113</v>
      </c>
      <c r="B16" s="272">
        <v>2050</v>
      </c>
      <c r="C16" s="119"/>
      <c r="D16" s="119"/>
      <c r="E16" s="119"/>
      <c r="F16" s="119"/>
      <c r="G16" s="118"/>
    </row>
    <row r="17" spans="1:7">
      <c r="A17" s="304" t="s">
        <v>114</v>
      </c>
      <c r="B17" s="272">
        <v>2060</v>
      </c>
      <c r="C17" s="119">
        <v>0</v>
      </c>
      <c r="D17" s="119"/>
      <c r="E17" s="119">
        <f>E18</f>
        <v>0</v>
      </c>
      <c r="F17" s="119">
        <f>E17-D17</f>
        <v>0</v>
      </c>
      <c r="G17" s="118">
        <v>0</v>
      </c>
    </row>
    <row r="18" spans="1:7" ht="31">
      <c r="A18" s="304" t="s">
        <v>440</v>
      </c>
      <c r="B18" s="272" t="s">
        <v>439</v>
      </c>
      <c r="C18" s="119"/>
      <c r="D18" s="119"/>
      <c r="E18" s="119"/>
      <c r="F18" s="119">
        <f>E18-D18</f>
        <v>0</v>
      </c>
      <c r="G18" s="118">
        <v>0</v>
      </c>
    </row>
    <row r="19" spans="1:7" ht="31">
      <c r="A19" s="304" t="s">
        <v>61</v>
      </c>
      <c r="B19" s="272">
        <v>2070</v>
      </c>
      <c r="C19" s="119">
        <f>C8+'1. Фін результат'!C120-C9-C17-1</f>
        <v>-14336</v>
      </c>
      <c r="D19" s="119">
        <f>D8+'1. Фін результат'!D120-D9</f>
        <v>-12980.61536</v>
      </c>
      <c r="E19" s="119">
        <f>E8+'1. Фін результат'!E120-E9</f>
        <v>-16208.399999999998</v>
      </c>
      <c r="F19" s="119">
        <f>E19-D19</f>
        <v>-3227.784639999998</v>
      </c>
      <c r="G19" s="118">
        <f>E19/D19*100</f>
        <v>124.86619124349431</v>
      </c>
    </row>
    <row r="20" spans="1:7">
      <c r="A20" s="320" t="s">
        <v>151</v>
      </c>
      <c r="B20" s="320"/>
      <c r="C20" s="320"/>
      <c r="D20" s="320"/>
      <c r="E20" s="320"/>
      <c r="F20" s="320"/>
      <c r="G20" s="320"/>
    </row>
    <row r="21" spans="1:7">
      <c r="A21" s="304" t="s">
        <v>203</v>
      </c>
      <c r="B21" s="272">
        <v>2100</v>
      </c>
      <c r="C21" s="119">
        <f>C22+C23</f>
        <v>150</v>
      </c>
      <c r="D21" s="119">
        <f>D22+D23</f>
        <v>2578</v>
      </c>
      <c r="E21" s="119">
        <f>E22+E23</f>
        <v>506</v>
      </c>
      <c r="F21" s="119">
        <f>E21-D21</f>
        <v>-2072</v>
      </c>
      <c r="G21" s="118">
        <f>E21/D21*100</f>
        <v>19.627618308766486</v>
      </c>
    </row>
    <row r="22" spans="1:7" ht="31">
      <c r="A22" s="243" t="s">
        <v>346</v>
      </c>
      <c r="B22" s="272">
        <v>2101</v>
      </c>
      <c r="C22" s="119">
        <f t="shared" ref="C22:E23" si="0">C10</f>
        <v>34.5</v>
      </c>
      <c r="D22" s="119">
        <f t="shared" si="0"/>
        <v>586</v>
      </c>
      <c r="E22" s="119">
        <f t="shared" si="0"/>
        <v>115</v>
      </c>
      <c r="F22" s="119">
        <f t="shared" ref="F22:F41" si="1">E22-D22</f>
        <v>-471</v>
      </c>
      <c r="G22" s="118">
        <f t="shared" ref="G22:G41" si="2">E22/D22*100</f>
        <v>19.624573378839592</v>
      </c>
    </row>
    <row r="23" spans="1:7" ht="62">
      <c r="A23" s="243" t="s">
        <v>347</v>
      </c>
      <c r="B23" s="272">
        <v>2102</v>
      </c>
      <c r="C23" s="119">
        <f t="shared" si="0"/>
        <v>115.5</v>
      </c>
      <c r="D23" s="119">
        <f t="shared" si="0"/>
        <v>1992</v>
      </c>
      <c r="E23" s="119">
        <f t="shared" si="0"/>
        <v>391</v>
      </c>
      <c r="F23" s="119">
        <f t="shared" si="1"/>
        <v>-1601</v>
      </c>
      <c r="G23" s="118">
        <f t="shared" si="2"/>
        <v>19.628514056224901</v>
      </c>
    </row>
    <row r="24" spans="1:7">
      <c r="A24" s="304" t="s">
        <v>153</v>
      </c>
      <c r="B24" s="321">
        <v>2110</v>
      </c>
      <c r="C24" s="323">
        <v>0</v>
      </c>
      <c r="D24" s="323">
        <v>857</v>
      </c>
      <c r="E24" s="323">
        <f>'1. Фін результат'!E118</f>
        <v>0</v>
      </c>
      <c r="F24" s="119"/>
      <c r="G24" s="118"/>
    </row>
    <row r="25" spans="1:7" ht="31">
      <c r="A25" s="304" t="s">
        <v>326</v>
      </c>
      <c r="B25" s="321">
        <v>2120</v>
      </c>
      <c r="C25" s="323">
        <v>824</v>
      </c>
      <c r="D25" s="323">
        <v>748</v>
      </c>
      <c r="E25" s="323">
        <v>0</v>
      </c>
      <c r="F25" s="119">
        <f t="shared" si="1"/>
        <v>-748</v>
      </c>
      <c r="G25" s="118">
        <f t="shared" si="2"/>
        <v>0</v>
      </c>
    </row>
    <row r="26" spans="1:7" ht="31">
      <c r="A26" s="304" t="s">
        <v>327</v>
      </c>
      <c r="B26" s="321">
        <v>2130</v>
      </c>
      <c r="C26" s="323"/>
      <c r="D26" s="323"/>
      <c r="E26" s="323"/>
      <c r="F26" s="119"/>
      <c r="G26" s="118"/>
    </row>
    <row r="27" spans="1:7" s="318" customFormat="1" ht="31">
      <c r="A27" s="304" t="s">
        <v>252</v>
      </c>
      <c r="B27" s="321">
        <v>2140</v>
      </c>
      <c r="C27" s="323">
        <v>4816</v>
      </c>
      <c r="D27" s="328">
        <v>7263</v>
      </c>
      <c r="E27" s="323">
        <f>E28+E29+E30+E31+E32+E35+E37</f>
        <v>4312</v>
      </c>
      <c r="F27" s="119">
        <f t="shared" si="1"/>
        <v>-2951</v>
      </c>
      <c r="G27" s="118">
        <f t="shared" si="2"/>
        <v>59.369406581302499</v>
      </c>
    </row>
    <row r="28" spans="1:7">
      <c r="A28" s="304" t="s">
        <v>84</v>
      </c>
      <c r="B28" s="321">
        <v>2141</v>
      </c>
      <c r="C28" s="323"/>
      <c r="D28" s="323"/>
      <c r="E28" s="323"/>
      <c r="F28" s="119"/>
      <c r="G28" s="118"/>
    </row>
    <row r="29" spans="1:7">
      <c r="A29" s="304" t="s">
        <v>104</v>
      </c>
      <c r="B29" s="321">
        <v>2142</v>
      </c>
      <c r="C29" s="323"/>
      <c r="D29" s="323"/>
      <c r="E29" s="323"/>
      <c r="F29" s="119"/>
      <c r="G29" s="118"/>
    </row>
    <row r="30" spans="1:7">
      <c r="A30" s="304" t="s">
        <v>99</v>
      </c>
      <c r="B30" s="321">
        <v>2143</v>
      </c>
      <c r="C30" s="323"/>
      <c r="D30" s="323"/>
      <c r="E30" s="323"/>
      <c r="F30" s="119"/>
      <c r="G30" s="118"/>
    </row>
    <row r="31" spans="1:7">
      <c r="A31" s="304" t="s">
        <v>82</v>
      </c>
      <c r="B31" s="321">
        <v>2144</v>
      </c>
      <c r="C31" s="323">
        <v>4439</v>
      </c>
      <c r="D31" s="89">
        <v>6698</v>
      </c>
      <c r="E31" s="89">
        <v>3973</v>
      </c>
      <c r="F31" s="119">
        <f>31-D31</f>
        <v>-6667</v>
      </c>
      <c r="G31" s="118">
        <f t="shared" si="2"/>
        <v>59.316213795162732</v>
      </c>
    </row>
    <row r="32" spans="1:7">
      <c r="A32" s="304" t="s">
        <v>171</v>
      </c>
      <c r="B32" s="321">
        <v>2145</v>
      </c>
      <c r="C32" s="323">
        <f>C33+C34</f>
        <v>0</v>
      </c>
      <c r="D32" s="323">
        <f>D33+D34</f>
        <v>0</v>
      </c>
      <c r="E32" s="323">
        <f>E33+E34</f>
        <v>0</v>
      </c>
      <c r="F32" s="119"/>
      <c r="G32" s="118"/>
    </row>
    <row r="33" spans="1:7" ht="46.5">
      <c r="A33" s="304" t="s">
        <v>131</v>
      </c>
      <c r="B33" s="321" t="s">
        <v>217</v>
      </c>
      <c r="C33" s="323"/>
      <c r="D33" s="323"/>
      <c r="E33" s="323"/>
      <c r="F33" s="119"/>
      <c r="G33" s="118"/>
    </row>
    <row r="34" spans="1:7">
      <c r="A34" s="304" t="s">
        <v>27</v>
      </c>
      <c r="B34" s="321" t="s">
        <v>218</v>
      </c>
      <c r="C34" s="323"/>
      <c r="D34" s="323"/>
      <c r="E34" s="323"/>
      <c r="F34" s="119"/>
      <c r="G34" s="118"/>
    </row>
    <row r="35" spans="1:7">
      <c r="A35" s="304" t="s">
        <v>115</v>
      </c>
      <c r="B35" s="321">
        <v>2146</v>
      </c>
      <c r="C35" s="323">
        <f>C36</f>
        <v>7</v>
      </c>
      <c r="D35" s="323">
        <f>D36</f>
        <v>7</v>
      </c>
      <c r="E35" s="323">
        <f>E36</f>
        <v>8</v>
      </c>
      <c r="F35" s="119">
        <f t="shared" si="1"/>
        <v>1</v>
      </c>
      <c r="G35" s="118">
        <f t="shared" si="2"/>
        <v>114.28571428571428</v>
      </c>
    </row>
    <row r="36" spans="1:7">
      <c r="A36" s="304" t="s">
        <v>419</v>
      </c>
      <c r="B36" s="321" t="s">
        <v>420</v>
      </c>
      <c r="C36" s="323">
        <v>7</v>
      </c>
      <c r="D36" s="323">
        <v>7</v>
      </c>
      <c r="E36" s="323">
        <v>8</v>
      </c>
      <c r="F36" s="119">
        <f t="shared" si="1"/>
        <v>1</v>
      </c>
      <c r="G36" s="118">
        <f t="shared" si="2"/>
        <v>114.28571428571428</v>
      </c>
    </row>
    <row r="37" spans="1:7">
      <c r="A37" s="304" t="s">
        <v>88</v>
      </c>
      <c r="B37" s="321">
        <v>2147</v>
      </c>
      <c r="C37" s="323">
        <f>C38+C39</f>
        <v>370</v>
      </c>
      <c r="D37" s="323">
        <f>D38+D39</f>
        <v>558</v>
      </c>
      <c r="E37" s="323">
        <f>E38+E39</f>
        <v>331</v>
      </c>
      <c r="F37" s="119">
        <f t="shared" si="1"/>
        <v>-227</v>
      </c>
      <c r="G37" s="118">
        <f t="shared" si="2"/>
        <v>59.318996415770606</v>
      </c>
    </row>
    <row r="38" spans="1:7">
      <c r="A38" s="304" t="s">
        <v>422</v>
      </c>
      <c r="B38" s="321" t="s">
        <v>421</v>
      </c>
      <c r="C38" s="323">
        <v>370</v>
      </c>
      <c r="D38" s="323">
        <v>558</v>
      </c>
      <c r="E38" s="323">
        <v>331</v>
      </c>
      <c r="F38" s="119">
        <f t="shared" si="1"/>
        <v>-227</v>
      </c>
      <c r="G38" s="118">
        <f t="shared" si="2"/>
        <v>59.318996415770606</v>
      </c>
    </row>
    <row r="39" spans="1:7">
      <c r="A39" s="304" t="s">
        <v>435</v>
      </c>
      <c r="B39" s="321" t="s">
        <v>436</v>
      </c>
      <c r="C39" s="323"/>
      <c r="D39" s="323"/>
      <c r="E39" s="323"/>
      <c r="F39" s="119">
        <f t="shared" si="1"/>
        <v>0</v>
      </c>
      <c r="G39" s="118"/>
    </row>
    <row r="40" spans="1:7" ht="31">
      <c r="A40" s="304" t="s">
        <v>83</v>
      </c>
      <c r="B40" s="321">
        <v>2150</v>
      </c>
      <c r="C40" s="323">
        <v>5128</v>
      </c>
      <c r="D40" s="89">
        <v>8002</v>
      </c>
      <c r="E40" s="323">
        <f>'1. Фін результат'!E142</f>
        <v>4476</v>
      </c>
      <c r="F40" s="119">
        <f t="shared" si="1"/>
        <v>-3526</v>
      </c>
      <c r="G40" s="118">
        <f t="shared" si="2"/>
        <v>55.936015996000997</v>
      </c>
    </row>
    <row r="41" spans="1:7">
      <c r="A41" s="304" t="s">
        <v>345</v>
      </c>
      <c r="B41" s="321">
        <v>2200</v>
      </c>
      <c r="C41" s="323">
        <f>C40+C27+C26+C25+C24+C21</f>
        <v>10918</v>
      </c>
      <c r="D41" s="323">
        <f>D40+D27+D26+D25+D24+D21</f>
        <v>19448</v>
      </c>
      <c r="E41" s="323">
        <f>E40+E27+E26+E25+E24+E21</f>
        <v>9294</v>
      </c>
      <c r="F41" s="119">
        <f t="shared" si="1"/>
        <v>-10154</v>
      </c>
      <c r="G41" s="118">
        <f t="shared" si="2"/>
        <v>47.788975730152202</v>
      </c>
    </row>
    <row r="42" spans="1:7">
      <c r="A42" s="324"/>
      <c r="B42" s="325"/>
      <c r="C42" s="325"/>
      <c r="D42" s="325"/>
      <c r="E42" s="325"/>
      <c r="F42" s="325"/>
      <c r="G42" s="325"/>
    </row>
    <row r="43" spans="1:7" s="144" customFormat="1" ht="31">
      <c r="A43" s="313" t="s">
        <v>568</v>
      </c>
      <c r="B43" s="153"/>
      <c r="C43" s="312"/>
      <c r="D43" s="312"/>
      <c r="E43" s="314"/>
      <c r="F43" s="312" t="s">
        <v>557</v>
      </c>
      <c r="G43" s="312"/>
    </row>
    <row r="44" spans="1:7" s="144" customFormat="1">
      <c r="A44" s="315" t="s">
        <v>364</v>
      </c>
      <c r="B44" s="312"/>
      <c r="C44" s="236" t="s">
        <v>78</v>
      </c>
      <c r="D44" s="236"/>
      <c r="E44" s="312"/>
      <c r="F44" s="312" t="s">
        <v>102</v>
      </c>
      <c r="G44" s="312"/>
    </row>
    <row r="45" spans="1:7" s="318" customFormat="1">
      <c r="A45" s="326"/>
      <c r="B45" s="325"/>
      <c r="C45" s="325"/>
      <c r="D45" s="325"/>
      <c r="E45" s="325"/>
      <c r="F45" s="325"/>
      <c r="G45" s="325"/>
    </row>
    <row r="46" spans="1:7" s="144" customFormat="1">
      <c r="A46" s="316"/>
      <c r="B46" s="316"/>
      <c r="C46" s="316"/>
      <c r="D46" s="316"/>
      <c r="E46" s="316"/>
      <c r="F46" s="316"/>
      <c r="G46" s="316"/>
    </row>
    <row r="47" spans="1:7" s="318" customFormat="1">
      <c r="A47" s="327"/>
    </row>
    <row r="48" spans="1:7" s="318" customFormat="1">
      <c r="A48" s="327"/>
    </row>
    <row r="49" spans="1:1" s="318" customFormat="1">
      <c r="A49" s="327"/>
    </row>
    <row r="50" spans="1:1" s="318" customFormat="1">
      <c r="A50" s="327"/>
    </row>
    <row r="51" spans="1:1" s="318" customFormat="1">
      <c r="A51" s="327"/>
    </row>
    <row r="52" spans="1:1" s="318" customFormat="1">
      <c r="A52" s="327"/>
    </row>
    <row r="53" spans="1:1" s="318" customFormat="1">
      <c r="A53" s="327"/>
    </row>
    <row r="54" spans="1:1" s="318" customFormat="1">
      <c r="A54" s="327"/>
    </row>
    <row r="55" spans="1:1" s="318" customFormat="1">
      <c r="A55" s="327"/>
    </row>
    <row r="56" spans="1:1" s="318" customFormat="1">
      <c r="A56" s="327"/>
    </row>
    <row r="57" spans="1:1" s="318" customFormat="1">
      <c r="A57" s="327"/>
    </row>
    <row r="58" spans="1:1" s="318" customFormat="1">
      <c r="A58" s="327"/>
    </row>
    <row r="59" spans="1:1" s="318" customFormat="1">
      <c r="A59" s="327"/>
    </row>
    <row r="60" spans="1:1" s="318" customFormat="1">
      <c r="A60" s="327"/>
    </row>
    <row r="61" spans="1:1" s="318" customFormat="1">
      <c r="A61" s="327"/>
    </row>
    <row r="62" spans="1:1" s="318" customFormat="1">
      <c r="A62" s="327"/>
    </row>
    <row r="63" spans="1:1" s="318" customFormat="1">
      <c r="A63" s="327"/>
    </row>
    <row r="64" spans="1:1" s="318" customFormat="1">
      <c r="A64" s="327"/>
    </row>
    <row r="65" spans="1:1" s="318" customFormat="1">
      <c r="A65" s="327"/>
    </row>
    <row r="66" spans="1:1" s="318" customFormat="1">
      <c r="A66" s="327"/>
    </row>
    <row r="67" spans="1:1" s="318" customFormat="1">
      <c r="A67" s="327"/>
    </row>
    <row r="68" spans="1:1" s="318" customFormat="1">
      <c r="A68" s="327"/>
    </row>
    <row r="69" spans="1:1" s="318" customFormat="1">
      <c r="A69" s="327"/>
    </row>
    <row r="70" spans="1:1" s="318" customFormat="1">
      <c r="A70" s="327"/>
    </row>
    <row r="71" spans="1:1" s="318" customFormat="1">
      <c r="A71" s="327"/>
    </row>
    <row r="72" spans="1:1" s="318" customFormat="1">
      <c r="A72" s="327"/>
    </row>
    <row r="73" spans="1:1" s="318" customFormat="1">
      <c r="A73" s="327"/>
    </row>
    <row r="74" spans="1:1" s="318" customFormat="1">
      <c r="A74" s="327"/>
    </row>
    <row r="75" spans="1:1" s="318" customFormat="1">
      <c r="A75" s="327"/>
    </row>
    <row r="76" spans="1:1" s="318" customFormat="1">
      <c r="A76" s="327"/>
    </row>
    <row r="77" spans="1:1" s="318" customFormat="1">
      <c r="A77" s="327"/>
    </row>
    <row r="78" spans="1:1" s="318" customFormat="1">
      <c r="A78" s="327"/>
    </row>
    <row r="79" spans="1:1" s="318" customFormat="1">
      <c r="A79" s="327"/>
    </row>
    <row r="80" spans="1:1" s="318" customFormat="1">
      <c r="A80" s="327"/>
    </row>
    <row r="81" spans="1:1" s="318" customFormat="1">
      <c r="A81" s="327"/>
    </row>
    <row r="82" spans="1:1" s="318" customFormat="1">
      <c r="A82" s="327"/>
    </row>
    <row r="83" spans="1:1" s="318" customFormat="1">
      <c r="A83" s="327"/>
    </row>
    <row r="84" spans="1:1" s="318" customFormat="1">
      <c r="A84" s="327"/>
    </row>
    <row r="85" spans="1:1" s="318" customFormat="1">
      <c r="A85" s="327"/>
    </row>
    <row r="86" spans="1:1" s="318" customFormat="1">
      <c r="A86" s="327"/>
    </row>
    <row r="87" spans="1:1" s="318" customFormat="1">
      <c r="A87" s="327"/>
    </row>
    <row r="88" spans="1:1" s="318" customFormat="1">
      <c r="A88" s="327"/>
    </row>
    <row r="89" spans="1:1" s="318" customFormat="1">
      <c r="A89" s="327"/>
    </row>
    <row r="90" spans="1:1" s="318" customFormat="1">
      <c r="A90" s="327"/>
    </row>
    <row r="91" spans="1:1" s="318" customFormat="1">
      <c r="A91" s="327"/>
    </row>
    <row r="92" spans="1:1" s="318" customFormat="1">
      <c r="A92" s="327"/>
    </row>
    <row r="93" spans="1:1" s="318" customFormat="1">
      <c r="A93" s="327"/>
    </row>
    <row r="94" spans="1:1" s="318" customFormat="1">
      <c r="A94" s="327"/>
    </row>
    <row r="95" spans="1:1" s="318" customFormat="1">
      <c r="A95" s="327"/>
    </row>
    <row r="96" spans="1:1" s="318" customFormat="1">
      <c r="A96" s="327"/>
    </row>
    <row r="97" spans="1:1" s="318" customFormat="1">
      <c r="A97" s="327"/>
    </row>
    <row r="98" spans="1:1" s="318" customFormat="1">
      <c r="A98" s="327"/>
    </row>
    <row r="99" spans="1:1" s="318" customFormat="1">
      <c r="A99" s="327"/>
    </row>
    <row r="100" spans="1:1" s="318" customFormat="1">
      <c r="A100" s="327"/>
    </row>
    <row r="101" spans="1:1" s="318" customFormat="1">
      <c r="A101" s="327"/>
    </row>
    <row r="102" spans="1:1" s="318" customFormat="1">
      <c r="A102" s="327"/>
    </row>
    <row r="103" spans="1:1" s="318" customFormat="1">
      <c r="A103" s="327"/>
    </row>
    <row r="104" spans="1:1" s="318" customFormat="1">
      <c r="A104" s="327"/>
    </row>
    <row r="105" spans="1:1" s="318" customFormat="1">
      <c r="A105" s="327"/>
    </row>
    <row r="106" spans="1:1" s="318" customFormat="1">
      <c r="A106" s="327"/>
    </row>
    <row r="107" spans="1:1" s="318" customFormat="1">
      <c r="A107" s="327"/>
    </row>
    <row r="108" spans="1:1" s="318" customFormat="1">
      <c r="A108" s="327"/>
    </row>
    <row r="109" spans="1:1" s="318" customFormat="1">
      <c r="A109" s="327"/>
    </row>
    <row r="110" spans="1:1" s="318" customFormat="1">
      <c r="A110" s="327"/>
    </row>
    <row r="111" spans="1:1" s="318" customFormat="1">
      <c r="A111" s="327"/>
    </row>
    <row r="112" spans="1:1" s="318" customFormat="1">
      <c r="A112" s="327"/>
    </row>
    <row r="113" spans="1:1" s="318" customFormat="1">
      <c r="A113" s="327"/>
    </row>
    <row r="114" spans="1:1" s="318" customFormat="1">
      <c r="A114" s="327"/>
    </row>
    <row r="115" spans="1:1" s="318" customFormat="1">
      <c r="A115" s="327"/>
    </row>
    <row r="116" spans="1:1" s="318" customFormat="1">
      <c r="A116" s="327"/>
    </row>
    <row r="117" spans="1:1" s="318" customFormat="1">
      <c r="A117" s="327"/>
    </row>
    <row r="118" spans="1:1" s="318" customFormat="1">
      <c r="A118" s="327"/>
    </row>
    <row r="119" spans="1:1" s="318" customFormat="1">
      <c r="A119" s="327"/>
    </row>
    <row r="120" spans="1:1" s="318" customFormat="1">
      <c r="A120" s="327"/>
    </row>
    <row r="121" spans="1:1" s="318" customFormat="1">
      <c r="A121" s="327"/>
    </row>
    <row r="122" spans="1:1" s="318" customFormat="1">
      <c r="A122" s="327"/>
    </row>
    <row r="123" spans="1:1" s="318" customFormat="1">
      <c r="A123" s="327"/>
    </row>
    <row r="124" spans="1:1" s="318" customFormat="1">
      <c r="A124" s="327"/>
    </row>
    <row r="125" spans="1:1" s="318" customFormat="1">
      <c r="A125" s="327"/>
    </row>
    <row r="126" spans="1:1" s="318" customFormat="1">
      <c r="A126" s="327"/>
    </row>
    <row r="127" spans="1:1" s="318" customFormat="1">
      <c r="A127" s="327"/>
    </row>
    <row r="128" spans="1:1" s="318" customFormat="1">
      <c r="A128" s="327"/>
    </row>
    <row r="129" spans="1:1" s="318" customFormat="1">
      <c r="A129" s="327"/>
    </row>
    <row r="130" spans="1:1" s="318" customFormat="1">
      <c r="A130" s="327"/>
    </row>
    <row r="131" spans="1:1" s="318" customFormat="1">
      <c r="A131" s="327"/>
    </row>
    <row r="132" spans="1:1" s="318" customFormat="1">
      <c r="A132" s="327"/>
    </row>
    <row r="133" spans="1:1" s="318" customFormat="1">
      <c r="A133" s="327"/>
    </row>
    <row r="134" spans="1:1" s="318" customFormat="1">
      <c r="A134" s="327"/>
    </row>
    <row r="135" spans="1:1" s="318" customFormat="1">
      <c r="A135" s="327"/>
    </row>
    <row r="136" spans="1:1" s="318" customFormat="1">
      <c r="A136" s="327"/>
    </row>
    <row r="137" spans="1:1" s="318" customFormat="1">
      <c r="A137" s="327"/>
    </row>
    <row r="138" spans="1:1" s="318" customFormat="1">
      <c r="A138" s="327"/>
    </row>
    <row r="139" spans="1:1" s="318" customFormat="1">
      <c r="A139" s="327"/>
    </row>
    <row r="140" spans="1:1" s="318" customFormat="1">
      <c r="A140" s="327"/>
    </row>
    <row r="141" spans="1:1" s="318" customFormat="1">
      <c r="A141" s="327"/>
    </row>
    <row r="142" spans="1:1" s="318" customFormat="1">
      <c r="A142" s="327"/>
    </row>
    <row r="143" spans="1:1" s="318" customFormat="1">
      <c r="A143" s="327"/>
    </row>
    <row r="144" spans="1:1" s="318" customFormat="1">
      <c r="A144" s="327"/>
    </row>
    <row r="145" spans="1:1" s="318" customFormat="1">
      <c r="A145" s="327"/>
    </row>
    <row r="146" spans="1:1" s="318" customFormat="1">
      <c r="A146" s="327"/>
    </row>
    <row r="147" spans="1:1" s="318" customFormat="1">
      <c r="A147" s="327"/>
    </row>
    <row r="148" spans="1:1" s="318" customFormat="1">
      <c r="A148" s="327"/>
    </row>
    <row r="149" spans="1:1" s="318" customFormat="1">
      <c r="A149" s="327"/>
    </row>
    <row r="150" spans="1:1" s="318" customFormat="1">
      <c r="A150" s="327"/>
    </row>
    <row r="151" spans="1:1" s="318" customFormat="1">
      <c r="A151" s="327"/>
    </row>
    <row r="152" spans="1:1" s="318" customFormat="1">
      <c r="A152" s="327"/>
    </row>
    <row r="153" spans="1:1" s="318" customFormat="1">
      <c r="A153" s="327"/>
    </row>
    <row r="154" spans="1:1" s="318" customFormat="1">
      <c r="A154" s="327"/>
    </row>
    <row r="155" spans="1:1" s="318" customFormat="1">
      <c r="A155" s="327"/>
    </row>
    <row r="156" spans="1:1" s="318" customFormat="1">
      <c r="A156" s="327"/>
    </row>
    <row r="157" spans="1:1" s="318" customFormat="1">
      <c r="A157" s="327"/>
    </row>
    <row r="158" spans="1:1" s="318" customFormat="1">
      <c r="A158" s="327"/>
    </row>
    <row r="159" spans="1:1" s="318" customFormat="1">
      <c r="A159" s="327"/>
    </row>
    <row r="160" spans="1:1" s="318" customFormat="1">
      <c r="A160" s="327"/>
    </row>
    <row r="161" spans="1:1" s="318" customFormat="1">
      <c r="A161" s="327"/>
    </row>
    <row r="162" spans="1:1" s="318" customFormat="1">
      <c r="A162" s="327"/>
    </row>
    <row r="163" spans="1:1" s="318" customFormat="1">
      <c r="A163" s="327"/>
    </row>
    <row r="164" spans="1:1" s="318" customFormat="1">
      <c r="A164" s="327"/>
    </row>
    <row r="165" spans="1:1" s="318" customFormat="1">
      <c r="A165" s="327"/>
    </row>
    <row r="166" spans="1:1" s="318" customFormat="1">
      <c r="A166" s="327"/>
    </row>
    <row r="167" spans="1:1" s="318" customFormat="1">
      <c r="A167" s="327"/>
    </row>
    <row r="168" spans="1:1" s="318" customFormat="1">
      <c r="A168" s="327"/>
    </row>
    <row r="169" spans="1:1" s="318" customFormat="1">
      <c r="A169" s="327"/>
    </row>
    <row r="170" spans="1:1" s="318" customFormat="1">
      <c r="A170" s="327"/>
    </row>
    <row r="171" spans="1:1" s="318" customFormat="1">
      <c r="A171" s="327"/>
    </row>
    <row r="172" spans="1:1" s="318" customFormat="1">
      <c r="A172" s="327"/>
    </row>
    <row r="173" spans="1:1" s="318" customFormat="1">
      <c r="A173" s="327"/>
    </row>
    <row r="174" spans="1:1" s="318" customFormat="1">
      <c r="A174" s="327"/>
    </row>
    <row r="175" spans="1:1" s="318" customFormat="1">
      <c r="A175" s="327"/>
    </row>
    <row r="176" spans="1:1" s="318" customFormat="1">
      <c r="A176" s="327"/>
    </row>
    <row r="177" spans="1:1" s="318" customFormat="1">
      <c r="A177" s="327"/>
    </row>
    <row r="178" spans="1:1" s="318" customFormat="1">
      <c r="A178" s="327"/>
    </row>
    <row r="179" spans="1:1" s="318" customFormat="1">
      <c r="A179" s="327"/>
    </row>
    <row r="180" spans="1:1" s="318" customFormat="1">
      <c r="A180" s="327"/>
    </row>
    <row r="181" spans="1:1" s="318" customFormat="1">
      <c r="A181" s="327"/>
    </row>
    <row r="182" spans="1:1" s="318" customFormat="1">
      <c r="A182" s="327"/>
    </row>
    <row r="183" spans="1:1" s="318" customFormat="1">
      <c r="A183" s="327"/>
    </row>
    <row r="184" spans="1:1" s="318" customFormat="1">
      <c r="A184" s="327"/>
    </row>
    <row r="185" spans="1:1" s="318" customFormat="1">
      <c r="A185" s="327"/>
    </row>
    <row r="186" spans="1:1" s="318" customFormat="1">
      <c r="A186" s="327"/>
    </row>
    <row r="187" spans="1:1" s="318" customFormat="1">
      <c r="A187" s="327"/>
    </row>
    <row r="188" spans="1:1" s="318" customFormat="1">
      <c r="A188" s="327"/>
    </row>
    <row r="189" spans="1:1" s="318" customFormat="1">
      <c r="A189" s="327"/>
    </row>
    <row r="190" spans="1:1" s="318" customFormat="1">
      <c r="A190" s="327"/>
    </row>
    <row r="191" spans="1:1" s="318" customFormat="1">
      <c r="A191" s="327"/>
    </row>
  </sheetData>
  <sheetProtection formatCells="0" formatColumns="0" formatRows="0" insertRows="0" deleteRows="0"/>
  <mergeCells count="9">
    <mergeCell ref="A46:G46"/>
    <mergeCell ref="A7:G7"/>
    <mergeCell ref="A20:G20"/>
    <mergeCell ref="A3:G3"/>
    <mergeCell ref="A4:A5"/>
    <mergeCell ref="B4:B5"/>
    <mergeCell ref="D4:G4"/>
    <mergeCell ref="C4:C5"/>
    <mergeCell ref="C44:D44"/>
  </mergeCells>
  <phoneticPr fontId="3" type="noConversion"/>
  <pageMargins left="1.1811023622047243" right="0.39370078740157483" top="0.78740157480314965" bottom="0.78740157480314965" header="0" footer="0"/>
  <pageSetup paperSize="9" scale="60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>
    <tabColor indexed="43"/>
    <pageSetUpPr fitToPage="1"/>
  </sheetPr>
  <dimension ref="A1:G114"/>
  <sheetViews>
    <sheetView view="pageBreakPreview" topLeftCell="A76" zoomScale="75" zoomScaleNormal="75" zoomScaleSheetLayoutView="75" workbookViewId="0">
      <selection activeCell="C98" sqref="C98"/>
    </sheetView>
  </sheetViews>
  <sheetFormatPr defaultColWidth="9.1796875" defaultRowHeight="15.5" outlineLevelRow="1"/>
  <cols>
    <col min="1" max="1" width="55.453125" style="144" customWidth="1"/>
    <col min="2" max="2" width="11" style="144" customWidth="1"/>
    <col min="3" max="3" width="13.453125" style="144" customWidth="1"/>
    <col min="4" max="4" width="11" style="144" customWidth="1"/>
    <col min="5" max="5" width="12.54296875" style="144" customWidth="1"/>
    <col min="6" max="6" width="11.81640625" style="144" customWidth="1"/>
    <col min="7" max="7" width="13" style="144" customWidth="1"/>
    <col min="8" max="16384" width="9.1796875" style="144"/>
  </cols>
  <sheetData>
    <row r="1" spans="1:7" ht="16.5" customHeight="1" outlineLevel="1">
      <c r="G1" s="283" t="s">
        <v>236</v>
      </c>
    </row>
    <row r="2" spans="1:7" ht="15.75" customHeight="1" outlineLevel="1">
      <c r="G2" s="283" t="s">
        <v>222</v>
      </c>
    </row>
    <row r="3" spans="1:7">
      <c r="A3" s="263" t="s">
        <v>355</v>
      </c>
      <c r="B3" s="263"/>
      <c r="C3" s="263"/>
      <c r="D3" s="263"/>
      <c r="E3" s="263"/>
      <c r="F3" s="263"/>
      <c r="G3" s="263"/>
    </row>
    <row r="4" spans="1:7" ht="16" customHeight="1">
      <c r="A4" s="283" t="s">
        <v>352</v>
      </c>
      <c r="B4" s="283"/>
      <c r="C4" s="283"/>
      <c r="D4" s="283"/>
      <c r="E4" s="283"/>
      <c r="F4" s="283"/>
      <c r="G4" s="283"/>
    </row>
    <row r="5" spans="1:7" ht="15.75" customHeight="1">
      <c r="A5" s="239" t="s">
        <v>282</v>
      </c>
      <c r="B5" s="183" t="s">
        <v>0</v>
      </c>
      <c r="C5" s="239" t="s">
        <v>343</v>
      </c>
      <c r="D5" s="302" t="s">
        <v>341</v>
      </c>
      <c r="E5" s="302"/>
      <c r="F5" s="302"/>
      <c r="G5" s="302"/>
    </row>
    <row r="6" spans="1:7" ht="31.5" customHeight="1">
      <c r="A6" s="239"/>
      <c r="B6" s="183"/>
      <c r="C6" s="239"/>
      <c r="D6" s="72" t="s">
        <v>260</v>
      </c>
      <c r="E6" s="72" t="s">
        <v>243</v>
      </c>
      <c r="F6" s="72" t="s">
        <v>270</v>
      </c>
      <c r="G6" s="72" t="s">
        <v>271</v>
      </c>
    </row>
    <row r="7" spans="1:7" ht="15.75" customHeight="1">
      <c r="A7" s="72">
        <v>1</v>
      </c>
      <c r="B7" s="182">
        <v>2</v>
      </c>
      <c r="C7" s="72">
        <v>3</v>
      </c>
      <c r="D7" s="72">
        <v>4</v>
      </c>
      <c r="E7" s="182">
        <v>5</v>
      </c>
      <c r="F7" s="72">
        <v>6</v>
      </c>
      <c r="G7" s="182">
        <v>7</v>
      </c>
    </row>
    <row r="8" spans="1:7" s="303" customFormat="1" ht="15.75" customHeight="1">
      <c r="A8" s="320" t="s">
        <v>156</v>
      </c>
      <c r="B8" s="320"/>
      <c r="C8" s="320"/>
      <c r="D8" s="320"/>
      <c r="E8" s="320"/>
      <c r="F8" s="320"/>
      <c r="G8" s="320"/>
    </row>
    <row r="9" spans="1:7" ht="31" customHeight="1">
      <c r="A9" s="304" t="s">
        <v>174</v>
      </c>
      <c r="B9" s="305">
        <v>1170</v>
      </c>
      <c r="C9" s="117">
        <f>ROUND('1. Фін результат'!C117,0)</f>
        <v>307</v>
      </c>
      <c r="D9" s="117">
        <f>'1. Фін результат'!D117</f>
        <v>4762.3846400000002</v>
      </c>
      <c r="E9" s="117">
        <f>ROUND('1. Фін результат'!E117,0)</f>
        <v>-1366</v>
      </c>
      <c r="F9" s="117">
        <f>E9-D9</f>
        <v>-6128.3846400000002</v>
      </c>
      <c r="G9" s="120">
        <f>E9/D9*100</f>
        <v>-28.683109476852337</v>
      </c>
    </row>
    <row r="10" spans="1:7" ht="15.75" customHeight="1">
      <c r="A10" s="304" t="s">
        <v>175</v>
      </c>
      <c r="B10" s="306"/>
      <c r="C10" s="118"/>
      <c r="D10" s="119"/>
      <c r="E10" s="118"/>
      <c r="F10" s="119"/>
      <c r="G10" s="118"/>
    </row>
    <row r="11" spans="1:7" ht="15.65" customHeight="1">
      <c r="A11" s="304" t="s">
        <v>178</v>
      </c>
      <c r="B11" s="272">
        <v>3000</v>
      </c>
      <c r="C11" s="119">
        <v>1211</v>
      </c>
      <c r="D11" s="119">
        <f>'1. Фін результат'!D143</f>
        <v>1128</v>
      </c>
      <c r="E11" s="119">
        <f>'1. Фін результат'!E143</f>
        <v>1505</v>
      </c>
      <c r="F11" s="117">
        <f>E11-D11</f>
        <v>377</v>
      </c>
      <c r="G11" s="120">
        <f>E11/D11*100</f>
        <v>133.42198581560282</v>
      </c>
    </row>
    <row r="12" spans="1:7" ht="15.75" customHeight="1">
      <c r="A12" s="304" t="s">
        <v>179</v>
      </c>
      <c r="B12" s="272">
        <v>3010</v>
      </c>
      <c r="C12" s="119">
        <v>4631</v>
      </c>
      <c r="D12" s="119"/>
      <c r="E12" s="119">
        <f>E13</f>
        <v>-987</v>
      </c>
      <c r="F12" s="117">
        <f>E12-D12</f>
        <v>-987</v>
      </c>
      <c r="G12" s="120"/>
    </row>
    <row r="13" spans="1:7" ht="15.75" customHeight="1">
      <c r="A13" s="304" t="s">
        <v>531</v>
      </c>
      <c r="B13" s="272" t="s">
        <v>463</v>
      </c>
      <c r="C13" s="119">
        <v>4631</v>
      </c>
      <c r="D13" s="119"/>
      <c r="E13" s="119">
        <v>-987</v>
      </c>
      <c r="F13" s="119"/>
      <c r="G13" s="118"/>
    </row>
    <row r="14" spans="1:7" ht="31.5" customHeight="1">
      <c r="A14" s="304" t="s">
        <v>180</v>
      </c>
      <c r="B14" s="272">
        <v>3020</v>
      </c>
      <c r="C14" s="119"/>
      <c r="D14" s="119"/>
      <c r="E14" s="119"/>
      <c r="F14" s="119"/>
      <c r="G14" s="118"/>
    </row>
    <row r="15" spans="1:7" ht="31.5" customHeight="1">
      <c r="A15" s="304" t="s">
        <v>181</v>
      </c>
      <c r="B15" s="272">
        <v>3030</v>
      </c>
      <c r="C15" s="119">
        <v>-150</v>
      </c>
      <c r="D15" s="307">
        <v>-1128</v>
      </c>
      <c r="E15" s="119">
        <f>E16+E17+E18+E19+E20</f>
        <v>-6815</v>
      </c>
      <c r="F15" s="117">
        <f>E15-D15</f>
        <v>-5687</v>
      </c>
      <c r="G15" s="120">
        <f>E15/D15*100</f>
        <v>604.16666666666674</v>
      </c>
    </row>
    <row r="16" spans="1:7" ht="27" customHeight="1">
      <c r="A16" s="308" t="s">
        <v>524</v>
      </c>
      <c r="B16" s="272" t="s">
        <v>423</v>
      </c>
      <c r="C16" s="82"/>
      <c r="D16" s="89"/>
      <c r="E16" s="82"/>
      <c r="F16" s="89"/>
      <c r="G16" s="89"/>
    </row>
    <row r="17" spans="1:7" ht="20.5" customHeight="1">
      <c r="A17" s="304" t="s">
        <v>526</v>
      </c>
      <c r="B17" s="272" t="s">
        <v>424</v>
      </c>
      <c r="C17" s="82">
        <v>-150</v>
      </c>
      <c r="D17" s="307">
        <v>-1128</v>
      </c>
      <c r="E17" s="82">
        <f>623-1505</f>
        <v>-882</v>
      </c>
      <c r="F17" s="117"/>
      <c r="G17" s="120"/>
    </row>
    <row r="18" spans="1:7" ht="31.5" customHeight="1">
      <c r="A18" s="304" t="s">
        <v>527</v>
      </c>
      <c r="B18" s="272" t="s">
        <v>425</v>
      </c>
      <c r="C18" s="82">
        <f>'2. Розрахунки з бюджетом'!C12+'2. Розрахунки з бюджетом'!C13++'2. Розрахунки з бюджетом'!C14+'2. Розрахунки з бюджетом'!C15+'2. Розрахунки з бюджетом'!C16+'2. Розрахунки з бюджетом'!C17</f>
        <v>0</v>
      </c>
      <c r="D18" s="89"/>
      <c r="E18" s="82">
        <f>'2. Розрахунки з бюджетом'!E12+'2. Розрахунки з бюджетом'!E13+'2. Розрахунки з бюджетом'!E14+'2. Розрахунки з бюджетом'!E15+'2. Розрахунки з бюджетом'!E16+'2. Розрахунки з бюджетом'!E17</f>
        <v>0</v>
      </c>
      <c r="F18" s="89"/>
      <c r="G18" s="89"/>
    </row>
    <row r="19" spans="1:7" ht="20.149999999999999" customHeight="1">
      <c r="A19" s="304" t="s">
        <v>525</v>
      </c>
      <c r="B19" s="272" t="s">
        <v>491</v>
      </c>
      <c r="C19" s="82"/>
      <c r="D19" s="89"/>
      <c r="E19" s="82">
        <f>-7610-182+300</f>
        <v>-7492</v>
      </c>
      <c r="F19" s="89"/>
      <c r="G19" s="89"/>
    </row>
    <row r="20" spans="1:7" ht="15.65" customHeight="1">
      <c r="A20" s="304" t="s">
        <v>528</v>
      </c>
      <c r="B20" s="272" t="s">
        <v>470</v>
      </c>
      <c r="C20" s="82"/>
      <c r="D20" s="89"/>
      <c r="E20" s="82">
        <v>1559</v>
      </c>
      <c r="F20" s="89"/>
      <c r="G20" s="89"/>
    </row>
    <row r="21" spans="1:7" ht="31.5" customHeight="1">
      <c r="A21" s="304" t="s">
        <v>251</v>
      </c>
      <c r="B21" s="272">
        <v>3040</v>
      </c>
      <c r="C21" s="119">
        <f>C9+C11+C12+C14+C15</f>
        <v>5999</v>
      </c>
      <c r="D21" s="119">
        <f>D9+D11+D12+D14+D15</f>
        <v>4762.3846400000002</v>
      </c>
      <c r="E21" s="119">
        <f>E9+E11+E12+E14+E15</f>
        <v>-7663</v>
      </c>
      <c r="F21" s="117">
        <f>E21-D21</f>
        <v>-12425.38464</v>
      </c>
      <c r="G21" s="120">
        <f>E21/D21*100</f>
        <v>-160.90678471531439</v>
      </c>
    </row>
    <row r="22" spans="1:7" ht="31">
      <c r="A22" s="304" t="s">
        <v>182</v>
      </c>
      <c r="B22" s="272">
        <v>3050</v>
      </c>
      <c r="C22" s="119">
        <f>C23+C24+C25</f>
        <v>-5995</v>
      </c>
      <c r="D22" s="119">
        <v>0</v>
      </c>
      <c r="E22" s="119">
        <f>E23+E24+E25</f>
        <v>2293</v>
      </c>
      <c r="F22" s="117">
        <f>E22-D22</f>
        <v>2293</v>
      </c>
      <c r="G22" s="120"/>
    </row>
    <row r="23" spans="1:7" ht="28.5" customHeight="1">
      <c r="A23" s="304" t="s">
        <v>517</v>
      </c>
      <c r="B23" s="272" t="s">
        <v>426</v>
      </c>
      <c r="C23" s="82">
        <v>-3704</v>
      </c>
      <c r="D23" s="89"/>
      <c r="E23" s="82">
        <v>2668</v>
      </c>
      <c r="F23" s="117">
        <f>E23-D23</f>
        <v>2668</v>
      </c>
      <c r="G23" s="120"/>
    </row>
    <row r="24" spans="1:7" ht="19.5" customHeight="1">
      <c r="A24" s="304" t="s">
        <v>529</v>
      </c>
      <c r="B24" s="272" t="s">
        <v>519</v>
      </c>
      <c r="C24" s="82">
        <v>-2140</v>
      </c>
      <c r="D24" s="89"/>
      <c r="E24" s="82">
        <v>-330</v>
      </c>
      <c r="F24" s="117"/>
      <c r="G24" s="120"/>
    </row>
    <row r="25" spans="1:7" ht="19.5" customHeight="1">
      <c r="A25" s="304" t="s">
        <v>518</v>
      </c>
      <c r="B25" s="272" t="s">
        <v>520</v>
      </c>
      <c r="C25" s="82">
        <v>-151</v>
      </c>
      <c r="D25" s="89"/>
      <c r="E25" s="82">
        <v>-45</v>
      </c>
      <c r="F25" s="117"/>
      <c r="G25" s="120"/>
    </row>
    <row r="26" spans="1:7" ht="31.5" customHeight="1">
      <c r="A26" s="304" t="s">
        <v>183</v>
      </c>
      <c r="B26" s="272">
        <v>3060</v>
      </c>
      <c r="C26" s="119">
        <f>C27</f>
        <v>1111</v>
      </c>
      <c r="D26" s="119">
        <v>0</v>
      </c>
      <c r="E26" s="119">
        <f>E27</f>
        <v>7642</v>
      </c>
      <c r="F26" s="117">
        <f>E26-D26</f>
        <v>7642</v>
      </c>
      <c r="G26" s="120"/>
    </row>
    <row r="27" spans="1:7" ht="46.5">
      <c r="A27" s="304" t="s">
        <v>427</v>
      </c>
      <c r="B27" s="272" t="s">
        <v>428</v>
      </c>
      <c r="C27" s="119">
        <v>1111</v>
      </c>
      <c r="D27" s="89"/>
      <c r="E27" s="82">
        <v>7642</v>
      </c>
      <c r="F27" s="89"/>
      <c r="G27" s="89"/>
    </row>
    <row r="28" spans="1:7" ht="15.65" customHeight="1">
      <c r="A28" s="304" t="s">
        <v>176</v>
      </c>
      <c r="B28" s="272">
        <v>3070</v>
      </c>
      <c r="C28" s="119">
        <v>1118</v>
      </c>
      <c r="D28" s="119">
        <f>D21+D22+D26</f>
        <v>4762.3846400000002</v>
      </c>
      <c r="E28" s="119">
        <f>E21+E22+E26</f>
        <v>2272</v>
      </c>
      <c r="F28" s="117">
        <f>E28-D28</f>
        <v>-2490.3846400000002</v>
      </c>
      <c r="G28" s="120">
        <f>E28/D28*100</f>
        <v>47.707192336316623</v>
      </c>
    </row>
    <row r="29" spans="1:7" ht="15.65" customHeight="1">
      <c r="A29" s="304" t="s">
        <v>177</v>
      </c>
      <c r="B29" s="272">
        <v>3080</v>
      </c>
      <c r="C29" s="119">
        <f>'1. Фін результат'!C118</f>
        <v>0</v>
      </c>
      <c r="D29" s="119">
        <f>'1. Фін результат'!D118</f>
        <v>857</v>
      </c>
      <c r="E29" s="119">
        <f>'1. Фін результат'!E118</f>
        <v>0</v>
      </c>
      <c r="F29" s="117">
        <f>E29-D29</f>
        <v>-857</v>
      </c>
      <c r="G29" s="120"/>
    </row>
    <row r="30" spans="1:7" ht="15.65" customHeight="1">
      <c r="A30" s="243" t="s">
        <v>155</v>
      </c>
      <c r="B30" s="272">
        <v>3090</v>
      </c>
      <c r="C30" s="119">
        <f>C28-C29</f>
        <v>1118</v>
      </c>
      <c r="D30" s="119">
        <f>D28-D29</f>
        <v>3905.3846400000002</v>
      </c>
      <c r="E30" s="119">
        <f>E28-E29</f>
        <v>2272</v>
      </c>
      <c r="F30" s="117">
        <f>E30-D30</f>
        <v>-1633.3846400000002</v>
      </c>
      <c r="G30" s="120">
        <f>E30/D30*100</f>
        <v>58.176087874407166</v>
      </c>
    </row>
    <row r="31" spans="1:7" ht="15.75" customHeight="1">
      <c r="A31" s="320" t="s">
        <v>157</v>
      </c>
      <c r="B31" s="320"/>
      <c r="C31" s="320"/>
      <c r="D31" s="320"/>
      <c r="E31" s="320"/>
      <c r="F31" s="320"/>
      <c r="G31" s="320"/>
    </row>
    <row r="32" spans="1:7" ht="15.75" customHeight="1">
      <c r="A32" s="304" t="s">
        <v>283</v>
      </c>
      <c r="B32" s="305"/>
      <c r="C32" s="117"/>
      <c r="D32" s="117"/>
      <c r="E32" s="117"/>
      <c r="F32" s="117"/>
      <c r="G32" s="120"/>
    </row>
    <row r="33" spans="1:7" ht="15.75" customHeight="1">
      <c r="A33" s="243" t="s">
        <v>32</v>
      </c>
      <c r="B33" s="305">
        <v>3200</v>
      </c>
      <c r="C33" s="117"/>
      <c r="D33" s="117"/>
      <c r="E33" s="117"/>
      <c r="F33" s="117"/>
      <c r="G33" s="120"/>
    </row>
    <row r="34" spans="1:7" ht="15.65" customHeight="1">
      <c r="A34" s="243" t="s">
        <v>33</v>
      </c>
      <c r="B34" s="305">
        <v>3210</v>
      </c>
      <c r="C34" s="117"/>
      <c r="D34" s="117"/>
      <c r="E34" s="117"/>
      <c r="F34" s="117"/>
      <c r="G34" s="120"/>
    </row>
    <row r="35" spans="1:7" ht="15.75" customHeight="1">
      <c r="A35" s="243" t="s">
        <v>54</v>
      </c>
      <c r="B35" s="305">
        <v>3220</v>
      </c>
      <c r="C35" s="117"/>
      <c r="D35" s="117"/>
      <c r="E35" s="117"/>
      <c r="F35" s="117"/>
      <c r="G35" s="120"/>
    </row>
    <row r="36" spans="1:7" ht="15.65" customHeight="1">
      <c r="A36" s="304" t="s">
        <v>160</v>
      </c>
      <c r="B36" s="305"/>
      <c r="C36" s="117"/>
      <c r="D36" s="117"/>
      <c r="E36" s="117"/>
      <c r="F36" s="117"/>
      <c r="G36" s="120"/>
    </row>
    <row r="37" spans="1:7">
      <c r="A37" s="243" t="s">
        <v>161</v>
      </c>
      <c r="B37" s="305">
        <v>3230</v>
      </c>
      <c r="C37" s="117"/>
      <c r="D37" s="117"/>
      <c r="E37" s="117">
        <v>1</v>
      </c>
      <c r="F37" s="117"/>
      <c r="G37" s="120"/>
    </row>
    <row r="38" spans="1:7" ht="15.75" customHeight="1">
      <c r="A38" s="243" t="s">
        <v>162</v>
      </c>
      <c r="B38" s="305">
        <v>3240</v>
      </c>
      <c r="C38" s="117"/>
      <c r="D38" s="117"/>
      <c r="E38" s="117"/>
      <c r="F38" s="117"/>
      <c r="G38" s="120"/>
    </row>
    <row r="39" spans="1:7" ht="15.75" customHeight="1">
      <c r="A39" s="304" t="s">
        <v>163</v>
      </c>
      <c r="B39" s="305">
        <v>3250</v>
      </c>
      <c r="C39" s="117"/>
      <c r="D39" s="117"/>
      <c r="E39" s="117"/>
      <c r="F39" s="117"/>
      <c r="G39" s="120"/>
    </row>
    <row r="40" spans="1:7" ht="15.75" customHeight="1">
      <c r="A40" s="243" t="s">
        <v>117</v>
      </c>
      <c r="B40" s="305">
        <v>3260</v>
      </c>
      <c r="C40" s="117"/>
      <c r="D40" s="117"/>
      <c r="E40" s="117"/>
      <c r="F40" s="117"/>
      <c r="G40" s="120"/>
    </row>
    <row r="41" spans="1:7" ht="15.65" customHeight="1">
      <c r="A41" s="304" t="s">
        <v>284</v>
      </c>
      <c r="B41" s="305"/>
      <c r="C41" s="117"/>
      <c r="D41" s="117"/>
      <c r="E41" s="117"/>
      <c r="F41" s="117"/>
      <c r="G41" s="120"/>
    </row>
    <row r="42" spans="1:7" ht="31" customHeight="1">
      <c r="A42" s="243" t="s">
        <v>118</v>
      </c>
      <c r="B42" s="305">
        <v>3270</v>
      </c>
      <c r="C42" s="117">
        <f>C43</f>
        <v>3559</v>
      </c>
      <c r="D42" s="117">
        <f>D43</f>
        <v>7874</v>
      </c>
      <c r="E42" s="117">
        <f>E43</f>
        <v>8334</v>
      </c>
      <c r="F42" s="117">
        <f>E42-D42</f>
        <v>460</v>
      </c>
      <c r="G42" s="120">
        <f>E42/D42*100</f>
        <v>105.84201168402336</v>
      </c>
    </row>
    <row r="43" spans="1:7" ht="33.75" customHeight="1">
      <c r="A43" s="243" t="s">
        <v>471</v>
      </c>
      <c r="B43" s="305" t="s">
        <v>562</v>
      </c>
      <c r="C43" s="117">
        <v>3559</v>
      </c>
      <c r="D43" s="117">
        <v>7874</v>
      </c>
      <c r="E43" s="117">
        <v>8334</v>
      </c>
      <c r="F43" s="117"/>
      <c r="G43" s="120"/>
    </row>
    <row r="44" spans="1:7">
      <c r="A44" s="243" t="s">
        <v>119</v>
      </c>
      <c r="B44" s="305">
        <v>3280</v>
      </c>
      <c r="C44" s="117">
        <f>C45</f>
        <v>0</v>
      </c>
      <c r="D44" s="117">
        <f>D45</f>
        <v>0</v>
      </c>
      <c r="E44" s="117"/>
      <c r="F44" s="117"/>
      <c r="G44" s="120"/>
    </row>
    <row r="45" spans="1:7" ht="31" customHeight="1">
      <c r="A45" s="243" t="s">
        <v>467</v>
      </c>
      <c r="B45" s="305" t="s">
        <v>466</v>
      </c>
      <c r="C45" s="117"/>
      <c r="D45" s="117"/>
      <c r="E45" s="117"/>
      <c r="F45" s="117"/>
      <c r="G45" s="120"/>
    </row>
    <row r="46" spans="1:7" ht="31">
      <c r="A46" s="243" t="s">
        <v>120</v>
      </c>
      <c r="B46" s="305">
        <v>3290</v>
      </c>
      <c r="C46" s="117"/>
      <c r="D46" s="117"/>
      <c r="E46" s="117"/>
      <c r="F46" s="117"/>
      <c r="G46" s="120"/>
    </row>
    <row r="47" spans="1:7">
      <c r="A47" s="243" t="s">
        <v>55</v>
      </c>
      <c r="B47" s="305">
        <v>3300</v>
      </c>
      <c r="C47" s="117"/>
      <c r="D47" s="117"/>
      <c r="E47" s="117"/>
      <c r="F47" s="117"/>
      <c r="G47" s="120"/>
    </row>
    <row r="48" spans="1:7">
      <c r="A48" s="243" t="s">
        <v>112</v>
      </c>
      <c r="B48" s="305">
        <v>3310</v>
      </c>
      <c r="C48" s="117">
        <f>C49</f>
        <v>0</v>
      </c>
      <c r="D48" s="117"/>
      <c r="E48" s="117">
        <f>E49</f>
        <v>71</v>
      </c>
      <c r="F48" s="117"/>
      <c r="G48" s="120"/>
    </row>
    <row r="49" spans="1:7" ht="31.5" customHeight="1">
      <c r="A49" s="243" t="s">
        <v>429</v>
      </c>
      <c r="B49" s="272" t="s">
        <v>430</v>
      </c>
      <c r="C49" s="89"/>
      <c r="D49" s="89"/>
      <c r="E49" s="89">
        <v>71</v>
      </c>
      <c r="F49" s="309"/>
      <c r="G49" s="309"/>
    </row>
    <row r="50" spans="1:7">
      <c r="A50" s="304" t="s">
        <v>158</v>
      </c>
      <c r="B50" s="305">
        <v>3320</v>
      </c>
      <c r="C50" s="117">
        <f>C33+C34+C35+C36+C39+C40-C42-C44-C46-C47-C48+C37</f>
        <v>-3559</v>
      </c>
      <c r="D50" s="117">
        <f>D33+D34+D35+D36+D39+D40-D42-D44-D46-D47-D48</f>
        <v>-7874</v>
      </c>
      <c r="E50" s="117">
        <f>E33+E34+E35+E36+E39+E40-E42-E44-E46-E47-E48+E37</f>
        <v>-8404</v>
      </c>
      <c r="F50" s="117">
        <f>E50-D50</f>
        <v>-530</v>
      </c>
      <c r="G50" s="120">
        <f>E50/D50*100</f>
        <v>106.73101346202691</v>
      </c>
    </row>
    <row r="51" spans="1:7" ht="15.75" customHeight="1">
      <c r="A51" s="320" t="s">
        <v>159</v>
      </c>
      <c r="B51" s="320"/>
      <c r="C51" s="320"/>
      <c r="D51" s="320"/>
      <c r="E51" s="320"/>
      <c r="F51" s="320"/>
      <c r="G51" s="320"/>
    </row>
    <row r="52" spans="1:7">
      <c r="A52" s="304" t="s">
        <v>283</v>
      </c>
      <c r="B52" s="305"/>
      <c r="C52" s="120"/>
      <c r="D52" s="117"/>
      <c r="E52" s="120"/>
      <c r="F52" s="117"/>
      <c r="G52" s="120"/>
    </row>
    <row r="53" spans="1:7" ht="15.65" customHeight="1">
      <c r="A53" s="304" t="s">
        <v>164</v>
      </c>
      <c r="B53" s="305">
        <v>3400</v>
      </c>
      <c r="C53" s="120"/>
      <c r="D53" s="117"/>
      <c r="E53" s="120"/>
      <c r="F53" s="117"/>
      <c r="G53" s="120"/>
    </row>
    <row r="54" spans="1:7" ht="31">
      <c r="A54" s="243" t="s">
        <v>91</v>
      </c>
      <c r="B54" s="306"/>
      <c r="C54" s="122"/>
      <c r="D54" s="310"/>
      <c r="E54" s="122"/>
      <c r="F54" s="310"/>
      <c r="G54" s="306"/>
    </row>
    <row r="55" spans="1:7">
      <c r="A55" s="243" t="s">
        <v>90</v>
      </c>
      <c r="B55" s="305">
        <v>3410</v>
      </c>
      <c r="C55" s="120"/>
      <c r="D55" s="117"/>
      <c r="E55" s="120"/>
      <c r="F55" s="117"/>
      <c r="G55" s="120"/>
    </row>
    <row r="56" spans="1:7">
      <c r="A56" s="243" t="s">
        <v>95</v>
      </c>
      <c r="B56" s="272">
        <v>3420</v>
      </c>
      <c r="C56" s="118"/>
      <c r="D56" s="119"/>
      <c r="E56" s="118"/>
      <c r="F56" s="119"/>
      <c r="G56" s="118"/>
    </row>
    <row r="57" spans="1:7" ht="15.75" customHeight="1">
      <c r="A57" s="243" t="s">
        <v>121</v>
      </c>
      <c r="B57" s="305">
        <v>3430</v>
      </c>
      <c r="C57" s="120"/>
      <c r="D57" s="117"/>
      <c r="E57" s="120"/>
      <c r="F57" s="117"/>
      <c r="G57" s="120"/>
    </row>
    <row r="58" spans="1:7" ht="31">
      <c r="A58" s="243" t="s">
        <v>93</v>
      </c>
      <c r="B58" s="305"/>
      <c r="C58" s="120"/>
      <c r="D58" s="117"/>
      <c r="E58" s="120"/>
      <c r="F58" s="117"/>
      <c r="G58" s="120"/>
    </row>
    <row r="59" spans="1:7" ht="15.65" customHeight="1">
      <c r="A59" s="243" t="s">
        <v>90</v>
      </c>
      <c r="B59" s="272">
        <v>3440</v>
      </c>
      <c r="C59" s="118"/>
      <c r="D59" s="119"/>
      <c r="E59" s="118"/>
      <c r="F59" s="119"/>
      <c r="G59" s="118"/>
    </row>
    <row r="60" spans="1:7" ht="15.75" customHeight="1">
      <c r="A60" s="243" t="s">
        <v>95</v>
      </c>
      <c r="B60" s="272">
        <v>3450</v>
      </c>
      <c r="C60" s="118"/>
      <c r="D60" s="119"/>
      <c r="E60" s="118"/>
      <c r="F60" s="119"/>
      <c r="G60" s="118"/>
    </row>
    <row r="61" spans="1:7">
      <c r="A61" s="243" t="s">
        <v>121</v>
      </c>
      <c r="B61" s="272">
        <v>3460</v>
      </c>
      <c r="C61" s="118"/>
      <c r="D61" s="119"/>
      <c r="E61" s="118"/>
      <c r="F61" s="119"/>
      <c r="G61" s="118"/>
    </row>
    <row r="62" spans="1:7" ht="15.65" customHeight="1">
      <c r="A62" s="243" t="s">
        <v>116</v>
      </c>
      <c r="B62" s="272">
        <v>3470</v>
      </c>
      <c r="C62" s="118">
        <f>C63</f>
        <v>0</v>
      </c>
      <c r="D62" s="118">
        <f>D63</f>
        <v>7500</v>
      </c>
      <c r="E62" s="118">
        <f>E63</f>
        <v>7485</v>
      </c>
      <c r="F62" s="119"/>
      <c r="G62" s="118"/>
    </row>
    <row r="63" spans="1:7" ht="15.75" customHeight="1">
      <c r="A63" s="243" t="s">
        <v>540</v>
      </c>
      <c r="B63" s="272" t="s">
        <v>443</v>
      </c>
      <c r="C63" s="119"/>
      <c r="D63" s="119">
        <v>7500</v>
      </c>
      <c r="E63" s="119">
        <v>7485</v>
      </c>
      <c r="F63" s="119"/>
      <c r="G63" s="118"/>
    </row>
    <row r="64" spans="1:7" ht="15.75" customHeight="1">
      <c r="A64" s="243" t="s">
        <v>117</v>
      </c>
      <c r="B64" s="272">
        <v>3480</v>
      </c>
      <c r="C64" s="119">
        <f>C65+C67</f>
        <v>1000</v>
      </c>
      <c r="D64" s="119">
        <f>D65+D67</f>
        <v>0</v>
      </c>
      <c r="E64" s="119">
        <f>E65+E67</f>
        <v>0</v>
      </c>
      <c r="F64" s="117">
        <f>E64-D64</f>
        <v>0</v>
      </c>
      <c r="G64" s="120">
        <v>0</v>
      </c>
    </row>
    <row r="65" spans="1:7" ht="31" customHeight="1">
      <c r="A65" s="243" t="s">
        <v>475</v>
      </c>
      <c r="B65" s="272" t="s">
        <v>431</v>
      </c>
      <c r="C65" s="119">
        <v>1000</v>
      </c>
      <c r="D65" s="89"/>
      <c r="E65" s="82"/>
      <c r="F65" s="89"/>
      <c r="G65" s="89"/>
    </row>
    <row r="66" spans="1:7" ht="31.5" hidden="1" customHeight="1">
      <c r="A66" s="243" t="s">
        <v>462</v>
      </c>
      <c r="B66" s="272" t="s">
        <v>468</v>
      </c>
      <c r="C66" s="119">
        <f>C67+C69</f>
        <v>35</v>
      </c>
      <c r="D66" s="89"/>
      <c r="E66" s="82"/>
      <c r="F66" s="89"/>
      <c r="G66" s="89"/>
    </row>
    <row r="67" spans="1:7" ht="31.5" customHeight="1">
      <c r="A67" s="243" t="s">
        <v>469</v>
      </c>
      <c r="B67" s="272" t="s">
        <v>468</v>
      </c>
      <c r="C67" s="119"/>
      <c r="D67" s="89"/>
      <c r="E67" s="82"/>
      <c r="F67" s="89"/>
      <c r="G67" s="89"/>
    </row>
    <row r="68" spans="1:7" ht="15.75" customHeight="1">
      <c r="A68" s="304" t="s">
        <v>284</v>
      </c>
      <c r="B68" s="305"/>
      <c r="C68" s="119"/>
      <c r="D68" s="117"/>
      <c r="E68" s="120"/>
      <c r="F68" s="117"/>
      <c r="G68" s="120"/>
    </row>
    <row r="69" spans="1:7" ht="31" customHeight="1">
      <c r="A69" s="243" t="s">
        <v>454</v>
      </c>
      <c r="B69" s="305">
        <v>3490</v>
      </c>
      <c r="C69" s="117">
        <v>35</v>
      </c>
      <c r="D69" s="117">
        <v>586</v>
      </c>
      <c r="E69" s="117">
        <f>'2. Розрахунки з бюджетом'!E10</f>
        <v>115</v>
      </c>
      <c r="F69" s="117">
        <f>E69-D69</f>
        <v>-471</v>
      </c>
      <c r="G69" s="120">
        <f>E69/D69*100</f>
        <v>19.624573378839592</v>
      </c>
    </row>
    <row r="70" spans="1:7" ht="63" customHeight="1">
      <c r="A70" s="243" t="s">
        <v>455</v>
      </c>
      <c r="B70" s="305">
        <v>3500</v>
      </c>
      <c r="C70" s="117">
        <v>116</v>
      </c>
      <c r="D70" s="117">
        <v>1992</v>
      </c>
      <c r="E70" s="117">
        <f>'2. Розрахунки з бюджетом'!E11</f>
        <v>391</v>
      </c>
      <c r="F70" s="117"/>
      <c r="G70" s="120"/>
    </row>
    <row r="71" spans="1:7" ht="31.5" customHeight="1">
      <c r="A71" s="243" t="s">
        <v>94</v>
      </c>
      <c r="B71" s="305"/>
      <c r="C71" s="120"/>
      <c r="D71" s="117"/>
      <c r="E71" s="120"/>
      <c r="F71" s="117"/>
      <c r="G71" s="120"/>
    </row>
    <row r="72" spans="1:7">
      <c r="A72" s="243" t="s">
        <v>90</v>
      </c>
      <c r="B72" s="272">
        <v>3510</v>
      </c>
      <c r="C72" s="118"/>
      <c r="D72" s="119"/>
      <c r="E72" s="118"/>
      <c r="F72" s="119"/>
      <c r="G72" s="118"/>
    </row>
    <row r="73" spans="1:7" ht="15.65" customHeight="1">
      <c r="A73" s="243" t="s">
        <v>95</v>
      </c>
      <c r="B73" s="272">
        <v>3520</v>
      </c>
      <c r="C73" s="118"/>
      <c r="D73" s="119"/>
      <c r="E73" s="118"/>
      <c r="F73" s="119"/>
      <c r="G73" s="118"/>
    </row>
    <row r="74" spans="1:7">
      <c r="A74" s="243" t="s">
        <v>121</v>
      </c>
      <c r="B74" s="272">
        <v>3530</v>
      </c>
      <c r="C74" s="118"/>
      <c r="D74" s="119"/>
      <c r="E74" s="118"/>
      <c r="F74" s="119"/>
      <c r="G74" s="118"/>
    </row>
    <row r="75" spans="1:7" ht="31">
      <c r="A75" s="243" t="s">
        <v>92</v>
      </c>
      <c r="B75" s="305"/>
      <c r="C75" s="120"/>
      <c r="D75" s="117"/>
      <c r="E75" s="120"/>
      <c r="F75" s="117"/>
      <c r="G75" s="120"/>
    </row>
    <row r="76" spans="1:7" ht="15.75" customHeight="1">
      <c r="A76" s="243" t="s">
        <v>90</v>
      </c>
      <c r="B76" s="272">
        <v>3540</v>
      </c>
      <c r="C76" s="118"/>
      <c r="D76" s="119"/>
      <c r="E76" s="118"/>
      <c r="F76" s="119"/>
      <c r="G76" s="118"/>
    </row>
    <row r="77" spans="1:7">
      <c r="A77" s="243" t="s">
        <v>95</v>
      </c>
      <c r="B77" s="272">
        <v>3550</v>
      </c>
      <c r="C77" s="118"/>
      <c r="D77" s="119"/>
      <c r="E77" s="118"/>
      <c r="F77" s="119"/>
      <c r="G77" s="118"/>
    </row>
    <row r="78" spans="1:7" ht="15.75" customHeight="1">
      <c r="A78" s="243" t="s">
        <v>121</v>
      </c>
      <c r="B78" s="272">
        <v>3560</v>
      </c>
      <c r="C78" s="118"/>
      <c r="D78" s="119"/>
      <c r="E78" s="118"/>
      <c r="F78" s="119"/>
      <c r="G78" s="118"/>
    </row>
    <row r="79" spans="1:7" ht="15.75" customHeight="1">
      <c r="A79" s="243" t="s">
        <v>112</v>
      </c>
      <c r="B79" s="272">
        <v>3570</v>
      </c>
      <c r="C79" s="119">
        <f>C80</f>
        <v>740.5</v>
      </c>
      <c r="D79" s="119"/>
      <c r="E79" s="118">
        <f>E80</f>
        <v>1022</v>
      </c>
      <c r="F79" s="117">
        <f>E79-D79</f>
        <v>1022</v>
      </c>
      <c r="G79" s="120"/>
    </row>
    <row r="80" spans="1:7" ht="15.75" customHeight="1">
      <c r="A80" s="304" t="s">
        <v>565</v>
      </c>
      <c r="B80" s="272" t="s">
        <v>530</v>
      </c>
      <c r="C80" s="119">
        <v>740.5</v>
      </c>
      <c r="D80" s="119"/>
      <c r="E80" s="119">
        <v>1022</v>
      </c>
      <c r="F80" s="117"/>
      <c r="G80" s="120"/>
    </row>
    <row r="81" spans="1:7" ht="15.65" customHeight="1">
      <c r="A81" s="304" t="s">
        <v>464</v>
      </c>
      <c r="B81" s="272">
        <v>3580</v>
      </c>
      <c r="C81" s="119">
        <f>C53+C55+C56+C57+C59+C60+C61+C62+C64-C69-C70-C72-C73-C74-C76-C77-C78-C79</f>
        <v>108.5</v>
      </c>
      <c r="D81" s="119">
        <f>D53+D55+D56+D57+D59+D60+D61+D62+D64-D69-D70-D72-D73-D74-D76-D77-D78-D79</f>
        <v>4922</v>
      </c>
      <c r="E81" s="119">
        <f>$E$53+$E$55+$E$56+$E$57+$E$59+$E$60+$E$61+$E$62+$E$64-$E$69-$E$70-$E$72-$E$73-$E$74-$E$76-$E$77-$E$78-$E$79</f>
        <v>5957</v>
      </c>
      <c r="F81" s="117"/>
      <c r="G81" s="120"/>
    </row>
    <row r="82" spans="1:7" ht="15.75" customHeight="1">
      <c r="A82" s="243" t="s">
        <v>465</v>
      </c>
      <c r="B82" s="272"/>
      <c r="C82" s="118"/>
      <c r="D82" s="119"/>
      <c r="E82" s="118"/>
      <c r="F82" s="117"/>
      <c r="G82" s="120"/>
    </row>
    <row r="83" spans="1:7" ht="15.75" customHeight="1">
      <c r="A83" s="243" t="s">
        <v>34</v>
      </c>
      <c r="B83" s="272">
        <v>3600</v>
      </c>
      <c r="C83" s="119">
        <v>5915</v>
      </c>
      <c r="D83" s="119">
        <v>7588</v>
      </c>
      <c r="E83" s="119">
        <v>3582.3</v>
      </c>
      <c r="F83" s="117">
        <f>E83-D83</f>
        <v>-4005.7</v>
      </c>
      <c r="G83" s="120">
        <f>E83/D83*100</f>
        <v>47.210068529256723</v>
      </c>
    </row>
    <row r="84" spans="1:7" ht="15.75" customHeight="1">
      <c r="A84" s="311" t="s">
        <v>285</v>
      </c>
      <c r="B84" s="272">
        <v>3610</v>
      </c>
      <c r="C84" s="118"/>
      <c r="D84" s="119"/>
      <c r="E84" s="118"/>
      <c r="F84" s="119"/>
      <c r="G84" s="118"/>
    </row>
    <row r="85" spans="1:7" ht="15.75" customHeight="1">
      <c r="A85" s="243" t="s">
        <v>56</v>
      </c>
      <c r="B85" s="272">
        <v>3620</v>
      </c>
      <c r="C85" s="119">
        <f>C83+C30+C50+C81</f>
        <v>3582.5</v>
      </c>
      <c r="D85" s="119">
        <f>D83+D30+D50+D81</f>
        <v>8541.3846400000002</v>
      </c>
      <c r="E85" s="119">
        <f>E83+E30+E50+E81</f>
        <v>3407.3</v>
      </c>
      <c r="F85" s="117">
        <f>E85-D85</f>
        <v>-5134.08464</v>
      </c>
      <c r="G85" s="120">
        <f>E85/D85*100</f>
        <v>39.891658596468496</v>
      </c>
    </row>
    <row r="86" spans="1:7" ht="15.75" customHeight="1">
      <c r="A86" s="343" t="s">
        <v>35</v>
      </c>
      <c r="B86" s="344">
        <v>3630</v>
      </c>
      <c r="C86" s="345">
        <f>C85-C83+1</f>
        <v>-2331.5</v>
      </c>
      <c r="D86" s="345">
        <f>D85-D83</f>
        <v>953.38464000000022</v>
      </c>
      <c r="E86" s="345">
        <f>E85-E83</f>
        <v>-175</v>
      </c>
      <c r="F86" s="346">
        <f>E86-D86</f>
        <v>-1128.3846400000002</v>
      </c>
      <c r="G86" s="347">
        <f>E86/D86*100</f>
        <v>-18.355655488638874</v>
      </c>
    </row>
    <row r="87" spans="1:7" ht="15.75" customHeight="1">
      <c r="A87" s="350"/>
      <c r="B87" s="351"/>
      <c r="C87" s="351"/>
      <c r="D87" s="351"/>
      <c r="E87" s="351"/>
      <c r="F87" s="351"/>
      <c r="G87" s="351"/>
    </row>
    <row r="88" spans="1:7" ht="15.75" customHeight="1">
      <c r="A88" s="348"/>
      <c r="B88" s="329"/>
      <c r="C88" s="330"/>
      <c r="D88" s="331"/>
      <c r="E88" s="332"/>
      <c r="F88" s="333"/>
      <c r="G88" s="333"/>
    </row>
    <row r="89" spans="1:7" ht="31">
      <c r="A89" s="348" t="s">
        <v>568</v>
      </c>
      <c r="B89" s="329"/>
      <c r="C89" s="334"/>
      <c r="D89" s="334"/>
      <c r="E89" s="335"/>
      <c r="F89" s="336" t="s">
        <v>557</v>
      </c>
      <c r="G89" s="334"/>
    </row>
    <row r="90" spans="1:7">
      <c r="A90" s="349" t="s">
        <v>364</v>
      </c>
      <c r="B90" s="334"/>
      <c r="C90" s="337" t="s">
        <v>78</v>
      </c>
      <c r="D90" s="337"/>
      <c r="E90" s="334"/>
      <c r="F90" s="334" t="s">
        <v>102</v>
      </c>
      <c r="G90" s="334"/>
    </row>
    <row r="91" spans="1:7" ht="15.75" customHeight="1">
      <c r="A91" s="334"/>
      <c r="B91" s="334"/>
      <c r="C91" s="334"/>
      <c r="D91" s="334"/>
      <c r="E91" s="334"/>
      <c r="F91" s="334"/>
      <c r="G91" s="334"/>
    </row>
    <row r="92" spans="1:7" ht="15.65" customHeight="1">
      <c r="A92" s="338"/>
      <c r="B92" s="338"/>
      <c r="C92" s="338"/>
      <c r="D92" s="338"/>
      <c r="E92" s="338"/>
      <c r="F92" s="338"/>
      <c r="G92" s="338"/>
    </row>
    <row r="93" spans="1:7" ht="15.65" customHeight="1">
      <c r="A93" s="339"/>
      <c r="B93" s="339"/>
      <c r="C93" s="339"/>
      <c r="D93" s="339"/>
      <c r="E93" s="339"/>
      <c r="F93" s="339"/>
      <c r="G93" s="339"/>
    </row>
    <row r="94" spans="1:7">
      <c r="A94" s="339"/>
      <c r="B94" s="339"/>
      <c r="C94" s="339"/>
      <c r="D94" s="339"/>
      <c r="E94" s="339"/>
      <c r="F94" s="339"/>
      <c r="G94" s="339"/>
    </row>
    <row r="95" spans="1:7" ht="15.75" customHeight="1">
      <c r="A95" s="339"/>
      <c r="B95" s="339"/>
      <c r="C95" s="339"/>
      <c r="D95" s="339"/>
      <c r="E95" s="339"/>
      <c r="F95" s="339"/>
      <c r="G95" s="339"/>
    </row>
    <row r="97" ht="15.65" customHeight="1"/>
    <row r="104" ht="15.75" customHeight="1"/>
    <row r="106" ht="15.65" customHeight="1"/>
    <row r="112" ht="15.75" customHeight="1"/>
    <row r="114" ht="15.65" customHeight="1"/>
  </sheetData>
  <sheetProtection formatCells="0" formatColumns="0" formatRows="0" insertRows="0" deleteRows="0"/>
  <mergeCells count="11">
    <mergeCell ref="A92:G92"/>
    <mergeCell ref="C90:D90"/>
    <mergeCell ref="A31:G31"/>
    <mergeCell ref="A51:G51"/>
    <mergeCell ref="E88:G88"/>
    <mergeCell ref="A8:G8"/>
    <mergeCell ref="A3:G3"/>
    <mergeCell ref="A5:A6"/>
    <mergeCell ref="B5:B6"/>
    <mergeCell ref="D5:G5"/>
    <mergeCell ref="C5:C6"/>
  </mergeCells>
  <phoneticPr fontId="3" type="noConversion"/>
  <pageMargins left="1.1811023622047243" right="0.39370078740157483" top="0.78740157480314965" bottom="0.78740157480314965" header="0" footer="0"/>
  <pageSetup paperSize="9" scale="67" fitToHeight="0" orientation="portrait" r:id="rId1"/>
  <headerFooter alignWithMargins="0"/>
  <rowBreaks count="1" manualBreakCount="1">
    <brk id="50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5">
    <tabColor rgb="FFFFFF99"/>
    <pageSetUpPr fitToPage="1"/>
  </sheetPr>
  <dimension ref="A1:I182"/>
  <sheetViews>
    <sheetView view="pageBreakPreview" topLeftCell="A4" zoomScale="80" zoomScaleNormal="75" zoomScaleSheetLayoutView="80" workbookViewId="0">
      <selection activeCell="A14" sqref="A14"/>
    </sheetView>
  </sheetViews>
  <sheetFormatPr defaultColWidth="9.1796875" defaultRowHeight="15.5"/>
  <cols>
    <col min="1" max="1" width="67.54296875" style="59" customWidth="1"/>
    <col min="2" max="2" width="9.81640625" style="107" customWidth="1"/>
    <col min="3" max="3" width="20.453125" style="107" customWidth="1"/>
    <col min="4" max="4" width="17.54296875" style="107" customWidth="1"/>
    <col min="5" max="5" width="18.453125" style="107" customWidth="1"/>
    <col min="6" max="6" width="18.81640625" style="107" customWidth="1"/>
    <col min="7" max="7" width="18.54296875" style="107" customWidth="1"/>
    <col min="8" max="16384" width="9.1796875" style="59"/>
  </cols>
  <sheetData>
    <row r="1" spans="1:9">
      <c r="A1" s="143" t="s">
        <v>356</v>
      </c>
      <c r="B1" s="143"/>
      <c r="C1" s="143"/>
      <c r="D1" s="143"/>
      <c r="E1" s="143"/>
      <c r="F1" s="143"/>
      <c r="G1" s="143"/>
    </row>
    <row r="2" spans="1:9">
      <c r="A2" s="123"/>
      <c r="B2" s="123"/>
      <c r="C2" s="123"/>
      <c r="D2" s="123"/>
      <c r="E2" s="123"/>
      <c r="F2" s="123"/>
      <c r="G2" s="123"/>
    </row>
    <row r="3" spans="1:9" ht="43.5" customHeight="1">
      <c r="A3" s="124" t="s">
        <v>282</v>
      </c>
      <c r="B3" s="111" t="s">
        <v>18</v>
      </c>
      <c r="C3" s="111" t="s">
        <v>343</v>
      </c>
      <c r="D3" s="116" t="s">
        <v>341</v>
      </c>
      <c r="E3" s="125"/>
      <c r="F3" s="125"/>
      <c r="G3" s="126"/>
    </row>
    <row r="4" spans="1:9" ht="56.25" customHeight="1">
      <c r="A4" s="127"/>
      <c r="B4" s="128"/>
      <c r="C4" s="128"/>
      <c r="D4" s="70" t="s">
        <v>260</v>
      </c>
      <c r="E4" s="70" t="s">
        <v>243</v>
      </c>
      <c r="F4" s="112" t="s">
        <v>270</v>
      </c>
      <c r="G4" s="112" t="s">
        <v>271</v>
      </c>
    </row>
    <row r="5" spans="1:9" ht="18" customHeight="1">
      <c r="A5" s="69">
        <v>1</v>
      </c>
      <c r="B5" s="70">
        <v>2</v>
      </c>
      <c r="C5" s="69">
        <v>3</v>
      </c>
      <c r="D5" s="69">
        <v>4</v>
      </c>
      <c r="E5" s="70">
        <v>5</v>
      </c>
      <c r="F5" s="69">
        <v>6</v>
      </c>
      <c r="G5" s="70">
        <v>7</v>
      </c>
    </row>
    <row r="6" spans="1:9" ht="42.75" customHeight="1">
      <c r="A6" s="76" t="s">
        <v>81</v>
      </c>
      <c r="B6" s="77">
        <v>4000</v>
      </c>
      <c r="C6" s="93">
        <v>3635</v>
      </c>
      <c r="D6" s="129">
        <v>7812</v>
      </c>
      <c r="E6" s="94">
        <f>'6.2. Інша інфо_2'!T43</f>
        <v>8404.6</v>
      </c>
      <c r="F6" s="94">
        <f>E6-D6</f>
        <v>592.60000000000036</v>
      </c>
      <c r="G6" s="121">
        <f>E6/D6*100</f>
        <v>107.5857654889913</v>
      </c>
    </row>
    <row r="7" spans="1:9" ht="20.149999999999999" customHeight="1">
      <c r="A7" s="76" t="s">
        <v>1</v>
      </c>
      <c r="B7" s="69" t="s">
        <v>219</v>
      </c>
      <c r="C7" s="94">
        <v>0</v>
      </c>
      <c r="D7" s="130"/>
      <c r="E7" s="93"/>
      <c r="F7" s="93"/>
      <c r="G7" s="113"/>
    </row>
    <row r="8" spans="1:9" ht="18">
      <c r="A8" s="76" t="s">
        <v>2</v>
      </c>
      <c r="B8" s="77">
        <v>4020</v>
      </c>
      <c r="C8" s="93">
        <v>3635</v>
      </c>
      <c r="D8" s="130">
        <v>7812</v>
      </c>
      <c r="E8" s="94">
        <v>8333</v>
      </c>
      <c r="F8" s="94"/>
      <c r="G8" s="121"/>
      <c r="I8" s="61"/>
    </row>
    <row r="9" spans="1:9">
      <c r="A9" s="76" t="s">
        <v>30</v>
      </c>
      <c r="B9" s="69">
        <v>4030</v>
      </c>
      <c r="C9" s="94"/>
      <c r="D9" s="93"/>
      <c r="E9" s="93">
        <v>71</v>
      </c>
      <c r="F9" s="93"/>
      <c r="G9" s="113"/>
      <c r="H9" s="61"/>
    </row>
    <row r="10" spans="1:9">
      <c r="A10" s="76" t="s">
        <v>3</v>
      </c>
      <c r="B10" s="77">
        <v>4040</v>
      </c>
      <c r="C10" s="93"/>
      <c r="D10" s="94"/>
      <c r="E10" s="94"/>
      <c r="F10" s="94"/>
      <c r="G10" s="121"/>
    </row>
    <row r="11" spans="1:9" ht="31">
      <c r="A11" s="76" t="s">
        <v>71</v>
      </c>
      <c r="B11" s="69">
        <v>4050</v>
      </c>
      <c r="C11" s="94"/>
      <c r="D11" s="93"/>
      <c r="E11" s="93"/>
      <c r="F11" s="93"/>
      <c r="G11" s="113"/>
    </row>
    <row r="12" spans="1:9" ht="20.149999999999999" customHeight="1">
      <c r="B12" s="59"/>
      <c r="C12" s="93"/>
      <c r="D12" s="59"/>
      <c r="E12" s="59"/>
      <c r="F12" s="59"/>
      <c r="G12" s="59"/>
    </row>
    <row r="13" spans="1:9" ht="20.149999999999999" customHeight="1">
      <c r="A13" s="96"/>
      <c r="B13" s="96"/>
      <c r="C13" s="96"/>
      <c r="D13" s="96"/>
      <c r="E13" s="96"/>
      <c r="F13" s="96"/>
      <c r="G13" s="96"/>
    </row>
    <row r="14" spans="1:9">
      <c r="A14" s="102"/>
      <c r="B14" s="96"/>
      <c r="C14" s="96"/>
      <c r="D14" s="96"/>
      <c r="E14" s="96"/>
      <c r="F14" s="96"/>
      <c r="G14" s="96"/>
    </row>
    <row r="15" spans="1:9" ht="31">
      <c r="A15" s="101" t="s">
        <v>568</v>
      </c>
      <c r="B15" s="95"/>
      <c r="C15" s="96"/>
      <c r="D15" s="96"/>
      <c r="E15" s="97"/>
      <c r="F15" s="98" t="s">
        <v>557</v>
      </c>
      <c r="G15" s="96"/>
    </row>
    <row r="16" spans="1:9">
      <c r="A16" s="99" t="s">
        <v>364</v>
      </c>
      <c r="B16" s="96"/>
      <c r="C16" s="100" t="s">
        <v>78</v>
      </c>
      <c r="D16" s="100"/>
      <c r="E16" s="96"/>
      <c r="F16" s="96" t="s">
        <v>102</v>
      </c>
      <c r="G16" s="96"/>
    </row>
    <row r="17" spans="1:7">
      <c r="A17" s="97"/>
      <c r="B17" s="102"/>
      <c r="C17" s="102"/>
      <c r="D17" s="102"/>
      <c r="E17" s="102"/>
      <c r="F17" s="102"/>
      <c r="G17" s="102"/>
    </row>
    <row r="18" spans="1:7">
      <c r="A18" s="97"/>
      <c r="B18" s="102"/>
      <c r="C18" s="102"/>
      <c r="D18" s="102"/>
      <c r="E18" s="102"/>
      <c r="F18" s="102"/>
      <c r="G18" s="102"/>
    </row>
    <row r="19" spans="1:7">
      <c r="A19" s="105"/>
      <c r="B19" s="105"/>
      <c r="C19" s="105"/>
      <c r="D19" s="105"/>
      <c r="E19" s="105"/>
      <c r="F19" s="105"/>
      <c r="G19" s="105"/>
    </row>
    <row r="20" spans="1:7">
      <c r="A20" s="109"/>
    </row>
    <row r="21" spans="1:7">
      <c r="A21" s="109"/>
    </row>
    <row r="22" spans="1:7">
      <c r="A22" s="109"/>
    </row>
    <row r="23" spans="1:7">
      <c r="A23" s="109"/>
    </row>
    <row r="24" spans="1:7">
      <c r="A24" s="109"/>
    </row>
    <row r="25" spans="1:7">
      <c r="A25" s="109"/>
    </row>
    <row r="26" spans="1:7">
      <c r="A26" s="109"/>
    </row>
    <row r="27" spans="1:7">
      <c r="A27" s="109"/>
    </row>
    <row r="28" spans="1:7">
      <c r="A28" s="109"/>
    </row>
    <row r="29" spans="1:7">
      <c r="A29" s="109"/>
    </row>
    <row r="30" spans="1:7">
      <c r="A30" s="109"/>
    </row>
    <row r="31" spans="1:7">
      <c r="A31" s="109"/>
    </row>
    <row r="32" spans="1:7">
      <c r="A32" s="109"/>
    </row>
    <row r="33" spans="1:1">
      <c r="A33" s="109"/>
    </row>
    <row r="34" spans="1:1">
      <c r="A34" s="109"/>
    </row>
    <row r="35" spans="1:1">
      <c r="A35" s="109"/>
    </row>
    <row r="36" spans="1:1">
      <c r="A36" s="109"/>
    </row>
    <row r="37" spans="1:1">
      <c r="A37" s="109"/>
    </row>
    <row r="38" spans="1:1">
      <c r="A38" s="109"/>
    </row>
    <row r="39" spans="1:1">
      <c r="A39" s="109"/>
    </row>
    <row r="40" spans="1:1">
      <c r="A40" s="109"/>
    </row>
    <row r="41" spans="1:1">
      <c r="A41" s="109"/>
    </row>
    <row r="42" spans="1:1">
      <c r="A42" s="109"/>
    </row>
    <row r="43" spans="1:1">
      <c r="A43" s="109"/>
    </row>
    <row r="44" spans="1:1">
      <c r="A44" s="109"/>
    </row>
    <row r="45" spans="1:1">
      <c r="A45" s="109"/>
    </row>
    <row r="46" spans="1:1">
      <c r="A46" s="109"/>
    </row>
    <row r="47" spans="1:1">
      <c r="A47" s="109"/>
    </row>
    <row r="48" spans="1:1">
      <c r="A48" s="109"/>
    </row>
    <row r="49" spans="1:1">
      <c r="A49" s="109"/>
    </row>
    <row r="50" spans="1:1">
      <c r="A50" s="109"/>
    </row>
    <row r="51" spans="1:1">
      <c r="A51" s="109"/>
    </row>
    <row r="52" spans="1:1">
      <c r="A52" s="109"/>
    </row>
    <row r="53" spans="1:1">
      <c r="A53" s="109"/>
    </row>
    <row r="54" spans="1:1">
      <c r="A54" s="109"/>
    </row>
    <row r="55" spans="1:1">
      <c r="A55" s="109"/>
    </row>
    <row r="56" spans="1:1">
      <c r="A56" s="109"/>
    </row>
    <row r="57" spans="1:1">
      <c r="A57" s="109"/>
    </row>
    <row r="58" spans="1:1">
      <c r="A58" s="109"/>
    </row>
    <row r="59" spans="1:1">
      <c r="A59" s="109"/>
    </row>
    <row r="60" spans="1:1">
      <c r="A60" s="109"/>
    </row>
    <row r="61" spans="1:1">
      <c r="A61" s="109"/>
    </row>
    <row r="62" spans="1:1">
      <c r="A62" s="109"/>
    </row>
    <row r="63" spans="1:1">
      <c r="A63" s="109"/>
    </row>
    <row r="64" spans="1:1">
      <c r="A64" s="109"/>
    </row>
    <row r="65" spans="1:1">
      <c r="A65" s="109"/>
    </row>
    <row r="66" spans="1:1">
      <c r="A66" s="109"/>
    </row>
    <row r="67" spans="1:1">
      <c r="A67" s="109"/>
    </row>
    <row r="68" spans="1:1">
      <c r="A68" s="109"/>
    </row>
    <row r="69" spans="1:1">
      <c r="A69" s="109"/>
    </row>
    <row r="70" spans="1:1">
      <c r="A70" s="109"/>
    </row>
    <row r="71" spans="1:1">
      <c r="A71" s="109"/>
    </row>
    <row r="72" spans="1:1">
      <c r="A72" s="109"/>
    </row>
    <row r="73" spans="1:1">
      <c r="A73" s="109"/>
    </row>
    <row r="74" spans="1:1">
      <c r="A74" s="109"/>
    </row>
    <row r="75" spans="1:1">
      <c r="A75" s="109"/>
    </row>
    <row r="76" spans="1:1">
      <c r="A76" s="109"/>
    </row>
    <row r="77" spans="1:1">
      <c r="A77" s="109"/>
    </row>
    <row r="78" spans="1:1">
      <c r="A78" s="109"/>
    </row>
    <row r="79" spans="1:1">
      <c r="A79" s="109"/>
    </row>
    <row r="80" spans="1:1">
      <c r="A80" s="109"/>
    </row>
    <row r="81" spans="1:1">
      <c r="A81" s="109"/>
    </row>
    <row r="82" spans="1:1">
      <c r="A82" s="109"/>
    </row>
    <row r="83" spans="1:1">
      <c r="A83" s="109"/>
    </row>
    <row r="84" spans="1:1">
      <c r="A84" s="109"/>
    </row>
    <row r="85" spans="1:1">
      <c r="A85" s="109"/>
    </row>
    <row r="86" spans="1:1">
      <c r="A86" s="109"/>
    </row>
    <row r="87" spans="1:1">
      <c r="A87" s="109"/>
    </row>
    <row r="88" spans="1:1">
      <c r="A88" s="109"/>
    </row>
    <row r="89" spans="1:1">
      <c r="A89" s="109"/>
    </row>
    <row r="90" spans="1:1">
      <c r="A90" s="109"/>
    </row>
    <row r="91" spans="1:1">
      <c r="A91" s="109"/>
    </row>
    <row r="92" spans="1:1">
      <c r="A92" s="109"/>
    </row>
    <row r="93" spans="1:1">
      <c r="A93" s="109"/>
    </row>
    <row r="94" spans="1:1">
      <c r="A94" s="109"/>
    </row>
    <row r="95" spans="1:1">
      <c r="A95" s="109"/>
    </row>
    <row r="96" spans="1:1">
      <c r="A96" s="109"/>
    </row>
    <row r="97" spans="1:1">
      <c r="A97" s="109"/>
    </row>
    <row r="98" spans="1:1">
      <c r="A98" s="109"/>
    </row>
    <row r="99" spans="1:1">
      <c r="A99" s="109"/>
    </row>
    <row r="100" spans="1:1">
      <c r="A100" s="109"/>
    </row>
    <row r="101" spans="1:1">
      <c r="A101" s="109"/>
    </row>
    <row r="102" spans="1:1">
      <c r="A102" s="109"/>
    </row>
    <row r="103" spans="1:1">
      <c r="A103" s="109"/>
    </row>
    <row r="104" spans="1:1">
      <c r="A104" s="109"/>
    </row>
    <row r="105" spans="1:1">
      <c r="A105" s="109"/>
    </row>
    <row r="106" spans="1:1">
      <c r="A106" s="109"/>
    </row>
    <row r="107" spans="1:1">
      <c r="A107" s="109"/>
    </row>
    <row r="108" spans="1:1">
      <c r="A108" s="109"/>
    </row>
    <row r="109" spans="1:1">
      <c r="A109" s="109"/>
    </row>
    <row r="110" spans="1:1">
      <c r="A110" s="109"/>
    </row>
    <row r="111" spans="1:1">
      <c r="A111" s="109"/>
    </row>
    <row r="112" spans="1:1">
      <c r="A112" s="109"/>
    </row>
    <row r="113" spans="1:1">
      <c r="A113" s="109"/>
    </row>
    <row r="114" spans="1:1">
      <c r="A114" s="109"/>
    </row>
    <row r="115" spans="1:1">
      <c r="A115" s="109"/>
    </row>
    <row r="116" spans="1:1">
      <c r="A116" s="109"/>
    </row>
    <row r="117" spans="1:1">
      <c r="A117" s="109"/>
    </row>
    <row r="118" spans="1:1">
      <c r="A118" s="109"/>
    </row>
    <row r="119" spans="1:1">
      <c r="A119" s="109"/>
    </row>
    <row r="120" spans="1:1">
      <c r="A120" s="109"/>
    </row>
    <row r="121" spans="1:1">
      <c r="A121" s="109"/>
    </row>
    <row r="122" spans="1:1">
      <c r="A122" s="109"/>
    </row>
    <row r="123" spans="1:1">
      <c r="A123" s="109"/>
    </row>
    <row r="124" spans="1:1">
      <c r="A124" s="109"/>
    </row>
    <row r="125" spans="1:1">
      <c r="A125" s="109"/>
    </row>
    <row r="126" spans="1:1">
      <c r="A126" s="109"/>
    </row>
    <row r="127" spans="1:1">
      <c r="A127" s="109"/>
    </row>
    <row r="128" spans="1:1">
      <c r="A128" s="109"/>
    </row>
    <row r="129" spans="1:1">
      <c r="A129" s="109"/>
    </row>
    <row r="130" spans="1:1">
      <c r="A130" s="109"/>
    </row>
    <row r="131" spans="1:1">
      <c r="A131" s="109"/>
    </row>
    <row r="132" spans="1:1">
      <c r="A132" s="109"/>
    </row>
    <row r="133" spans="1:1">
      <c r="A133" s="109"/>
    </row>
    <row r="134" spans="1:1">
      <c r="A134" s="109"/>
    </row>
    <row r="135" spans="1:1">
      <c r="A135" s="109"/>
    </row>
    <row r="136" spans="1:1">
      <c r="A136" s="109"/>
    </row>
    <row r="137" spans="1:1">
      <c r="A137" s="109"/>
    </row>
    <row r="138" spans="1:1">
      <c r="A138" s="109"/>
    </row>
    <row r="139" spans="1:1">
      <c r="A139" s="109"/>
    </row>
    <row r="140" spans="1:1">
      <c r="A140" s="109"/>
    </row>
    <row r="141" spans="1:1">
      <c r="A141" s="109"/>
    </row>
    <row r="142" spans="1:1">
      <c r="A142" s="109"/>
    </row>
    <row r="143" spans="1:1">
      <c r="A143" s="109"/>
    </row>
    <row r="144" spans="1:1">
      <c r="A144" s="109"/>
    </row>
    <row r="145" spans="1:1">
      <c r="A145" s="109"/>
    </row>
    <row r="146" spans="1:1">
      <c r="A146" s="109"/>
    </row>
    <row r="147" spans="1:1">
      <c r="A147" s="109"/>
    </row>
    <row r="148" spans="1:1">
      <c r="A148" s="109"/>
    </row>
    <row r="149" spans="1:1">
      <c r="A149" s="109"/>
    </row>
    <row r="150" spans="1:1">
      <c r="A150" s="109"/>
    </row>
    <row r="151" spans="1:1">
      <c r="A151" s="109"/>
    </row>
    <row r="152" spans="1:1">
      <c r="A152" s="109"/>
    </row>
    <row r="153" spans="1:1">
      <c r="A153" s="109"/>
    </row>
    <row r="154" spans="1:1">
      <c r="A154" s="109"/>
    </row>
    <row r="155" spans="1:1">
      <c r="A155" s="109"/>
    </row>
    <row r="156" spans="1:1">
      <c r="A156" s="109"/>
    </row>
    <row r="157" spans="1:1">
      <c r="A157" s="109"/>
    </row>
    <row r="158" spans="1:1">
      <c r="A158" s="109"/>
    </row>
    <row r="159" spans="1:1">
      <c r="A159" s="109"/>
    </row>
    <row r="160" spans="1:1">
      <c r="A160" s="109"/>
    </row>
    <row r="161" spans="1:1">
      <c r="A161" s="109"/>
    </row>
    <row r="162" spans="1:1">
      <c r="A162" s="109"/>
    </row>
    <row r="163" spans="1:1">
      <c r="A163" s="109"/>
    </row>
    <row r="164" spans="1:1">
      <c r="A164" s="109"/>
    </row>
    <row r="165" spans="1:1">
      <c r="A165" s="109"/>
    </row>
    <row r="166" spans="1:1">
      <c r="A166" s="109"/>
    </row>
    <row r="167" spans="1:1">
      <c r="A167" s="109"/>
    </row>
    <row r="168" spans="1:1">
      <c r="A168" s="109"/>
    </row>
    <row r="169" spans="1:1">
      <c r="A169" s="109"/>
    </row>
    <row r="170" spans="1:1">
      <c r="A170" s="109"/>
    </row>
    <row r="171" spans="1:1">
      <c r="A171" s="109"/>
    </row>
    <row r="172" spans="1:1">
      <c r="A172" s="109"/>
    </row>
    <row r="173" spans="1:1">
      <c r="A173" s="109"/>
    </row>
    <row r="174" spans="1:1">
      <c r="A174" s="109"/>
    </row>
    <row r="175" spans="1:1">
      <c r="A175" s="109"/>
    </row>
    <row r="176" spans="1:1">
      <c r="A176" s="109"/>
    </row>
    <row r="177" spans="1:1">
      <c r="A177" s="109"/>
    </row>
    <row r="178" spans="1:1">
      <c r="A178" s="109"/>
    </row>
    <row r="179" spans="1:1">
      <c r="A179" s="109"/>
    </row>
    <row r="180" spans="1:1">
      <c r="A180" s="109"/>
    </row>
    <row r="181" spans="1:1">
      <c r="A181" s="109"/>
    </row>
    <row r="182" spans="1:1">
      <c r="A182" s="109"/>
    </row>
  </sheetData>
  <sheetProtection formatCells="0" formatColumns="0" formatRows="0" insertRows="0" deleteRows="0"/>
  <mergeCells count="8">
    <mergeCell ref="A19:G19"/>
    <mergeCell ref="A3:A4"/>
    <mergeCell ref="A1:G1"/>
    <mergeCell ref="B3:B4"/>
    <mergeCell ref="A2:G2"/>
    <mergeCell ref="C3:C4"/>
    <mergeCell ref="D3:G3"/>
    <mergeCell ref="C16:D16"/>
  </mergeCells>
  <phoneticPr fontId="0" type="noConversion"/>
  <pageMargins left="1.1811023622047243" right="0.39370078740157483" top="0.78740157480314965" bottom="0.78740157480314965" header="0" footer="0"/>
  <pageSetup paperSize="9" scale="50" firstPageNumber="9" fitToHeight="0" orientation="portrait" useFirstPageNumber="1" r:id="rId1"/>
  <headerFooter alignWithMargins="0"/>
  <ignoredErrors>
    <ignoredError sqref="B7" numberStoredAsText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6">
    <tabColor indexed="43"/>
    <pageSetUpPr fitToPage="1"/>
  </sheetPr>
  <dimension ref="A1:F28"/>
  <sheetViews>
    <sheetView view="pageBreakPreview" topLeftCell="A22" zoomScale="75" zoomScaleNormal="75" zoomScaleSheetLayoutView="70" workbookViewId="0">
      <selection activeCell="F29" sqref="F29"/>
    </sheetView>
  </sheetViews>
  <sheetFormatPr defaultColWidth="9.1796875" defaultRowHeight="15.5"/>
  <cols>
    <col min="1" max="1" width="66" style="59" customWidth="1"/>
    <col min="2" max="2" width="16.54296875" style="59" customWidth="1"/>
    <col min="3" max="3" width="19.54296875" style="59" customWidth="1"/>
    <col min="4" max="4" width="20" style="59" customWidth="1"/>
    <col min="5" max="5" width="19.54296875" style="59" customWidth="1"/>
    <col min="6" max="6" width="39" style="59" customWidth="1"/>
    <col min="7" max="16384" width="9.1796875" style="59"/>
  </cols>
  <sheetData>
    <row r="1" spans="1:6">
      <c r="A1" s="154" t="s">
        <v>357</v>
      </c>
      <c r="B1" s="154"/>
      <c r="C1" s="154"/>
      <c r="D1" s="154"/>
      <c r="E1" s="154"/>
      <c r="F1" s="154"/>
    </row>
    <row r="3" spans="1:6">
      <c r="A3" s="131" t="s">
        <v>282</v>
      </c>
      <c r="B3" s="131" t="s">
        <v>0</v>
      </c>
      <c r="C3" s="131" t="s">
        <v>100</v>
      </c>
      <c r="D3" s="115" t="s">
        <v>343</v>
      </c>
      <c r="E3" s="132" t="s">
        <v>341</v>
      </c>
      <c r="F3" s="131" t="s">
        <v>315</v>
      </c>
    </row>
    <row r="4" spans="1:6" ht="34" customHeight="1">
      <c r="A4" s="133"/>
      <c r="B4" s="133"/>
      <c r="C4" s="133"/>
      <c r="D4" s="115"/>
      <c r="E4" s="134"/>
      <c r="F4" s="133"/>
    </row>
    <row r="5" spans="1:6">
      <c r="A5" s="135">
        <v>1</v>
      </c>
      <c r="B5" s="135">
        <v>2</v>
      </c>
      <c r="C5" s="135">
        <v>3</v>
      </c>
      <c r="D5" s="135">
        <v>4</v>
      </c>
      <c r="E5" s="135">
        <v>5</v>
      </c>
      <c r="F5" s="135">
        <v>6</v>
      </c>
    </row>
    <row r="6" spans="1:6">
      <c r="A6" s="155" t="s">
        <v>186</v>
      </c>
      <c r="B6" s="156"/>
      <c r="C6" s="156"/>
      <c r="D6" s="156"/>
      <c r="E6" s="156"/>
      <c r="F6" s="157"/>
    </row>
    <row r="7" spans="1:6" ht="46.5">
      <c r="A7" s="76" t="s">
        <v>337</v>
      </c>
      <c r="B7" s="70">
        <v>5000</v>
      </c>
      <c r="C7" s="136" t="s">
        <v>328</v>
      </c>
      <c r="D7" s="137">
        <f>'фінплан - зведені показники'!C33/'фінплан - зведені показники'!C31</f>
        <v>-0.36769533814839134</v>
      </c>
      <c r="E7" s="137">
        <f>'фінплан - зведені показники'!E33/'фінплан - зведені показники'!E31</f>
        <v>-0.45516983220220353</v>
      </c>
      <c r="F7" s="138"/>
    </row>
    <row r="8" spans="1:6" ht="46.5">
      <c r="A8" s="76" t="s">
        <v>338</v>
      </c>
      <c r="B8" s="70">
        <v>5010</v>
      </c>
      <c r="C8" s="136" t="s">
        <v>328</v>
      </c>
      <c r="D8" s="137">
        <f>'фінплан - зведені показники'!C38/'фінплан - зведені показники'!C31</f>
        <v>2.605876559422193E-2</v>
      </c>
      <c r="E8" s="137">
        <f>'фінплан - зведені показники'!E38/'фінплан - зведені показники'!E31</f>
        <v>-6.4618155580510844E-2</v>
      </c>
      <c r="F8" s="139"/>
    </row>
    <row r="9" spans="1:6" ht="46.5">
      <c r="A9" s="139" t="s">
        <v>365</v>
      </c>
      <c r="B9" s="70">
        <v>5020</v>
      </c>
      <c r="C9" s="136" t="s">
        <v>328</v>
      </c>
      <c r="D9" s="140">
        <f>'фінплан - зведені показники'!C44/'фінплан - зведені показники'!C73</f>
        <v>3.6452149133222513E-2</v>
      </c>
      <c r="E9" s="140">
        <f>'фінплан - зведені показники'!E44/'фінплан - зведені показники'!E70</f>
        <v>-6.0707461227391839E-2</v>
      </c>
      <c r="F9" s="139" t="s">
        <v>329</v>
      </c>
    </row>
    <row r="10" spans="1:6" ht="46.5">
      <c r="A10" s="139" t="s">
        <v>541</v>
      </c>
      <c r="B10" s="70">
        <v>5030</v>
      </c>
      <c r="C10" s="136" t="s">
        <v>328</v>
      </c>
      <c r="D10" s="140">
        <f>'фінплан - зведені показники'!C44/'фінплан - зведені показники'!C76</f>
        <v>2.9745179730646255E-2</v>
      </c>
      <c r="E10" s="140">
        <f>'фінплан - зведені показники'!E44/'фінплан - зведені показники'!E76</f>
        <v>-0.1839493704975424</v>
      </c>
      <c r="F10" s="139"/>
    </row>
    <row r="11" spans="1:6" ht="46.5">
      <c r="A11" s="139" t="s">
        <v>542</v>
      </c>
      <c r="B11" s="70">
        <v>5040</v>
      </c>
      <c r="C11" s="136" t="s">
        <v>101</v>
      </c>
      <c r="D11" s="140">
        <v>0.1</v>
      </c>
      <c r="E11" s="140">
        <f>'фінплан - зведені показники'!E44/'фінплан - зведені показники'!E31</f>
        <v>-7.4112049650353354E-2</v>
      </c>
      <c r="F11" s="139" t="s">
        <v>330</v>
      </c>
    </row>
    <row r="12" spans="1:6">
      <c r="A12" s="155"/>
      <c r="B12" s="156"/>
      <c r="C12" s="156"/>
      <c r="D12" s="156"/>
      <c r="E12" s="156"/>
      <c r="F12" s="157"/>
    </row>
    <row r="13" spans="1:6" ht="46.5">
      <c r="A13" s="139" t="s">
        <v>324</v>
      </c>
      <c r="B13" s="70">
        <v>5100</v>
      </c>
      <c r="C13" s="136"/>
      <c r="D13" s="140">
        <f>('фінплан - зведені показники'!C71+'фінплан - зведені показники'!C72)/'фінплан - зведені показники'!C38</f>
        <v>13.262992125984251</v>
      </c>
      <c r="E13" s="140">
        <f>'фінплан - зведені показники'!E73/'фінплан - зведені показники'!E38</f>
        <v>-12.657627403240717</v>
      </c>
      <c r="F13" s="139"/>
    </row>
    <row r="14" spans="1:6" ht="62">
      <c r="A14" s="139" t="s">
        <v>320</v>
      </c>
      <c r="B14" s="70">
        <v>5110</v>
      </c>
      <c r="C14" s="136" t="s">
        <v>173</v>
      </c>
      <c r="D14" s="140">
        <f>'фінплан - зведені показники'!C76/('фінплан - зведені показники'!C71+'фінплан - зведені показники'!C72)</f>
        <v>1.2254808834006174</v>
      </c>
      <c r="E14" s="140">
        <f>'фінплан - зведені показники'!E76/'фінплан - зведені показники'!E73</f>
        <v>0.49258780220873544</v>
      </c>
      <c r="F14" s="139" t="s">
        <v>331</v>
      </c>
    </row>
    <row r="15" spans="1:6" ht="93">
      <c r="A15" s="139" t="s">
        <v>321</v>
      </c>
      <c r="B15" s="70">
        <v>5120</v>
      </c>
      <c r="C15" s="136" t="s">
        <v>173</v>
      </c>
      <c r="D15" s="140">
        <f>'фінплан - зведені показники'!C68/'фінплан - зведені показники'!C72</f>
        <v>3.7931606905710491</v>
      </c>
      <c r="E15" s="140">
        <f>'фінплан - зведені показники'!E68/'фінплан - зведені показники'!E72</f>
        <v>0.8407171015581002</v>
      </c>
      <c r="F15" s="139" t="s">
        <v>333</v>
      </c>
    </row>
    <row r="16" spans="1:6">
      <c r="A16" s="155" t="s">
        <v>187</v>
      </c>
      <c r="B16" s="156"/>
      <c r="C16" s="156"/>
      <c r="D16" s="156"/>
      <c r="E16" s="156"/>
      <c r="F16" s="157"/>
    </row>
    <row r="17" spans="1:6" ht="31">
      <c r="A17" s="139" t="s">
        <v>322</v>
      </c>
      <c r="B17" s="70">
        <v>5200</v>
      </c>
      <c r="C17" s="136"/>
      <c r="D17" s="141">
        <f>'фінплан - зведені показники'!C61/'1. Фін результат'!C143</f>
        <v>2.9942339373970346</v>
      </c>
      <c r="E17" s="141">
        <f>'4. Кап. інвестиції'!E6/'1. Фін результат'!E143</f>
        <v>5.5844518272425248</v>
      </c>
      <c r="F17" s="139"/>
    </row>
    <row r="18" spans="1:6" ht="46.5">
      <c r="A18" s="139" t="s">
        <v>348</v>
      </c>
      <c r="B18" s="70">
        <v>5210</v>
      </c>
      <c r="C18" s="136"/>
      <c r="D18" s="141">
        <f>'фінплан - зведені показники'!C61/'фінплан - зведені показники'!C31</f>
        <v>0.14917104399212081</v>
      </c>
      <c r="E18" s="141">
        <f>'4. Кап. інвестиції'!E6/'1. Фін результат'!E9</f>
        <v>0.45595646913941917</v>
      </c>
      <c r="F18" s="139"/>
    </row>
    <row r="19" spans="1:6" ht="46.5">
      <c r="A19" s="139" t="s">
        <v>339</v>
      </c>
      <c r="B19" s="70">
        <v>5220</v>
      </c>
      <c r="C19" s="136" t="s">
        <v>328</v>
      </c>
      <c r="D19" s="140">
        <f>25697/9890</f>
        <v>2.5982810920121335</v>
      </c>
      <c r="E19" s="140">
        <f>847.8/5666.9</f>
        <v>0.14960560447510984</v>
      </c>
      <c r="F19" s="139" t="s">
        <v>332</v>
      </c>
    </row>
    <row r="20" spans="1:6">
      <c r="A20" s="155" t="s">
        <v>323</v>
      </c>
      <c r="B20" s="156"/>
      <c r="C20" s="156"/>
      <c r="D20" s="156"/>
      <c r="E20" s="156"/>
      <c r="F20" s="157"/>
    </row>
    <row r="21" spans="1:6" ht="62">
      <c r="A21" s="139" t="s">
        <v>340</v>
      </c>
      <c r="B21" s="70">
        <v>5300</v>
      </c>
      <c r="C21" s="136"/>
      <c r="D21" s="140"/>
      <c r="E21" s="140"/>
      <c r="F21" s="142"/>
    </row>
    <row r="22" spans="1:6">
      <c r="A22" s="96"/>
      <c r="B22" s="96"/>
      <c r="C22" s="96"/>
      <c r="D22" s="96"/>
      <c r="E22" s="96"/>
      <c r="F22" s="96"/>
    </row>
    <row r="23" spans="1:6" ht="31">
      <c r="A23" s="101" t="s">
        <v>568</v>
      </c>
      <c r="B23" s="95"/>
      <c r="C23" s="96"/>
      <c r="D23" s="96"/>
      <c r="E23" s="97"/>
      <c r="F23" s="98" t="s">
        <v>557</v>
      </c>
    </row>
    <row r="24" spans="1:6">
      <c r="A24" s="99" t="s">
        <v>364</v>
      </c>
      <c r="B24" s="96"/>
      <c r="C24" s="100" t="s">
        <v>78</v>
      </c>
      <c r="D24" s="100"/>
      <c r="E24" s="96"/>
      <c r="F24" s="96" t="s">
        <v>102</v>
      </c>
    </row>
    <row r="25" spans="1:6">
      <c r="A25" s="96"/>
      <c r="B25" s="96"/>
      <c r="C25" s="96"/>
      <c r="D25" s="96"/>
      <c r="E25" s="96"/>
      <c r="F25" s="96"/>
    </row>
    <row r="26" spans="1:6">
      <c r="A26" s="96"/>
      <c r="B26" s="96"/>
      <c r="C26" s="96"/>
      <c r="D26" s="96"/>
      <c r="E26" s="96"/>
      <c r="F26" s="96"/>
    </row>
    <row r="27" spans="1:6">
      <c r="A27" s="105"/>
      <c r="B27" s="105"/>
      <c r="C27" s="105"/>
      <c r="D27" s="105"/>
      <c r="E27" s="105"/>
      <c r="F27" s="105"/>
    </row>
    <row r="28" spans="1:6">
      <c r="A28" s="60"/>
      <c r="C28" s="143"/>
      <c r="D28" s="143"/>
      <c r="F28" s="107"/>
    </row>
  </sheetData>
  <sheetProtection formatCells="0"/>
  <mergeCells count="14">
    <mergeCell ref="A6:F6"/>
    <mergeCell ref="A12:F12"/>
    <mergeCell ref="A1:F1"/>
    <mergeCell ref="A3:A4"/>
    <mergeCell ref="B3:B4"/>
    <mergeCell ref="C3:C4"/>
    <mergeCell ref="F3:F4"/>
    <mergeCell ref="D3:D4"/>
    <mergeCell ref="E3:E4"/>
    <mergeCell ref="C28:D28"/>
    <mergeCell ref="A16:F16"/>
    <mergeCell ref="A20:F20"/>
    <mergeCell ref="A27:F27"/>
    <mergeCell ref="C24:D24"/>
  </mergeCells>
  <phoneticPr fontId="3" type="noConversion"/>
  <pageMargins left="1.1811023622047243" right="0.39370078740157483" top="0.78740157480314965" bottom="0.78740157480314965" header="0" footer="0"/>
  <pageSetup paperSize="9" scale="48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Лист7">
    <tabColor indexed="43"/>
    <pageSetUpPr fitToPage="1"/>
  </sheetPr>
  <dimension ref="A1:O94"/>
  <sheetViews>
    <sheetView view="pageBreakPreview" topLeftCell="A55" zoomScale="70" zoomScaleNormal="75" zoomScaleSheetLayoutView="70" workbookViewId="0">
      <selection activeCell="A28" sqref="A28:O28"/>
    </sheetView>
  </sheetViews>
  <sheetFormatPr defaultColWidth="9.1796875" defaultRowHeight="15.5" outlineLevelRow="1"/>
  <cols>
    <col min="1" max="1" width="44.81640625" style="144" customWidth="1"/>
    <col min="2" max="2" width="13.54296875" style="108" customWidth="1"/>
    <col min="3" max="3" width="18.54296875" style="144" customWidth="1"/>
    <col min="4" max="4" width="16.1796875" style="144" customWidth="1"/>
    <col min="5" max="5" width="12.54296875" style="144" customWidth="1"/>
    <col min="6" max="6" width="16.54296875" style="144" customWidth="1"/>
    <col min="7" max="7" width="15.453125" style="144" customWidth="1"/>
    <col min="8" max="8" width="16.54296875" style="144" customWidth="1"/>
    <col min="9" max="9" width="16.1796875" style="144" customWidth="1"/>
    <col min="10" max="10" width="16.453125" style="144" customWidth="1"/>
    <col min="11" max="11" width="16.54296875" style="144" customWidth="1"/>
    <col min="12" max="12" width="20.81640625" style="144" customWidth="1"/>
    <col min="13" max="13" width="14.453125" style="144" customWidth="1"/>
    <col min="14" max="15" width="16.54296875" style="144" customWidth="1"/>
    <col min="16" max="16" width="8.54296875" style="144" customWidth="1"/>
    <col min="17" max="16384" width="9.1796875" style="144"/>
  </cols>
  <sheetData>
    <row r="1" spans="1:15" s="144" customFormat="1" outlineLevel="1">
      <c r="B1" s="108"/>
      <c r="N1" s="235" t="s">
        <v>236</v>
      </c>
      <c r="O1" s="235"/>
    </row>
    <row r="2" spans="1:15" s="144" customFormat="1" outlineLevel="1">
      <c r="B2" s="108"/>
      <c r="N2" s="235" t="s">
        <v>256</v>
      </c>
      <c r="O2" s="235"/>
    </row>
    <row r="3" spans="1:15" s="144" customFormat="1">
      <c r="A3" s="236" t="s">
        <v>560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</row>
    <row r="4" spans="1:15" s="144" customFormat="1">
      <c r="A4" s="236"/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</row>
    <row r="5" spans="1:15" s="144" customFormat="1">
      <c r="A5" s="236" t="s">
        <v>561</v>
      </c>
      <c r="B5" s="236"/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</row>
    <row r="6" spans="1:15" s="144" customFormat="1">
      <c r="A6" s="236" t="s">
        <v>132</v>
      </c>
      <c r="B6" s="236"/>
      <c r="C6" s="236"/>
      <c r="D6" s="236"/>
      <c r="E6" s="236"/>
      <c r="F6" s="236"/>
      <c r="G6" s="236"/>
      <c r="H6" s="236"/>
      <c r="I6" s="236"/>
      <c r="J6" s="236"/>
      <c r="K6" s="236"/>
      <c r="L6" s="236"/>
      <c r="M6" s="236"/>
      <c r="N6" s="236"/>
      <c r="O6" s="236"/>
    </row>
    <row r="7" spans="1:15" s="144" customFormat="1">
      <c r="A7" s="236" t="s">
        <v>358</v>
      </c>
      <c r="B7" s="236"/>
      <c r="C7" s="236"/>
      <c r="D7" s="236"/>
      <c r="E7" s="236"/>
      <c r="F7" s="236"/>
      <c r="G7" s="236"/>
      <c r="H7" s="236"/>
      <c r="I7" s="236"/>
      <c r="J7" s="236"/>
      <c r="K7" s="236"/>
      <c r="L7" s="236"/>
      <c r="M7" s="236"/>
      <c r="N7" s="236"/>
      <c r="O7" s="236"/>
    </row>
    <row r="8" spans="1:15" s="144" customFormat="1"/>
    <row r="9" spans="1:15" s="144" customFormat="1">
      <c r="A9" s="237"/>
      <c r="B9" s="238"/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</row>
    <row r="10" spans="1:15" s="144" customFormat="1">
      <c r="B10" s="144" t="s">
        <v>522</v>
      </c>
      <c r="D10" s="144" t="s">
        <v>523</v>
      </c>
    </row>
    <row r="11" spans="1:15" s="144" customFormat="1">
      <c r="A11" s="72" t="s">
        <v>282</v>
      </c>
      <c r="B11" s="239" t="s">
        <v>134</v>
      </c>
      <c r="C11" s="239"/>
      <c r="D11" s="239" t="s">
        <v>31</v>
      </c>
      <c r="E11" s="239"/>
      <c r="F11" s="239" t="s">
        <v>316</v>
      </c>
      <c r="G11" s="239"/>
      <c r="H11" s="239" t="s">
        <v>317</v>
      </c>
      <c r="I11" s="239"/>
      <c r="J11" s="239" t="s">
        <v>318</v>
      </c>
      <c r="K11" s="239"/>
      <c r="L11" s="239" t="s">
        <v>287</v>
      </c>
      <c r="M11" s="239"/>
      <c r="N11" s="239" t="s">
        <v>288</v>
      </c>
      <c r="O11" s="239"/>
    </row>
    <row r="12" spans="1:15" s="144" customFormat="1">
      <c r="A12" s="72">
        <v>1</v>
      </c>
      <c r="B12" s="240">
        <v>2</v>
      </c>
      <c r="C12" s="241"/>
      <c r="D12" s="240">
        <v>3</v>
      </c>
      <c r="E12" s="241"/>
      <c r="F12" s="240">
        <v>4</v>
      </c>
      <c r="G12" s="241"/>
      <c r="H12" s="240">
        <v>5</v>
      </c>
      <c r="I12" s="241"/>
      <c r="J12" s="240">
        <v>6</v>
      </c>
      <c r="K12" s="241"/>
      <c r="L12" s="240">
        <v>7</v>
      </c>
      <c r="M12" s="241"/>
      <c r="N12" s="239">
        <v>8</v>
      </c>
      <c r="O12" s="239"/>
    </row>
    <row r="13" spans="1:15" s="144" customFormat="1">
      <c r="A13" s="240" t="s">
        <v>133</v>
      </c>
      <c r="B13" s="242"/>
      <c r="C13" s="242"/>
      <c r="D13" s="242"/>
      <c r="E13" s="242"/>
      <c r="F13" s="242"/>
      <c r="G13" s="242"/>
      <c r="H13" s="242"/>
      <c r="I13" s="242"/>
      <c r="J13" s="242"/>
      <c r="K13" s="242"/>
      <c r="L13" s="242"/>
      <c r="M13" s="242"/>
      <c r="N13" s="242"/>
      <c r="O13" s="241"/>
    </row>
    <row r="14" spans="1:15" s="144" customFormat="1">
      <c r="A14" s="243" t="s">
        <v>289</v>
      </c>
      <c r="B14" s="244">
        <v>32</v>
      </c>
      <c r="C14" s="244"/>
      <c r="D14" s="244">
        <v>26</v>
      </c>
      <c r="E14" s="244"/>
      <c r="F14" s="240">
        <v>32</v>
      </c>
      <c r="G14" s="241"/>
      <c r="H14" s="244">
        <f t="shared" ref="H14:H19" si="0">F14</f>
        <v>32</v>
      </c>
      <c r="I14" s="244"/>
      <c r="J14" s="244">
        <v>24</v>
      </c>
      <c r="K14" s="244"/>
      <c r="L14" s="244">
        <f t="shared" ref="L14:L19" si="1">J14-H14</f>
        <v>-8</v>
      </c>
      <c r="M14" s="244"/>
      <c r="N14" s="245">
        <f t="shared" ref="N14:N19" si="2">J14*100/H14</f>
        <v>75</v>
      </c>
      <c r="O14" s="245"/>
    </row>
    <row r="15" spans="1:15" s="144" customFormat="1">
      <c r="A15" s="243" t="s">
        <v>290</v>
      </c>
      <c r="B15" s="244">
        <v>3</v>
      </c>
      <c r="C15" s="244"/>
      <c r="D15" s="244">
        <v>2</v>
      </c>
      <c r="E15" s="244"/>
      <c r="F15" s="240">
        <v>3</v>
      </c>
      <c r="G15" s="241"/>
      <c r="H15" s="244">
        <f t="shared" si="0"/>
        <v>3</v>
      </c>
      <c r="I15" s="244"/>
      <c r="J15" s="244">
        <v>3.1</v>
      </c>
      <c r="K15" s="244"/>
      <c r="L15" s="244">
        <f t="shared" si="1"/>
        <v>0.10000000000000009</v>
      </c>
      <c r="M15" s="244"/>
      <c r="N15" s="245">
        <f t="shared" si="2"/>
        <v>103.33333333333333</v>
      </c>
      <c r="O15" s="245"/>
    </row>
    <row r="16" spans="1:15" s="144" customFormat="1">
      <c r="A16" s="243" t="s">
        <v>291</v>
      </c>
      <c r="B16" s="244">
        <v>3</v>
      </c>
      <c r="C16" s="244"/>
      <c r="D16" s="244">
        <v>2</v>
      </c>
      <c r="E16" s="244"/>
      <c r="F16" s="240">
        <v>3</v>
      </c>
      <c r="G16" s="241"/>
      <c r="H16" s="244">
        <f t="shared" si="0"/>
        <v>3</v>
      </c>
      <c r="I16" s="244"/>
      <c r="J16" s="244">
        <v>2</v>
      </c>
      <c r="K16" s="244"/>
      <c r="L16" s="244">
        <f t="shared" si="1"/>
        <v>-1</v>
      </c>
      <c r="M16" s="244"/>
      <c r="N16" s="245">
        <f t="shared" si="2"/>
        <v>66.666666666666671</v>
      </c>
      <c r="O16" s="245"/>
    </row>
    <row r="17" spans="1:15" s="144" customFormat="1">
      <c r="A17" s="243" t="s">
        <v>292</v>
      </c>
      <c r="B17" s="244">
        <v>2</v>
      </c>
      <c r="C17" s="244"/>
      <c r="D17" s="244">
        <v>0</v>
      </c>
      <c r="E17" s="244"/>
      <c r="F17" s="240">
        <v>2</v>
      </c>
      <c r="G17" s="241"/>
      <c r="H17" s="244">
        <f t="shared" si="0"/>
        <v>2</v>
      </c>
      <c r="I17" s="244"/>
      <c r="J17" s="244">
        <v>1.8</v>
      </c>
      <c r="K17" s="244"/>
      <c r="L17" s="244">
        <f t="shared" si="1"/>
        <v>-0.19999999999999996</v>
      </c>
      <c r="M17" s="244"/>
      <c r="N17" s="245">
        <f t="shared" si="2"/>
        <v>90</v>
      </c>
      <c r="O17" s="245"/>
    </row>
    <row r="18" spans="1:15" s="144" customFormat="1">
      <c r="A18" s="243" t="s">
        <v>293</v>
      </c>
      <c r="B18" s="244">
        <v>197</v>
      </c>
      <c r="C18" s="244"/>
      <c r="D18" s="244">
        <v>105</v>
      </c>
      <c r="E18" s="244"/>
      <c r="F18" s="240">
        <v>197</v>
      </c>
      <c r="G18" s="241"/>
      <c r="H18" s="244">
        <f t="shared" si="0"/>
        <v>197</v>
      </c>
      <c r="I18" s="244"/>
      <c r="J18" s="244">
        <f>115-J14-J15-J16-J17</f>
        <v>84.100000000000009</v>
      </c>
      <c r="K18" s="244"/>
      <c r="L18" s="244">
        <f t="shared" si="1"/>
        <v>-112.89999999999999</v>
      </c>
      <c r="M18" s="244"/>
      <c r="N18" s="245">
        <f t="shared" si="2"/>
        <v>42.690355329949242</v>
      </c>
      <c r="O18" s="245"/>
    </row>
    <row r="19" spans="1:15" s="144" customFormat="1">
      <c r="A19" s="243" t="s">
        <v>294</v>
      </c>
      <c r="B19" s="244">
        <v>15</v>
      </c>
      <c r="C19" s="244"/>
      <c r="D19" s="244">
        <v>7</v>
      </c>
      <c r="E19" s="244"/>
      <c r="F19" s="244">
        <v>15</v>
      </c>
      <c r="G19" s="244"/>
      <c r="H19" s="244">
        <f t="shared" si="0"/>
        <v>15</v>
      </c>
      <c r="I19" s="244"/>
      <c r="J19" s="244">
        <v>5</v>
      </c>
      <c r="K19" s="244"/>
      <c r="L19" s="244">
        <f t="shared" si="1"/>
        <v>-10</v>
      </c>
      <c r="M19" s="244"/>
      <c r="N19" s="245">
        <f t="shared" si="2"/>
        <v>33.333333333333336</v>
      </c>
      <c r="O19" s="245"/>
    </row>
    <row r="20" spans="1:15" s="144" customFormat="1">
      <c r="A20" s="240" t="s">
        <v>349</v>
      </c>
      <c r="B20" s="242"/>
      <c r="C20" s="242"/>
      <c r="D20" s="242"/>
      <c r="E20" s="242"/>
      <c r="F20" s="242"/>
      <c r="G20" s="242"/>
      <c r="H20" s="242"/>
      <c r="I20" s="242"/>
      <c r="J20" s="242"/>
      <c r="K20" s="242"/>
      <c r="L20" s="242"/>
      <c r="M20" s="242"/>
      <c r="N20" s="242"/>
      <c r="O20" s="241"/>
    </row>
    <row r="21" spans="1:15" s="144" customFormat="1">
      <c r="A21" s="243" t="s">
        <v>296</v>
      </c>
      <c r="B21" s="244">
        <v>519</v>
      </c>
      <c r="C21" s="244"/>
      <c r="D21" s="244">
        <v>229</v>
      </c>
      <c r="E21" s="244"/>
      <c r="F21" s="239">
        <v>575</v>
      </c>
      <c r="G21" s="239"/>
      <c r="H21" s="244">
        <v>575</v>
      </c>
      <c r="I21" s="244"/>
      <c r="J21" s="244">
        <v>501</v>
      </c>
      <c r="K21" s="244"/>
      <c r="L21" s="244">
        <f>J21-H21</f>
        <v>-74</v>
      </c>
      <c r="M21" s="244"/>
      <c r="N21" s="245">
        <f>J21*100/H21</f>
        <v>87.130434782608702</v>
      </c>
      <c r="O21" s="245"/>
    </row>
    <row r="22" spans="1:15" s="144" customFormat="1">
      <c r="A22" s="243" t="s">
        <v>295</v>
      </c>
      <c r="B22" s="244">
        <v>4552</v>
      </c>
      <c r="C22" s="244"/>
      <c r="D22" s="244">
        <v>8647</v>
      </c>
      <c r="E22" s="244"/>
      <c r="F22" s="239">
        <v>4899</v>
      </c>
      <c r="G22" s="239"/>
      <c r="H22" s="244">
        <v>4899</v>
      </c>
      <c r="I22" s="244"/>
      <c r="J22" s="244">
        <f>'1. Фін результат'!E43-J21</f>
        <v>4195</v>
      </c>
      <c r="K22" s="244"/>
      <c r="L22" s="244">
        <f>J22-H22</f>
        <v>-704</v>
      </c>
      <c r="M22" s="244"/>
      <c r="N22" s="245">
        <f>J22*100/H22</f>
        <v>85.629720351092061</v>
      </c>
      <c r="O22" s="245"/>
    </row>
    <row r="23" spans="1:15" s="144" customFormat="1">
      <c r="A23" s="243" t="s">
        <v>297</v>
      </c>
      <c r="B23" s="244">
        <v>29393</v>
      </c>
      <c r="C23" s="244"/>
      <c r="D23" s="244">
        <v>14864</v>
      </c>
      <c r="E23" s="244"/>
      <c r="F23" s="239">
        <v>31735</v>
      </c>
      <c r="G23" s="239"/>
      <c r="H23" s="244">
        <v>31735</v>
      </c>
      <c r="I23" s="244"/>
      <c r="J23" s="244">
        <f>'1. Фін результат'!E141-'6.1. Інша інфо_1'!J21:K21-'6.1. Інша інфо_1'!J22:K22</f>
        <v>15604</v>
      </c>
      <c r="K23" s="244"/>
      <c r="L23" s="244">
        <f>J23-H23</f>
        <v>-16131</v>
      </c>
      <c r="M23" s="244"/>
      <c r="N23" s="245">
        <f>J23*100/H23</f>
        <v>49.169686466046954</v>
      </c>
      <c r="O23" s="245"/>
    </row>
    <row r="24" spans="1:15" s="144" customFormat="1">
      <c r="A24" s="240" t="s">
        <v>461</v>
      </c>
      <c r="B24" s="242"/>
      <c r="C24" s="242"/>
      <c r="D24" s="242"/>
      <c r="E24" s="242"/>
      <c r="F24" s="242"/>
      <c r="G24" s="242"/>
      <c r="H24" s="242"/>
      <c r="I24" s="242"/>
      <c r="J24" s="242"/>
      <c r="K24" s="242"/>
      <c r="L24" s="242"/>
      <c r="M24" s="242"/>
      <c r="N24" s="242"/>
      <c r="O24" s="241"/>
    </row>
    <row r="25" spans="1:15" s="144" customFormat="1">
      <c r="A25" s="243" t="s">
        <v>296</v>
      </c>
      <c r="B25" s="244">
        <v>633</v>
      </c>
      <c r="C25" s="244"/>
      <c r="D25" s="244">
        <v>279.38</v>
      </c>
      <c r="E25" s="244"/>
      <c r="F25" s="244">
        <v>701</v>
      </c>
      <c r="G25" s="244"/>
      <c r="H25" s="244">
        <v>701</v>
      </c>
      <c r="I25" s="244"/>
      <c r="J25" s="244">
        <f>J21/100*122</f>
        <v>611.22</v>
      </c>
      <c r="K25" s="244"/>
      <c r="L25" s="244">
        <f>J25-H25</f>
        <v>-89.779999999999973</v>
      </c>
      <c r="M25" s="244"/>
      <c r="N25" s="245">
        <f>J25*100/H25</f>
        <v>87.192582025677609</v>
      </c>
      <c r="O25" s="245"/>
    </row>
    <row r="26" spans="1:15" s="144" customFormat="1">
      <c r="A26" s="243" t="s">
        <v>295</v>
      </c>
      <c r="B26" s="244">
        <v>5553</v>
      </c>
      <c r="C26" s="244"/>
      <c r="D26" s="244">
        <v>10549.34</v>
      </c>
      <c r="E26" s="244"/>
      <c r="F26" s="244">
        <v>5977</v>
      </c>
      <c r="G26" s="244"/>
      <c r="H26" s="244">
        <v>5977</v>
      </c>
      <c r="I26" s="244"/>
      <c r="J26" s="244">
        <f>'1. Фін результат'!E43+'1. Фін результат'!E44-J25</f>
        <v>5127.78</v>
      </c>
      <c r="K26" s="244"/>
      <c r="L26" s="244">
        <f>J26-H26</f>
        <v>-849.22000000000025</v>
      </c>
      <c r="M26" s="244"/>
      <c r="N26" s="245">
        <f>J26*100/H26</f>
        <v>85.791868830516975</v>
      </c>
      <c r="O26" s="245"/>
    </row>
    <row r="27" spans="1:15" s="144" customFormat="1">
      <c r="A27" s="243" t="s">
        <v>297</v>
      </c>
      <c r="B27" s="244">
        <v>35687</v>
      </c>
      <c r="C27" s="244"/>
      <c r="D27" s="244">
        <v>18039.28</v>
      </c>
      <c r="E27" s="244"/>
      <c r="F27" s="244">
        <v>38532</v>
      </c>
      <c r="G27" s="244"/>
      <c r="H27" s="244">
        <v>38532</v>
      </c>
      <c r="I27" s="244"/>
      <c r="J27" s="244">
        <f>'1. Фін результат'!E141+'1. Фін результат'!E142-'6.1. Інша інфо_1'!J25:K25-'6.1. Інша інфо_1'!J26:K26</f>
        <v>19037</v>
      </c>
      <c r="K27" s="244"/>
      <c r="L27" s="244">
        <f>J27-H27</f>
        <v>-19495</v>
      </c>
      <c r="M27" s="244"/>
      <c r="N27" s="245">
        <f>J27*100/H27</f>
        <v>49.405688778158414</v>
      </c>
      <c r="O27" s="245"/>
    </row>
    <row r="28" spans="1:15" s="144" customFormat="1">
      <c r="A28" s="240" t="s">
        <v>298</v>
      </c>
      <c r="B28" s="242"/>
      <c r="C28" s="242"/>
      <c r="D28" s="242"/>
      <c r="E28" s="242"/>
      <c r="F28" s="242"/>
      <c r="G28" s="242"/>
      <c r="H28" s="242"/>
      <c r="I28" s="242"/>
      <c r="J28" s="242"/>
      <c r="K28" s="242"/>
      <c r="L28" s="242"/>
      <c r="M28" s="242"/>
      <c r="N28" s="242"/>
      <c r="O28" s="241"/>
    </row>
    <row r="29" spans="1:15" s="144" customFormat="1">
      <c r="A29" s="243" t="s">
        <v>296</v>
      </c>
      <c r="B29" s="244">
        <v>43225</v>
      </c>
      <c r="C29" s="244"/>
      <c r="D29" s="244">
        <v>19083.333333333332</v>
      </c>
      <c r="E29" s="244"/>
      <c r="F29" s="244">
        <v>47904</v>
      </c>
      <c r="G29" s="244"/>
      <c r="H29" s="244">
        <f>F29</f>
        <v>47904</v>
      </c>
      <c r="I29" s="244"/>
      <c r="J29" s="244">
        <f>J21/12*1000</f>
        <v>41750</v>
      </c>
      <c r="K29" s="244"/>
      <c r="L29" s="244">
        <f>J29-H29</f>
        <v>-6154</v>
      </c>
      <c r="M29" s="244"/>
      <c r="N29" s="245">
        <f>J29*100/H29</f>
        <v>87.153473613894462</v>
      </c>
      <c r="O29" s="245"/>
    </row>
    <row r="30" spans="1:15" s="144" customFormat="1">
      <c r="A30" s="243" t="s">
        <v>295</v>
      </c>
      <c r="B30" s="244">
        <v>30344</v>
      </c>
      <c r="C30" s="244"/>
      <c r="D30" s="244">
        <v>24847.701149425287</v>
      </c>
      <c r="E30" s="244"/>
      <c r="F30" s="244">
        <v>29160</v>
      </c>
      <c r="G30" s="244"/>
      <c r="H30" s="244">
        <f>F30</f>
        <v>29160</v>
      </c>
      <c r="I30" s="244"/>
      <c r="J30" s="244">
        <f>J22/12/12*1000</f>
        <v>29131.944444444442</v>
      </c>
      <c r="K30" s="244"/>
      <c r="L30" s="244">
        <f>J30-H30</f>
        <v>-28.055555555558385</v>
      </c>
      <c r="M30" s="244"/>
      <c r="N30" s="245">
        <f>J30*100/H30</f>
        <v>99.903787532388336</v>
      </c>
      <c r="O30" s="245"/>
    </row>
    <row r="31" spans="1:15" s="144" customFormat="1">
      <c r="A31" s="243" t="s">
        <v>297</v>
      </c>
      <c r="B31" s="244">
        <v>10249</v>
      </c>
      <c r="C31" s="244"/>
      <c r="D31" s="244">
        <v>11059.523809523811</v>
      </c>
      <c r="E31" s="244"/>
      <c r="F31" s="244">
        <v>11135</v>
      </c>
      <c r="G31" s="244"/>
      <c r="H31" s="244">
        <f>F31</f>
        <v>11135</v>
      </c>
      <c r="I31" s="244"/>
      <c r="J31" s="244">
        <f>J23*1000/(115-13)/12</f>
        <v>12748.366013071894</v>
      </c>
      <c r="K31" s="244"/>
      <c r="L31" s="244">
        <f>J31-H31</f>
        <v>1613.3660130718945</v>
      </c>
      <c r="M31" s="244"/>
      <c r="N31" s="245">
        <f>J31*100/H31</f>
        <v>114.48914246135514</v>
      </c>
      <c r="O31" s="245"/>
    </row>
    <row r="32" spans="1:15" s="144" customFormat="1">
      <c r="A32" s="240" t="s">
        <v>299</v>
      </c>
      <c r="B32" s="242"/>
      <c r="C32" s="242"/>
      <c r="D32" s="242"/>
      <c r="E32" s="242"/>
      <c r="F32" s="242"/>
      <c r="G32" s="242"/>
      <c r="H32" s="242"/>
      <c r="I32" s="242"/>
      <c r="J32" s="242"/>
      <c r="K32" s="242"/>
      <c r="L32" s="242"/>
      <c r="M32" s="242"/>
      <c r="N32" s="242"/>
      <c r="O32" s="241"/>
    </row>
    <row r="33" spans="1:15" s="144" customFormat="1">
      <c r="A33" s="243" t="s">
        <v>296</v>
      </c>
      <c r="B33" s="244">
        <v>43225</v>
      </c>
      <c r="C33" s="244"/>
      <c r="D33" s="244">
        <v>19083.333333333332</v>
      </c>
      <c r="E33" s="244"/>
      <c r="F33" s="244">
        <v>47904</v>
      </c>
      <c r="G33" s="244"/>
      <c r="H33" s="244">
        <f>F33</f>
        <v>47904</v>
      </c>
      <c r="I33" s="244"/>
      <c r="J33" s="244">
        <f>J29</f>
        <v>41750</v>
      </c>
      <c r="K33" s="244"/>
      <c r="L33" s="244">
        <f>J33-H33</f>
        <v>-6154</v>
      </c>
      <c r="M33" s="244"/>
      <c r="N33" s="245">
        <f>J33*100/H33</f>
        <v>87.153473613894462</v>
      </c>
      <c r="O33" s="245"/>
    </row>
    <row r="34" spans="1:15" s="144" customFormat="1">
      <c r="A34" s="243" t="s">
        <v>295</v>
      </c>
      <c r="B34" s="244">
        <v>30344</v>
      </c>
      <c r="C34" s="244"/>
      <c r="D34" s="244">
        <v>24847.701149425287</v>
      </c>
      <c r="E34" s="244"/>
      <c r="F34" s="244">
        <v>29160</v>
      </c>
      <c r="G34" s="244"/>
      <c r="H34" s="244">
        <f>F34</f>
        <v>29160</v>
      </c>
      <c r="I34" s="244"/>
      <c r="J34" s="244">
        <f>J30</f>
        <v>29131.944444444442</v>
      </c>
      <c r="K34" s="244"/>
      <c r="L34" s="244">
        <f>J34-H34</f>
        <v>-28.055555555558385</v>
      </c>
      <c r="M34" s="244"/>
      <c r="N34" s="245">
        <f>J34*100/H34</f>
        <v>99.903787532388336</v>
      </c>
      <c r="O34" s="245"/>
    </row>
    <row r="35" spans="1:15" s="144" customFormat="1">
      <c r="A35" s="243" t="s">
        <v>297</v>
      </c>
      <c r="B35" s="244">
        <v>10249</v>
      </c>
      <c r="C35" s="244"/>
      <c r="D35" s="244">
        <v>11059.523809523811</v>
      </c>
      <c r="E35" s="244"/>
      <c r="F35" s="244">
        <v>11135</v>
      </c>
      <c r="G35" s="244"/>
      <c r="H35" s="244">
        <f>F35</f>
        <v>11135</v>
      </c>
      <c r="I35" s="244"/>
      <c r="J35" s="244">
        <f>J31</f>
        <v>12748.366013071894</v>
      </c>
      <c r="K35" s="244"/>
      <c r="L35" s="244">
        <f>J35-H35</f>
        <v>1613.3660130718945</v>
      </c>
      <c r="M35" s="244"/>
      <c r="N35" s="245">
        <f>J35*100/H35</f>
        <v>114.48914246135514</v>
      </c>
      <c r="O35" s="245"/>
    </row>
    <row r="36" spans="1:15" s="144" customFormat="1">
      <c r="A36" s="246"/>
      <c r="B36" s="246"/>
      <c r="C36" s="246"/>
      <c r="D36" s="247"/>
      <c r="E36" s="247"/>
      <c r="F36" s="247"/>
      <c r="G36" s="247"/>
      <c r="H36" s="247"/>
      <c r="I36" s="247"/>
      <c r="J36" s="247"/>
      <c r="K36" s="247"/>
      <c r="L36" s="247"/>
      <c r="M36" s="247"/>
      <c r="N36" s="248"/>
      <c r="O36" s="248"/>
    </row>
    <row r="37" spans="1:15" s="144" customFormat="1">
      <c r="A37" s="249" t="s">
        <v>335</v>
      </c>
      <c r="B37" s="249"/>
      <c r="C37" s="249"/>
      <c r="D37" s="249"/>
      <c r="E37" s="249"/>
      <c r="F37" s="249"/>
      <c r="G37" s="249"/>
      <c r="H37" s="249"/>
      <c r="I37" s="249"/>
      <c r="J37" s="249"/>
      <c r="K37" s="249"/>
      <c r="L37" s="249"/>
      <c r="M37" s="249"/>
      <c r="N37" s="249"/>
      <c r="O37" s="249"/>
    </row>
    <row r="38" spans="1:15" s="144" customFormat="1">
      <c r="A38" s="250"/>
      <c r="B38" s="250"/>
      <c r="C38" s="250"/>
      <c r="D38" s="250"/>
      <c r="E38" s="250"/>
      <c r="F38" s="250"/>
      <c r="G38" s="250"/>
      <c r="H38" s="250"/>
      <c r="I38" s="250"/>
    </row>
    <row r="39" spans="1:15" s="144" customFormat="1">
      <c r="A39" s="251" t="s">
        <v>350</v>
      </c>
      <c r="B39" s="251"/>
      <c r="C39" s="251"/>
      <c r="D39" s="251"/>
      <c r="E39" s="251"/>
      <c r="F39" s="251"/>
      <c r="G39" s="251"/>
      <c r="H39" s="251"/>
      <c r="I39" s="251"/>
      <c r="J39" s="251"/>
      <c r="K39" s="251"/>
      <c r="L39" s="251"/>
      <c r="M39" s="251"/>
      <c r="N39" s="251"/>
      <c r="O39" s="251"/>
    </row>
    <row r="40" spans="1:15" s="144" customFormat="1">
      <c r="A40" s="252" t="s">
        <v>135</v>
      </c>
      <c r="B40" s="240" t="s">
        <v>351</v>
      </c>
      <c r="C40" s="242"/>
      <c r="D40" s="242"/>
      <c r="E40" s="241"/>
      <c r="F40" s="253" t="s">
        <v>85</v>
      </c>
      <c r="G40" s="253"/>
      <c r="H40" s="253"/>
      <c r="I40" s="253"/>
      <c r="J40" s="253"/>
      <c r="K40" s="253"/>
      <c r="L40" s="253"/>
      <c r="M40" s="253"/>
      <c r="N40" s="253"/>
      <c r="O40" s="253"/>
    </row>
    <row r="41" spans="1:15" s="144" customFormat="1">
      <c r="A41" s="252">
        <v>1</v>
      </c>
      <c r="B41" s="254">
        <v>2</v>
      </c>
      <c r="C41" s="255"/>
      <c r="D41" s="255"/>
      <c r="E41" s="255"/>
      <c r="F41" s="253">
        <v>3</v>
      </c>
      <c r="G41" s="253"/>
      <c r="H41" s="253"/>
      <c r="I41" s="253"/>
      <c r="J41" s="253"/>
      <c r="K41" s="253"/>
      <c r="L41" s="253"/>
      <c r="M41" s="253"/>
      <c r="N41" s="253"/>
      <c r="O41" s="253"/>
    </row>
    <row r="42" spans="1:15" s="144" customFormat="1">
      <c r="A42" s="252"/>
      <c r="B42" s="256"/>
      <c r="C42" s="257"/>
      <c r="D42" s="257"/>
      <c r="E42" s="257"/>
      <c r="F42" s="258"/>
      <c r="G42" s="258"/>
      <c r="H42" s="258"/>
      <c r="I42" s="258"/>
      <c r="J42" s="258"/>
      <c r="K42" s="258"/>
      <c r="L42" s="258"/>
      <c r="M42" s="258"/>
      <c r="N42" s="258"/>
      <c r="O42" s="258"/>
    </row>
    <row r="43" spans="1:15" s="144" customFormat="1" outlineLevel="1">
      <c r="A43" s="108"/>
      <c r="B43" s="259"/>
      <c r="C43" s="259"/>
      <c r="D43" s="259"/>
      <c r="E43" s="259"/>
      <c r="F43" s="260"/>
      <c r="G43" s="260"/>
      <c r="H43" s="260"/>
      <c r="I43" s="260"/>
      <c r="J43" s="260"/>
      <c r="K43" s="260"/>
      <c r="L43" s="260"/>
      <c r="M43" s="261" t="s">
        <v>236</v>
      </c>
      <c r="N43" s="261"/>
      <c r="O43" s="261"/>
    </row>
    <row r="44" spans="1:15" s="144" customFormat="1" outlineLevel="1">
      <c r="A44" s="108"/>
      <c r="B44" s="259"/>
      <c r="C44" s="259"/>
      <c r="D44" s="259"/>
      <c r="E44" s="259"/>
      <c r="F44" s="260"/>
      <c r="G44" s="260"/>
      <c r="H44" s="260"/>
      <c r="I44" s="260"/>
      <c r="J44" s="260"/>
      <c r="K44" s="260"/>
      <c r="L44" s="260"/>
      <c r="M44" s="262" t="s">
        <v>286</v>
      </c>
      <c r="N44" s="262"/>
      <c r="O44" s="262"/>
    </row>
    <row r="45" spans="1:15" s="144" customFormat="1">
      <c r="A45" s="263" t="s">
        <v>246</v>
      </c>
      <c r="B45" s="263"/>
      <c r="C45" s="263"/>
      <c r="D45" s="263"/>
      <c r="E45" s="263"/>
      <c r="F45" s="263"/>
      <c r="G45" s="263"/>
      <c r="H45" s="263"/>
      <c r="I45" s="263"/>
      <c r="J45" s="263"/>
      <c r="K45" s="263"/>
      <c r="L45" s="263"/>
      <c r="M45" s="263"/>
      <c r="N45" s="263"/>
      <c r="O45" s="263"/>
    </row>
    <row r="47" spans="1:15" s="144" customFormat="1">
      <c r="A47" s="264" t="s">
        <v>282</v>
      </c>
      <c r="B47" s="265"/>
      <c r="C47" s="266"/>
      <c r="D47" s="239" t="s">
        <v>237</v>
      </c>
      <c r="E47" s="239"/>
      <c r="F47" s="239"/>
      <c r="G47" s="239" t="s">
        <v>233</v>
      </c>
      <c r="H47" s="239"/>
      <c r="I47" s="239"/>
      <c r="J47" s="239" t="s">
        <v>287</v>
      </c>
      <c r="K47" s="239"/>
      <c r="L47" s="239"/>
      <c r="M47" s="240" t="s">
        <v>288</v>
      </c>
      <c r="N47" s="241"/>
      <c r="O47" s="267" t="s">
        <v>310</v>
      </c>
    </row>
    <row r="48" spans="1:15" s="144" customFormat="1" ht="128.25" customHeight="1">
      <c r="A48" s="268"/>
      <c r="B48" s="269"/>
      <c r="C48" s="270"/>
      <c r="D48" s="72" t="s">
        <v>313</v>
      </c>
      <c r="E48" s="72" t="s">
        <v>312</v>
      </c>
      <c r="F48" s="72" t="s">
        <v>311</v>
      </c>
      <c r="G48" s="72" t="s">
        <v>313</v>
      </c>
      <c r="H48" s="72" t="s">
        <v>312</v>
      </c>
      <c r="I48" s="72" t="s">
        <v>311</v>
      </c>
      <c r="J48" s="72" t="s">
        <v>313</v>
      </c>
      <c r="K48" s="72" t="s">
        <v>312</v>
      </c>
      <c r="L48" s="72" t="s">
        <v>311</v>
      </c>
      <c r="M48" s="72" t="s">
        <v>238</v>
      </c>
      <c r="N48" s="72" t="s">
        <v>239</v>
      </c>
      <c r="O48" s="271"/>
    </row>
    <row r="49" spans="1:15" s="144" customFormat="1">
      <c r="A49" s="240">
        <v>1</v>
      </c>
      <c r="B49" s="242"/>
      <c r="C49" s="241"/>
      <c r="D49" s="72">
        <v>4</v>
      </c>
      <c r="E49" s="72">
        <v>5</v>
      </c>
      <c r="F49" s="72">
        <v>6</v>
      </c>
      <c r="G49" s="72">
        <v>7</v>
      </c>
      <c r="H49" s="272">
        <v>8</v>
      </c>
      <c r="I49" s="272">
        <v>9</v>
      </c>
      <c r="J49" s="272">
        <v>10</v>
      </c>
      <c r="K49" s="272">
        <v>11</v>
      </c>
      <c r="L49" s="272">
        <v>12</v>
      </c>
      <c r="M49" s="272">
        <v>13</v>
      </c>
      <c r="N49" s="272">
        <v>14</v>
      </c>
      <c r="O49" s="272">
        <v>15</v>
      </c>
    </row>
    <row r="50" spans="1:15" s="144" customFormat="1">
      <c r="A50" s="273" t="s">
        <v>432</v>
      </c>
      <c r="B50" s="274"/>
      <c r="C50" s="275"/>
      <c r="D50" s="276">
        <f>12284</f>
        <v>12284</v>
      </c>
      <c r="E50" s="276">
        <v>4</v>
      </c>
      <c r="F50" s="277">
        <f>D50/E50*1000</f>
        <v>3071000</v>
      </c>
      <c r="G50" s="277">
        <v>0</v>
      </c>
      <c r="H50" s="272"/>
      <c r="I50" s="277">
        <v>0</v>
      </c>
      <c r="J50" s="278">
        <f t="shared" ref="J50:L53" si="3">G50-D50</f>
        <v>-12284</v>
      </c>
      <c r="K50" s="278">
        <f t="shared" si="3"/>
        <v>-4</v>
      </c>
      <c r="L50" s="278">
        <f t="shared" si="3"/>
        <v>-3071000</v>
      </c>
      <c r="M50" s="278">
        <f>G50/D50*100</f>
        <v>0</v>
      </c>
      <c r="N50" s="278">
        <f>H50*100/E50</f>
        <v>0</v>
      </c>
      <c r="O50" s="278">
        <f>I50-F50</f>
        <v>-3071000</v>
      </c>
    </row>
    <row r="51" spans="1:15" s="144" customFormat="1">
      <c r="A51" s="273" t="s">
        <v>433</v>
      </c>
      <c r="B51" s="274"/>
      <c r="C51" s="275"/>
      <c r="D51" s="276">
        <f>3500</f>
        <v>3500</v>
      </c>
      <c r="E51" s="276">
        <v>600</v>
      </c>
      <c r="F51" s="277">
        <f>D51/E51*1000</f>
        <v>5833.333333333333</v>
      </c>
      <c r="G51" s="277">
        <v>3690</v>
      </c>
      <c r="H51" s="272">
        <v>1243</v>
      </c>
      <c r="I51" s="277">
        <f>G51/H51*1000</f>
        <v>2968.6242960579248</v>
      </c>
      <c r="J51" s="278">
        <f t="shared" si="3"/>
        <v>190</v>
      </c>
      <c r="K51" s="278">
        <f t="shared" si="3"/>
        <v>643</v>
      </c>
      <c r="L51" s="278">
        <f t="shared" si="3"/>
        <v>-2864.7090372754083</v>
      </c>
      <c r="M51" s="278">
        <f>G51/D51*100</f>
        <v>105.42857142857143</v>
      </c>
      <c r="N51" s="278">
        <f>H51*100/E51</f>
        <v>207.16666666666666</v>
      </c>
      <c r="O51" s="278">
        <f>I51-F51</f>
        <v>-2864.7090372754083</v>
      </c>
    </row>
    <row r="52" spans="1:15" s="144" customFormat="1">
      <c r="A52" s="273" t="s">
        <v>492</v>
      </c>
      <c r="B52" s="274"/>
      <c r="C52" s="275"/>
      <c r="D52" s="276">
        <f>16042</f>
        <v>16042</v>
      </c>
      <c r="E52" s="276">
        <v>17411</v>
      </c>
      <c r="F52" s="277">
        <f>D52/E52*1000</f>
        <v>921.37154672333588</v>
      </c>
      <c r="G52" s="277">
        <v>12935</v>
      </c>
      <c r="H52" s="272">
        <v>5257</v>
      </c>
      <c r="I52" s="277">
        <f>G52/H52*1000</f>
        <v>2460.5288187178999</v>
      </c>
      <c r="J52" s="278">
        <f t="shared" si="3"/>
        <v>-3107</v>
      </c>
      <c r="K52" s="278">
        <f t="shared" si="3"/>
        <v>-12154</v>
      </c>
      <c r="L52" s="278">
        <f t="shared" si="3"/>
        <v>1539.1572719945639</v>
      </c>
      <c r="M52" s="278">
        <f>G52/D52*100</f>
        <v>80.632090761750405</v>
      </c>
      <c r="N52" s="278">
        <f>H52*100/E52</f>
        <v>30.1935557980587</v>
      </c>
      <c r="O52" s="278">
        <f>I52-F52</f>
        <v>1539.1572719945639</v>
      </c>
    </row>
    <row r="53" spans="1:15" s="144" customFormat="1">
      <c r="A53" s="273" t="s">
        <v>506</v>
      </c>
      <c r="B53" s="274"/>
      <c r="C53" s="275"/>
      <c r="D53" s="276">
        <f>2002</f>
        <v>2002</v>
      </c>
      <c r="E53" s="276">
        <v>7535</v>
      </c>
      <c r="F53" s="277">
        <f>D53/E53*1000</f>
        <v>265.69343065693431</v>
      </c>
      <c r="G53" s="277">
        <f>'1. Фін результат'!E10-'6.1. Інша інфо_1'!G51-'6.1. Інша інфо_1'!G52</f>
        <v>1807.9000000000015</v>
      </c>
      <c r="H53" s="272">
        <v>11113</v>
      </c>
      <c r="I53" s="277">
        <f>G53/H53*1000</f>
        <v>162.68334383154877</v>
      </c>
      <c r="J53" s="278">
        <f t="shared" si="3"/>
        <v>-194.09999999999854</v>
      </c>
      <c r="K53" s="278">
        <f t="shared" si="3"/>
        <v>3578</v>
      </c>
      <c r="L53" s="278">
        <f t="shared" si="3"/>
        <v>-103.01008682538554</v>
      </c>
      <c r="M53" s="278">
        <f>G53/D53*100</f>
        <v>90.304695304695386</v>
      </c>
      <c r="N53" s="278">
        <f>H53*100/E53</f>
        <v>147.48506967485071</v>
      </c>
      <c r="O53" s="278">
        <f>I53-F53</f>
        <v>-103.01008682538554</v>
      </c>
    </row>
    <row r="54" spans="1:15" s="144" customFormat="1">
      <c r="A54" s="279" t="s">
        <v>58</v>
      </c>
      <c r="B54" s="280"/>
      <c r="C54" s="281"/>
      <c r="D54" s="282">
        <f>SUM(D50:D53)</f>
        <v>33828</v>
      </c>
      <c r="E54" s="282"/>
      <c r="F54" s="119"/>
      <c r="G54" s="119">
        <f>SUM(G50:G53)</f>
        <v>18432.900000000001</v>
      </c>
      <c r="H54" s="119"/>
      <c r="I54" s="119"/>
      <c r="J54" s="119">
        <f>SUM(J50:J53)</f>
        <v>-15395.099999999999</v>
      </c>
      <c r="K54" s="119"/>
      <c r="L54" s="119"/>
      <c r="M54" s="278">
        <f>G54/D54*100</f>
        <v>54.490067399787165</v>
      </c>
      <c r="N54" s="118"/>
      <c r="O54" s="119"/>
    </row>
    <row r="55" spans="1:15" s="144" customFormat="1">
      <c r="A55" s="283"/>
      <c r="B55" s="284"/>
      <c r="C55" s="284"/>
      <c r="D55" s="285">
        <v>25371</v>
      </c>
      <c r="E55" s="285"/>
      <c r="F55" s="108"/>
      <c r="G55" s="286">
        <f>'1. Фін результат'!E10</f>
        <v>18432.900000000001</v>
      </c>
      <c r="H55" s="287">
        <f>G55-G54</f>
        <v>0</v>
      </c>
    </row>
    <row r="56" spans="1:15" s="144" customFormat="1">
      <c r="A56" s="288"/>
      <c r="B56" s="263"/>
      <c r="C56" s="263"/>
      <c r="D56" s="263"/>
      <c r="E56" s="263"/>
      <c r="F56" s="263"/>
      <c r="G56" s="263"/>
      <c r="H56" s="263"/>
      <c r="I56" s="263"/>
      <c r="J56" s="263"/>
      <c r="K56" s="263"/>
      <c r="L56" s="263"/>
      <c r="M56" s="263"/>
      <c r="N56" s="263"/>
      <c r="O56" s="263"/>
    </row>
    <row r="58" spans="1:15" s="144" customFormat="1">
      <c r="A58" s="72" t="s">
        <v>125</v>
      </c>
      <c r="B58" s="239" t="s">
        <v>74</v>
      </c>
      <c r="C58" s="239"/>
      <c r="D58" s="239" t="s">
        <v>69</v>
      </c>
      <c r="E58" s="239"/>
      <c r="F58" s="239" t="s">
        <v>70</v>
      </c>
      <c r="G58" s="239"/>
      <c r="H58" s="239" t="s">
        <v>89</v>
      </c>
      <c r="I58" s="239"/>
      <c r="J58" s="239"/>
      <c r="K58" s="240" t="s">
        <v>86</v>
      </c>
      <c r="L58" s="241"/>
      <c r="M58" s="240" t="s">
        <v>36</v>
      </c>
      <c r="N58" s="242"/>
      <c r="O58" s="241"/>
    </row>
    <row r="59" spans="1:15" s="144" customFormat="1">
      <c r="A59" s="272">
        <v>1</v>
      </c>
      <c r="B59" s="253">
        <v>2</v>
      </c>
      <c r="C59" s="253"/>
      <c r="D59" s="253">
        <v>3</v>
      </c>
      <c r="E59" s="253"/>
      <c r="F59" s="253">
        <v>4</v>
      </c>
      <c r="G59" s="253"/>
      <c r="H59" s="253">
        <v>5</v>
      </c>
      <c r="I59" s="253"/>
      <c r="J59" s="253"/>
      <c r="K59" s="253">
        <v>6</v>
      </c>
      <c r="L59" s="253"/>
      <c r="M59" s="254">
        <v>7</v>
      </c>
      <c r="N59" s="255"/>
      <c r="O59" s="289"/>
    </row>
    <row r="60" spans="1:15" s="144" customFormat="1">
      <c r="A60" s="290"/>
      <c r="B60" s="258"/>
      <c r="C60" s="258"/>
      <c r="D60" s="244"/>
      <c r="E60" s="244"/>
      <c r="F60" s="245" t="s">
        <v>254</v>
      </c>
      <c r="G60" s="245"/>
      <c r="H60" s="239"/>
      <c r="I60" s="239"/>
      <c r="J60" s="239"/>
      <c r="K60" s="291"/>
      <c r="L60" s="292"/>
      <c r="M60" s="244"/>
      <c r="N60" s="244"/>
      <c r="O60" s="244"/>
    </row>
    <row r="61" spans="1:15" s="144" customFormat="1">
      <c r="A61" s="290"/>
      <c r="B61" s="293"/>
      <c r="C61" s="294"/>
      <c r="D61" s="291"/>
      <c r="E61" s="292"/>
      <c r="F61" s="295"/>
      <c r="G61" s="296"/>
      <c r="H61" s="240"/>
      <c r="I61" s="242"/>
      <c r="J61" s="241"/>
      <c r="K61" s="291"/>
      <c r="L61" s="292"/>
      <c r="M61" s="291"/>
      <c r="N61" s="297"/>
      <c r="O61" s="292"/>
    </row>
    <row r="62" spans="1:15" s="144" customFormat="1">
      <c r="A62" s="290"/>
      <c r="B62" s="256"/>
      <c r="C62" s="298"/>
      <c r="D62" s="291"/>
      <c r="E62" s="292"/>
      <c r="F62" s="295"/>
      <c r="G62" s="296"/>
      <c r="H62" s="240"/>
      <c r="I62" s="242"/>
      <c r="J62" s="241"/>
      <c r="K62" s="291"/>
      <c r="L62" s="292"/>
      <c r="M62" s="291"/>
      <c r="N62" s="297"/>
      <c r="O62" s="292"/>
    </row>
    <row r="63" spans="1:15" s="144" customFormat="1">
      <c r="A63" s="290"/>
      <c r="B63" s="258"/>
      <c r="C63" s="258"/>
      <c r="D63" s="244"/>
      <c r="E63" s="244"/>
      <c r="F63" s="245"/>
      <c r="G63" s="245"/>
      <c r="H63" s="239"/>
      <c r="I63" s="239"/>
      <c r="J63" s="239"/>
      <c r="K63" s="291"/>
      <c r="L63" s="292"/>
      <c r="M63" s="244"/>
      <c r="N63" s="244"/>
      <c r="O63" s="244"/>
    </row>
    <row r="64" spans="1:15" s="144" customFormat="1">
      <c r="A64" s="299" t="s">
        <v>58</v>
      </c>
      <c r="B64" s="253" t="s">
        <v>37</v>
      </c>
      <c r="C64" s="253"/>
      <c r="D64" s="253" t="s">
        <v>37</v>
      </c>
      <c r="E64" s="253"/>
      <c r="F64" s="253" t="s">
        <v>37</v>
      </c>
      <c r="G64" s="253"/>
      <c r="H64" s="239"/>
      <c r="I64" s="239"/>
      <c r="J64" s="239"/>
      <c r="K64" s="291"/>
      <c r="L64" s="292"/>
      <c r="M64" s="244"/>
      <c r="N64" s="244"/>
      <c r="O64" s="244"/>
    </row>
    <row r="65" spans="1:15" s="144" customFormat="1">
      <c r="A65" s="108"/>
      <c r="B65" s="108"/>
      <c r="C65" s="108"/>
      <c r="D65" s="108"/>
      <c r="E65" s="108"/>
      <c r="F65" s="108"/>
      <c r="G65" s="108"/>
      <c r="H65" s="108"/>
      <c r="I65" s="108"/>
      <c r="J65" s="108"/>
    </row>
    <row r="66" spans="1:15" s="144" customFormat="1">
      <c r="A66" s="263" t="s">
        <v>75</v>
      </c>
      <c r="B66" s="263"/>
      <c r="C66" s="263"/>
      <c r="D66" s="263"/>
      <c r="E66" s="263"/>
      <c r="F66" s="263"/>
      <c r="G66" s="263"/>
      <c r="H66" s="263"/>
      <c r="I66" s="263"/>
      <c r="J66" s="263"/>
      <c r="K66" s="263"/>
      <c r="L66" s="263"/>
      <c r="M66" s="263"/>
      <c r="N66" s="263"/>
      <c r="O66" s="263"/>
    </row>
    <row r="67" spans="1:15" s="144" customFormat="1">
      <c r="I67" s="283"/>
    </row>
    <row r="68" spans="1:15" s="144" customFormat="1">
      <c r="A68" s="239" t="s">
        <v>68</v>
      </c>
      <c r="B68" s="239"/>
      <c r="C68" s="239"/>
      <c r="D68" s="239" t="s">
        <v>240</v>
      </c>
      <c r="E68" s="239"/>
      <c r="F68" s="239" t="s">
        <v>241</v>
      </c>
      <c r="G68" s="239"/>
      <c r="H68" s="239"/>
      <c r="I68" s="239"/>
      <c r="J68" s="239" t="s">
        <v>244</v>
      </c>
      <c r="K68" s="239"/>
      <c r="L68" s="239"/>
      <c r="M68" s="239"/>
      <c r="N68" s="239" t="s">
        <v>245</v>
      </c>
      <c r="O68" s="239"/>
    </row>
    <row r="69" spans="1:15" s="144" customFormat="1">
      <c r="A69" s="239"/>
      <c r="B69" s="239"/>
      <c r="C69" s="239"/>
      <c r="D69" s="239"/>
      <c r="E69" s="239"/>
      <c r="F69" s="253" t="s">
        <v>242</v>
      </c>
      <c r="G69" s="253"/>
      <c r="H69" s="239" t="s">
        <v>243</v>
      </c>
      <c r="I69" s="239"/>
      <c r="J69" s="253" t="s">
        <v>242</v>
      </c>
      <c r="K69" s="253"/>
      <c r="L69" s="239" t="s">
        <v>243</v>
      </c>
      <c r="M69" s="239"/>
      <c r="N69" s="239"/>
      <c r="O69" s="239"/>
    </row>
    <row r="70" spans="1:15" s="144" customFormat="1">
      <c r="A70" s="239">
        <v>1</v>
      </c>
      <c r="B70" s="239"/>
      <c r="C70" s="239"/>
      <c r="D70" s="240">
        <v>2</v>
      </c>
      <c r="E70" s="241"/>
      <c r="F70" s="240">
        <v>3</v>
      </c>
      <c r="G70" s="241"/>
      <c r="H70" s="254">
        <v>4</v>
      </c>
      <c r="I70" s="289"/>
      <c r="J70" s="254">
        <v>5</v>
      </c>
      <c r="K70" s="289"/>
      <c r="L70" s="254">
        <v>6</v>
      </c>
      <c r="M70" s="289"/>
      <c r="N70" s="254">
        <v>7</v>
      </c>
      <c r="O70" s="289"/>
    </row>
    <row r="71" spans="1:15" s="144" customFormat="1">
      <c r="A71" s="300" t="s">
        <v>307</v>
      </c>
      <c r="B71" s="300"/>
      <c r="C71" s="300"/>
      <c r="D71" s="291"/>
      <c r="E71" s="292"/>
      <c r="F71" s="291"/>
      <c r="G71" s="292"/>
      <c r="H71" s="291"/>
      <c r="I71" s="292"/>
      <c r="J71" s="291"/>
      <c r="K71" s="292"/>
      <c r="L71" s="291"/>
      <c r="M71" s="292"/>
      <c r="N71" s="291"/>
      <c r="O71" s="292"/>
    </row>
    <row r="72" spans="1:15" s="144" customFormat="1">
      <c r="A72" s="300" t="s">
        <v>103</v>
      </c>
      <c r="B72" s="300"/>
      <c r="C72" s="300"/>
      <c r="D72" s="291"/>
      <c r="E72" s="292"/>
      <c r="F72" s="291"/>
      <c r="G72" s="292"/>
      <c r="H72" s="291"/>
      <c r="I72" s="292"/>
      <c r="J72" s="291"/>
      <c r="K72" s="292"/>
      <c r="L72" s="291"/>
      <c r="M72" s="292"/>
      <c r="N72" s="291"/>
      <c r="O72" s="292"/>
    </row>
    <row r="73" spans="1:15" s="144" customFormat="1">
      <c r="A73" s="300"/>
      <c r="B73" s="300"/>
      <c r="C73" s="300"/>
      <c r="D73" s="291"/>
      <c r="E73" s="292"/>
      <c r="F73" s="291"/>
      <c r="G73" s="292"/>
      <c r="H73" s="291"/>
      <c r="I73" s="292"/>
      <c r="J73" s="291"/>
      <c r="K73" s="292"/>
      <c r="L73" s="291"/>
      <c r="M73" s="292"/>
      <c r="N73" s="291"/>
      <c r="O73" s="292"/>
    </row>
    <row r="74" spans="1:15" s="144" customFormat="1">
      <c r="A74" s="300" t="s">
        <v>308</v>
      </c>
      <c r="B74" s="300"/>
      <c r="C74" s="300"/>
      <c r="D74" s="291"/>
      <c r="E74" s="292"/>
      <c r="F74" s="291"/>
      <c r="G74" s="292"/>
      <c r="H74" s="291"/>
      <c r="I74" s="292"/>
      <c r="J74" s="291"/>
      <c r="K74" s="292"/>
      <c r="L74" s="291"/>
      <c r="M74" s="292"/>
      <c r="N74" s="291"/>
      <c r="O74" s="292"/>
    </row>
    <row r="75" spans="1:15" s="144" customFormat="1">
      <c r="A75" s="300" t="s">
        <v>570</v>
      </c>
      <c r="B75" s="300"/>
      <c r="C75" s="300"/>
      <c r="D75" s="291"/>
      <c r="E75" s="292"/>
      <c r="F75" s="291"/>
      <c r="G75" s="292"/>
      <c r="H75" s="291"/>
      <c r="I75" s="292"/>
      <c r="J75" s="291"/>
      <c r="K75" s="292"/>
      <c r="L75" s="291"/>
      <c r="M75" s="292"/>
      <c r="N75" s="291"/>
      <c r="O75" s="292"/>
    </row>
    <row r="76" spans="1:15" s="144" customFormat="1">
      <c r="A76" s="300"/>
      <c r="B76" s="300"/>
      <c r="C76" s="300"/>
      <c r="D76" s="291"/>
      <c r="E76" s="292"/>
      <c r="F76" s="291"/>
      <c r="G76" s="292"/>
      <c r="H76" s="291"/>
      <c r="I76" s="292"/>
      <c r="J76" s="291"/>
      <c r="K76" s="292"/>
      <c r="L76" s="291"/>
      <c r="M76" s="292"/>
      <c r="N76" s="291"/>
      <c r="O76" s="292"/>
    </row>
    <row r="77" spans="1:15" s="144" customFormat="1">
      <c r="A77" s="300" t="s">
        <v>309</v>
      </c>
      <c r="B77" s="300"/>
      <c r="C77" s="300"/>
      <c r="D77" s="291"/>
      <c r="E77" s="292"/>
      <c r="F77" s="291"/>
      <c r="G77" s="292"/>
      <c r="H77" s="291"/>
      <c r="I77" s="292"/>
      <c r="J77" s="291"/>
      <c r="K77" s="292"/>
      <c r="L77" s="291"/>
      <c r="M77" s="292"/>
      <c r="N77" s="291"/>
      <c r="O77" s="292"/>
    </row>
    <row r="78" spans="1:15" s="144" customFormat="1">
      <c r="A78" s="300" t="s">
        <v>103</v>
      </c>
      <c r="B78" s="300"/>
      <c r="C78" s="300"/>
      <c r="D78" s="291"/>
      <c r="E78" s="292"/>
      <c r="F78" s="291"/>
      <c r="G78" s="292"/>
      <c r="H78" s="291"/>
      <c r="I78" s="292"/>
      <c r="J78" s="291"/>
      <c r="K78" s="292"/>
      <c r="L78" s="291"/>
      <c r="M78" s="292"/>
      <c r="N78" s="291"/>
      <c r="O78" s="292"/>
    </row>
    <row r="79" spans="1:15" s="144" customFormat="1">
      <c r="A79" s="300"/>
      <c r="B79" s="300"/>
      <c r="C79" s="300"/>
      <c r="D79" s="291"/>
      <c r="E79" s="292"/>
      <c r="F79" s="291"/>
      <c r="G79" s="292"/>
      <c r="H79" s="291"/>
      <c r="I79" s="292"/>
      <c r="J79" s="291"/>
      <c r="K79" s="292"/>
      <c r="L79" s="291"/>
      <c r="M79" s="292"/>
      <c r="N79" s="291"/>
      <c r="O79" s="292"/>
    </row>
    <row r="80" spans="1:15" s="144" customFormat="1">
      <c r="A80" s="300" t="s">
        <v>58</v>
      </c>
      <c r="B80" s="300"/>
      <c r="C80" s="300"/>
      <c r="D80" s="291"/>
      <c r="E80" s="292"/>
      <c r="F80" s="291"/>
      <c r="G80" s="292"/>
      <c r="H80" s="291"/>
      <c r="I80" s="292"/>
      <c r="J80" s="291"/>
      <c r="K80" s="292"/>
      <c r="L80" s="291"/>
      <c r="M80" s="292"/>
      <c r="N80" s="291"/>
      <c r="O80" s="292"/>
    </row>
    <row r="81" spans="2:5" s="144" customFormat="1">
      <c r="B81" s="108"/>
      <c r="C81" s="301"/>
      <c r="D81" s="301"/>
      <c r="E81" s="301"/>
    </row>
    <row r="82" spans="2:5" s="144" customFormat="1">
      <c r="B82" s="108"/>
      <c r="C82" s="301"/>
      <c r="D82" s="301"/>
      <c r="E82" s="301"/>
    </row>
    <row r="83" spans="2:5" s="144" customFormat="1">
      <c r="B83" s="108"/>
      <c r="C83" s="301"/>
      <c r="D83" s="301"/>
      <c r="E83" s="301"/>
    </row>
    <row r="84" spans="2:5" s="144" customFormat="1">
      <c r="B84" s="108"/>
      <c r="C84" s="301"/>
      <c r="D84" s="301"/>
      <c r="E84" s="301"/>
    </row>
    <row r="85" spans="2:5" s="144" customFormat="1">
      <c r="B85" s="108"/>
      <c r="C85" s="301"/>
      <c r="D85" s="301"/>
      <c r="E85" s="301"/>
    </row>
    <row r="86" spans="2:5" s="144" customFormat="1">
      <c r="B86" s="108"/>
      <c r="C86" s="301"/>
      <c r="D86" s="301"/>
      <c r="E86" s="301"/>
    </row>
    <row r="87" spans="2:5" s="144" customFormat="1">
      <c r="B87" s="108"/>
      <c r="C87" s="301"/>
      <c r="D87" s="301"/>
      <c r="E87" s="301"/>
    </row>
    <row r="88" spans="2:5" s="144" customFormat="1">
      <c r="B88" s="108"/>
      <c r="C88" s="301"/>
      <c r="D88" s="301"/>
      <c r="E88" s="301"/>
    </row>
    <row r="89" spans="2:5" s="144" customFormat="1">
      <c r="B89" s="108"/>
      <c r="C89" s="301"/>
      <c r="D89" s="301"/>
      <c r="E89" s="301"/>
    </row>
    <row r="90" spans="2:5" s="144" customFormat="1">
      <c r="B90" s="108"/>
      <c r="C90" s="301"/>
      <c r="D90" s="301"/>
      <c r="E90" s="301"/>
    </row>
    <row r="91" spans="2:5" s="144" customFormat="1">
      <c r="B91" s="108"/>
      <c r="C91" s="301"/>
      <c r="D91" s="301"/>
      <c r="E91" s="301"/>
    </row>
    <row r="92" spans="2:5" s="144" customFormat="1">
      <c r="B92" s="108"/>
      <c r="C92" s="301"/>
      <c r="D92" s="301"/>
      <c r="E92" s="301"/>
    </row>
    <row r="93" spans="2:5" s="144" customFormat="1">
      <c r="B93" s="108"/>
      <c r="C93" s="301"/>
      <c r="D93" s="301"/>
      <c r="E93" s="301"/>
    </row>
    <row r="94" spans="2:5" s="144" customFormat="1">
      <c r="B94" s="108"/>
      <c r="C94" s="301"/>
      <c r="D94" s="301"/>
      <c r="E94" s="301"/>
    </row>
  </sheetData>
  <sheetProtection formatCells="0" formatColumns="0" formatRows="0" insertRows="0" deleteRows="0"/>
  <mergeCells count="306">
    <mergeCell ref="A5:O5"/>
    <mergeCell ref="A6:O6"/>
    <mergeCell ref="F42:O42"/>
    <mergeCell ref="B42:E42"/>
    <mergeCell ref="A37:O37"/>
    <mergeCell ref="F41:O41"/>
    <mergeCell ref="A45:O45"/>
    <mergeCell ref="M43:O43"/>
    <mergeCell ref="M44:O44"/>
    <mergeCell ref="L16:M16"/>
    <mergeCell ref="N11:O11"/>
    <mergeCell ref="D14:E14"/>
    <mergeCell ref="D15:E15"/>
    <mergeCell ref="A13:O13"/>
    <mergeCell ref="N15:O15"/>
    <mergeCell ref="B11:C11"/>
    <mergeCell ref="D11:E11"/>
    <mergeCell ref="H14:I14"/>
    <mergeCell ref="J14:K14"/>
    <mergeCell ref="H15:I15"/>
    <mergeCell ref="N16:O16"/>
    <mergeCell ref="L14:M14"/>
    <mergeCell ref="N14:O14"/>
    <mergeCell ref="L17:M17"/>
    <mergeCell ref="N1:O1"/>
    <mergeCell ref="N2:O2"/>
    <mergeCell ref="A3:O3"/>
    <mergeCell ref="A4:O4"/>
    <mergeCell ref="A7:O7"/>
    <mergeCell ref="A9:O9"/>
    <mergeCell ref="B41:E41"/>
    <mergeCell ref="F40:O40"/>
    <mergeCell ref="B40:E40"/>
    <mergeCell ref="A39:O39"/>
    <mergeCell ref="N12:O12"/>
    <mergeCell ref="H12:I12"/>
    <mergeCell ref="J12:K12"/>
    <mergeCell ref="F14:G14"/>
    <mergeCell ref="F15:G15"/>
    <mergeCell ref="F16:G16"/>
    <mergeCell ref="D12:E12"/>
    <mergeCell ref="H16:I16"/>
    <mergeCell ref="H11:I11"/>
    <mergeCell ref="J11:K11"/>
    <mergeCell ref="L11:M11"/>
    <mergeCell ref="J16:K16"/>
    <mergeCell ref="J15:K15"/>
    <mergeCell ref="L15:M15"/>
    <mergeCell ref="B62:C62"/>
    <mergeCell ref="D62:E62"/>
    <mergeCell ref="F62:G62"/>
    <mergeCell ref="A72:C72"/>
    <mergeCell ref="H59:J59"/>
    <mergeCell ref="K61:L61"/>
    <mergeCell ref="K62:L62"/>
    <mergeCell ref="H61:J61"/>
    <mergeCell ref="F71:G71"/>
    <mergeCell ref="K59:L59"/>
    <mergeCell ref="B59:C59"/>
    <mergeCell ref="F59:G59"/>
    <mergeCell ref="F68:I68"/>
    <mergeCell ref="F69:G69"/>
    <mergeCell ref="D68:E69"/>
    <mergeCell ref="F70:G70"/>
    <mergeCell ref="B60:C60"/>
    <mergeCell ref="H60:J60"/>
    <mergeCell ref="F60:G60"/>
    <mergeCell ref="D60:E60"/>
    <mergeCell ref="K60:L60"/>
    <mergeCell ref="J70:K70"/>
    <mergeCell ref="J68:M68"/>
    <mergeCell ref="J69:K69"/>
    <mergeCell ref="L77:M77"/>
    <mergeCell ref="H74:I74"/>
    <mergeCell ref="K63:L63"/>
    <mergeCell ref="F75:G75"/>
    <mergeCell ref="D74:E74"/>
    <mergeCell ref="F74:G74"/>
    <mergeCell ref="H70:I70"/>
    <mergeCell ref="D71:E71"/>
    <mergeCell ref="M58:O58"/>
    <mergeCell ref="H64:J64"/>
    <mergeCell ref="D58:E58"/>
    <mergeCell ref="F58:G58"/>
    <mergeCell ref="H58:J58"/>
    <mergeCell ref="K58:L58"/>
    <mergeCell ref="D63:E63"/>
    <mergeCell ref="D61:E61"/>
    <mergeCell ref="F61:G61"/>
    <mergeCell ref="M63:O63"/>
    <mergeCell ref="K64:L64"/>
    <mergeCell ref="M62:O62"/>
    <mergeCell ref="M61:O61"/>
    <mergeCell ref="M59:O59"/>
    <mergeCell ref="M60:O60"/>
    <mergeCell ref="F63:G63"/>
    <mergeCell ref="H63:J63"/>
    <mergeCell ref="A74:C74"/>
    <mergeCell ref="H75:I75"/>
    <mergeCell ref="J75:K75"/>
    <mergeCell ref="A75:C75"/>
    <mergeCell ref="L75:M75"/>
    <mergeCell ref="D72:E72"/>
    <mergeCell ref="F72:G72"/>
    <mergeCell ref="B63:C63"/>
    <mergeCell ref="L69:M69"/>
    <mergeCell ref="A80:C80"/>
    <mergeCell ref="D73:E73"/>
    <mergeCell ref="F73:G73"/>
    <mergeCell ref="A78:C78"/>
    <mergeCell ref="D76:E76"/>
    <mergeCell ref="F76:G76"/>
    <mergeCell ref="A77:C77"/>
    <mergeCell ref="A76:C76"/>
    <mergeCell ref="A79:C79"/>
    <mergeCell ref="D75:E75"/>
    <mergeCell ref="D80:E80"/>
    <mergeCell ref="F80:G80"/>
    <mergeCell ref="D78:E78"/>
    <mergeCell ref="F78:G78"/>
    <mergeCell ref="A73:C73"/>
    <mergeCell ref="D77:E77"/>
    <mergeCell ref="F77:G77"/>
    <mergeCell ref="N68:O69"/>
    <mergeCell ref="M64:O64"/>
    <mergeCell ref="L70:M70"/>
    <mergeCell ref="N70:O70"/>
    <mergeCell ref="L71:M71"/>
    <mergeCell ref="N71:O71"/>
    <mergeCell ref="H69:I69"/>
    <mergeCell ref="J71:K71"/>
    <mergeCell ref="H71:I71"/>
    <mergeCell ref="A66:O66"/>
    <mergeCell ref="B64:C64"/>
    <mergeCell ref="D64:E64"/>
    <mergeCell ref="F64:G64"/>
    <mergeCell ref="A71:C71"/>
    <mergeCell ref="A70:C70"/>
    <mergeCell ref="D70:E70"/>
    <mergeCell ref="J78:K78"/>
    <mergeCell ref="H72:I72"/>
    <mergeCell ref="J72:K72"/>
    <mergeCell ref="L73:M73"/>
    <mergeCell ref="H73:I73"/>
    <mergeCell ref="J73:K73"/>
    <mergeCell ref="J74:K74"/>
    <mergeCell ref="L79:M79"/>
    <mergeCell ref="N79:O79"/>
    <mergeCell ref="H78:I78"/>
    <mergeCell ref="L74:M74"/>
    <mergeCell ref="N73:O73"/>
    <mergeCell ref="N78:O78"/>
    <mergeCell ref="N76:O76"/>
    <mergeCell ref="L78:M78"/>
    <mergeCell ref="N77:O77"/>
    <mergeCell ref="N74:O74"/>
    <mergeCell ref="N75:O75"/>
    <mergeCell ref="N72:O72"/>
    <mergeCell ref="J76:K76"/>
    <mergeCell ref="L76:M76"/>
    <mergeCell ref="L72:M72"/>
    <mergeCell ref="H77:I77"/>
    <mergeCell ref="J77:K77"/>
    <mergeCell ref="H80:I80"/>
    <mergeCell ref="J80:K80"/>
    <mergeCell ref="L80:M80"/>
    <mergeCell ref="F11:G11"/>
    <mergeCell ref="F12:G12"/>
    <mergeCell ref="B12:C12"/>
    <mergeCell ref="D16:E16"/>
    <mergeCell ref="H76:I76"/>
    <mergeCell ref="N80:O80"/>
    <mergeCell ref="D79:E79"/>
    <mergeCell ref="F79:G79"/>
    <mergeCell ref="H79:I79"/>
    <mergeCell ref="J79:K79"/>
    <mergeCell ref="D17:E17"/>
    <mergeCell ref="D18:E18"/>
    <mergeCell ref="A68:C69"/>
    <mergeCell ref="D27:E27"/>
    <mergeCell ref="D23:E23"/>
    <mergeCell ref="D25:E25"/>
    <mergeCell ref="D26:E26"/>
    <mergeCell ref="D21:E21"/>
    <mergeCell ref="D22:E22"/>
    <mergeCell ref="A28:O28"/>
    <mergeCell ref="L12:M12"/>
    <mergeCell ref="N17:O17"/>
    <mergeCell ref="L18:M18"/>
    <mergeCell ref="N18:O18"/>
    <mergeCell ref="F17:G17"/>
    <mergeCell ref="F18:G18"/>
    <mergeCell ref="H17:I17"/>
    <mergeCell ref="H18:I18"/>
    <mergeCell ref="J17:K17"/>
    <mergeCell ref="J18:K18"/>
    <mergeCell ref="F19:G19"/>
    <mergeCell ref="F21:G21"/>
    <mergeCell ref="F22:G22"/>
    <mergeCell ref="D19:E19"/>
    <mergeCell ref="J19:K19"/>
    <mergeCell ref="J21:K21"/>
    <mergeCell ref="J22:K22"/>
    <mergeCell ref="A20:O20"/>
    <mergeCell ref="H19:I19"/>
    <mergeCell ref="H21:I21"/>
    <mergeCell ref="H22:I22"/>
    <mergeCell ref="N19:O19"/>
    <mergeCell ref="N21:O21"/>
    <mergeCell ref="N22:O22"/>
    <mergeCell ref="L19:M19"/>
    <mergeCell ref="L21:M21"/>
    <mergeCell ref="L22:M22"/>
    <mergeCell ref="L27:M27"/>
    <mergeCell ref="F27:G27"/>
    <mergeCell ref="H23:I23"/>
    <mergeCell ref="H25:I25"/>
    <mergeCell ref="H26:I26"/>
    <mergeCell ref="H27:I27"/>
    <mergeCell ref="F23:G23"/>
    <mergeCell ref="F25:G25"/>
    <mergeCell ref="F26:G26"/>
    <mergeCell ref="J23:K23"/>
    <mergeCell ref="J25:K25"/>
    <mergeCell ref="J26:K26"/>
    <mergeCell ref="J27:K27"/>
    <mergeCell ref="N23:O23"/>
    <mergeCell ref="N25:O25"/>
    <mergeCell ref="N26:O26"/>
    <mergeCell ref="A24:O24"/>
    <mergeCell ref="D33:E33"/>
    <mergeCell ref="D34:E34"/>
    <mergeCell ref="B33:C33"/>
    <mergeCell ref="A32:O32"/>
    <mergeCell ref="F34:G34"/>
    <mergeCell ref="J34:K34"/>
    <mergeCell ref="N27:O27"/>
    <mergeCell ref="D29:E29"/>
    <mergeCell ref="D30:E30"/>
    <mergeCell ref="D31:E31"/>
    <mergeCell ref="B25:C25"/>
    <mergeCell ref="B26:C26"/>
    <mergeCell ref="B27:C27"/>
    <mergeCell ref="B29:C29"/>
    <mergeCell ref="B31:C31"/>
    <mergeCell ref="B30:C30"/>
    <mergeCell ref="L23:M23"/>
    <mergeCell ref="L25:M25"/>
    <mergeCell ref="L26:M26"/>
    <mergeCell ref="J30:K30"/>
    <mergeCell ref="F29:G29"/>
    <mergeCell ref="F30:G30"/>
    <mergeCell ref="F31:G31"/>
    <mergeCell ref="F33:G33"/>
    <mergeCell ref="J29:K29"/>
    <mergeCell ref="H29:I29"/>
    <mergeCell ref="H30:I30"/>
    <mergeCell ref="H31:I31"/>
    <mergeCell ref="H33:I33"/>
    <mergeCell ref="J31:K31"/>
    <mergeCell ref="L33:M33"/>
    <mergeCell ref="J33:K33"/>
    <mergeCell ref="L34:M34"/>
    <mergeCell ref="L35:M35"/>
    <mergeCell ref="N29:O29"/>
    <mergeCell ref="N30:O30"/>
    <mergeCell ref="N31:O31"/>
    <mergeCell ref="N33:O33"/>
    <mergeCell ref="N34:O34"/>
    <mergeCell ref="N35:O35"/>
    <mergeCell ref="L29:M29"/>
    <mergeCell ref="L30:M30"/>
    <mergeCell ref="L31:M31"/>
    <mergeCell ref="B18:C18"/>
    <mergeCell ref="B19:C19"/>
    <mergeCell ref="B21:C21"/>
    <mergeCell ref="B22:C22"/>
    <mergeCell ref="B23:C23"/>
    <mergeCell ref="B14:C14"/>
    <mergeCell ref="B15:C15"/>
    <mergeCell ref="B16:C16"/>
    <mergeCell ref="B17:C17"/>
    <mergeCell ref="O47:O48"/>
    <mergeCell ref="G47:I47"/>
    <mergeCell ref="J47:L47"/>
    <mergeCell ref="M47:N47"/>
    <mergeCell ref="A49:C49"/>
    <mergeCell ref="H62:J62"/>
    <mergeCell ref="B34:C34"/>
    <mergeCell ref="B35:C35"/>
    <mergeCell ref="J35:K35"/>
    <mergeCell ref="F35:G35"/>
    <mergeCell ref="D59:E59"/>
    <mergeCell ref="D35:E35"/>
    <mergeCell ref="H35:I35"/>
    <mergeCell ref="H34:I34"/>
    <mergeCell ref="D47:F47"/>
    <mergeCell ref="A47:C48"/>
    <mergeCell ref="A50:C50"/>
    <mergeCell ref="B58:C58"/>
    <mergeCell ref="A56:O56"/>
    <mergeCell ref="A54:C54"/>
    <mergeCell ref="A51:C51"/>
    <mergeCell ref="A52:C52"/>
    <mergeCell ref="A53:C53"/>
    <mergeCell ref="B61:C61"/>
  </mergeCells>
  <phoneticPr fontId="3" type="noConversion"/>
  <pageMargins left="0.78740157480314965" right="0.78740157480314965" top="1.1811023622047245" bottom="0.39370078740157483" header="0" footer="0"/>
  <pageSetup paperSize="9" scale="48" fitToHeight="0" orientation="landscape" horizontalDpi="1200" verticalDpi="1200" r:id="rId1"/>
  <headerFooter alignWithMargins="0"/>
  <rowBreaks count="1" manualBreakCount="1">
    <brk id="42" max="14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Лист8">
    <tabColor indexed="43"/>
    <pageSetUpPr fitToPage="1"/>
  </sheetPr>
  <dimension ref="A1:W70"/>
  <sheetViews>
    <sheetView view="pageBreakPreview" topLeftCell="C40" zoomScale="60" zoomScaleNormal="60" workbookViewId="0">
      <selection activeCell="A52" sqref="A52:F52"/>
    </sheetView>
  </sheetViews>
  <sheetFormatPr defaultColWidth="9.1796875" defaultRowHeight="18"/>
  <cols>
    <col min="1" max="1" width="4.453125" style="159" customWidth="1"/>
    <col min="2" max="2" width="41.81640625" style="159" customWidth="1"/>
    <col min="3" max="3" width="17.26953125" style="159" customWidth="1"/>
    <col min="4" max="4" width="18.453125" style="159" customWidth="1"/>
    <col min="5" max="6" width="11.453125" style="159" customWidth="1"/>
    <col min="7" max="8" width="11" style="159" customWidth="1"/>
    <col min="9" max="9" width="13" style="159" customWidth="1"/>
    <col min="10" max="12" width="11" style="159" customWidth="1"/>
    <col min="13" max="13" width="23" style="159" customWidth="1"/>
    <col min="14" max="14" width="14.453125" style="159" customWidth="1"/>
    <col min="15" max="20" width="11" style="159" customWidth="1"/>
    <col min="21" max="21" width="13.7265625" style="159" customWidth="1"/>
    <col min="22" max="23" width="11" style="159" customWidth="1"/>
    <col min="24" max="16384" width="9.1796875" style="159"/>
  </cols>
  <sheetData>
    <row r="1" spans="1:23">
      <c r="A1" s="158"/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Q1" s="160"/>
      <c r="R1" s="160"/>
      <c r="S1" s="160"/>
      <c r="T1" s="160"/>
      <c r="U1" s="160"/>
      <c r="W1" s="161"/>
    </row>
    <row r="2" spans="1:23">
      <c r="A2" s="162" t="s">
        <v>247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3"/>
    </row>
    <row r="3" spans="1:23">
      <c r="A3" s="164"/>
      <c r="B3" s="164"/>
      <c r="C3" s="164"/>
      <c r="D3" s="164"/>
      <c r="E3" s="164"/>
      <c r="F3" s="164"/>
      <c r="G3" s="164"/>
      <c r="H3" s="164"/>
      <c r="I3" s="164"/>
      <c r="J3" s="164"/>
    </row>
    <row r="4" spans="1:23" ht="18" customHeight="1">
      <c r="A4" s="165" t="s">
        <v>53</v>
      </c>
      <c r="B4" s="166" t="s">
        <v>191</v>
      </c>
      <c r="C4" s="167"/>
      <c r="D4" s="167"/>
      <c r="E4" s="168"/>
      <c r="F4" s="169" t="s">
        <v>192</v>
      </c>
      <c r="G4" s="170"/>
      <c r="H4" s="169" t="s">
        <v>334</v>
      </c>
      <c r="I4" s="171"/>
      <c r="J4" s="171"/>
      <c r="K4" s="170"/>
      <c r="L4" s="169" t="s">
        <v>193</v>
      </c>
      <c r="M4" s="170"/>
      <c r="N4" s="172" t="s">
        <v>300</v>
      </c>
      <c r="O4" s="173"/>
      <c r="P4" s="173"/>
      <c r="Q4" s="173"/>
      <c r="R4" s="173"/>
      <c r="S4" s="173"/>
      <c r="T4" s="173"/>
      <c r="U4" s="173"/>
      <c r="V4" s="174"/>
    </row>
    <row r="5" spans="1:23" ht="40.5" customHeight="1">
      <c r="A5" s="175"/>
      <c r="B5" s="176"/>
      <c r="C5" s="177"/>
      <c r="D5" s="177"/>
      <c r="E5" s="178"/>
      <c r="F5" s="179"/>
      <c r="G5" s="180"/>
      <c r="H5" s="179"/>
      <c r="I5" s="181"/>
      <c r="J5" s="181"/>
      <c r="K5" s="180"/>
      <c r="L5" s="179"/>
      <c r="M5" s="180"/>
      <c r="N5" s="172" t="s">
        <v>194</v>
      </c>
      <c r="O5" s="174"/>
      <c r="P5" s="172" t="s">
        <v>195</v>
      </c>
      <c r="Q5" s="174"/>
      <c r="R5" s="172" t="s">
        <v>41</v>
      </c>
      <c r="S5" s="174"/>
      <c r="T5" s="172" t="s">
        <v>196</v>
      </c>
      <c r="U5" s="174"/>
      <c r="V5" s="148" t="s">
        <v>197</v>
      </c>
    </row>
    <row r="6" spans="1:23">
      <c r="A6" s="182">
        <v>1</v>
      </c>
      <c r="B6" s="183">
        <v>2</v>
      </c>
      <c r="C6" s="183"/>
      <c r="D6" s="183"/>
      <c r="E6" s="183"/>
      <c r="F6" s="184">
        <v>3</v>
      </c>
      <c r="G6" s="185"/>
      <c r="H6" s="184">
        <v>4</v>
      </c>
      <c r="I6" s="186"/>
      <c r="J6" s="186"/>
      <c r="K6" s="185"/>
      <c r="L6" s="184">
        <v>5</v>
      </c>
      <c r="M6" s="185"/>
      <c r="N6" s="184">
        <v>6</v>
      </c>
      <c r="O6" s="185"/>
      <c r="P6" s="184">
        <v>7</v>
      </c>
      <c r="Q6" s="185"/>
      <c r="R6" s="184">
        <v>8</v>
      </c>
      <c r="S6" s="185"/>
      <c r="T6" s="184">
        <v>9</v>
      </c>
      <c r="U6" s="185"/>
      <c r="V6" s="182">
        <v>10</v>
      </c>
    </row>
    <row r="7" spans="1:23">
      <c r="A7" s="182">
        <v>1</v>
      </c>
      <c r="B7" s="183"/>
      <c r="C7" s="183"/>
      <c r="D7" s="183"/>
      <c r="E7" s="183"/>
      <c r="F7" s="184"/>
      <c r="G7" s="185"/>
      <c r="H7" s="184"/>
      <c r="I7" s="186"/>
      <c r="J7" s="186"/>
      <c r="K7" s="185"/>
      <c r="L7" s="184">
        <f>SUM(N7,P7,R7,T7,V7)</f>
        <v>0</v>
      </c>
      <c r="M7" s="185"/>
      <c r="N7" s="184"/>
      <c r="O7" s="185"/>
      <c r="P7" s="184"/>
      <c r="Q7" s="185"/>
      <c r="R7" s="184"/>
      <c r="S7" s="185"/>
      <c r="T7" s="184"/>
      <c r="U7" s="185"/>
      <c r="V7" s="182"/>
    </row>
    <row r="8" spans="1:23" ht="18" customHeight="1">
      <c r="A8" s="187" t="s">
        <v>58</v>
      </c>
      <c r="B8" s="188"/>
      <c r="C8" s="188"/>
      <c r="D8" s="188"/>
      <c r="E8" s="188"/>
      <c r="F8" s="188"/>
      <c r="G8" s="188"/>
      <c r="H8" s="188"/>
      <c r="I8" s="188"/>
      <c r="J8" s="188"/>
      <c r="K8" s="189"/>
      <c r="L8" s="184">
        <f>SUM(N8,P8,R8,T8,V8)</f>
        <v>0</v>
      </c>
      <c r="M8" s="185"/>
      <c r="N8" s="184">
        <f>SUM(N7:N7)</f>
        <v>0</v>
      </c>
      <c r="O8" s="185"/>
      <c r="P8" s="184">
        <f>SUM(P7:P7)</f>
        <v>0</v>
      </c>
      <c r="Q8" s="185"/>
      <c r="R8" s="184">
        <f>SUM(R7:R7)</f>
        <v>0</v>
      </c>
      <c r="S8" s="185"/>
      <c r="T8" s="184">
        <f>SUM(T7:T7)</f>
        <v>0</v>
      </c>
      <c r="U8" s="185"/>
      <c r="V8" s="182">
        <f>SUM(V7:V7)</f>
        <v>0</v>
      </c>
    </row>
    <row r="9" spans="1:23">
      <c r="A9" s="190"/>
      <c r="B9" s="190"/>
      <c r="C9" s="190"/>
      <c r="D9" s="190"/>
      <c r="E9" s="190"/>
      <c r="F9" s="190"/>
      <c r="G9" s="190"/>
      <c r="H9" s="190"/>
      <c r="I9" s="190"/>
      <c r="J9" s="190"/>
    </row>
    <row r="10" spans="1:23">
      <c r="A10" s="162" t="s">
        <v>248</v>
      </c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3"/>
    </row>
    <row r="11" spans="1:23" s="191" customFormat="1"/>
    <row r="12" spans="1:23" ht="18" customHeight="1">
      <c r="A12" s="165" t="s">
        <v>53</v>
      </c>
      <c r="B12" s="166" t="s">
        <v>198</v>
      </c>
      <c r="C12" s="167"/>
      <c r="D12" s="168"/>
      <c r="E12" s="169" t="s">
        <v>191</v>
      </c>
      <c r="F12" s="171"/>
      <c r="G12" s="170"/>
      <c r="H12" s="169" t="s">
        <v>334</v>
      </c>
      <c r="I12" s="171"/>
      <c r="J12" s="171"/>
      <c r="K12" s="171"/>
      <c r="L12" s="170"/>
      <c r="M12" s="192" t="s">
        <v>199</v>
      </c>
      <c r="N12" s="193" t="s">
        <v>200</v>
      </c>
      <c r="O12" s="193"/>
      <c r="P12" s="193"/>
      <c r="Q12" s="193"/>
      <c r="R12" s="193"/>
      <c r="S12" s="193"/>
      <c r="T12" s="193"/>
      <c r="U12" s="193"/>
      <c r="V12" s="193"/>
    </row>
    <row r="13" spans="1:23" ht="18" customHeight="1">
      <c r="A13" s="194"/>
      <c r="B13" s="176"/>
      <c r="C13" s="177"/>
      <c r="D13" s="178"/>
      <c r="E13" s="195"/>
      <c r="F13" s="196"/>
      <c r="G13" s="197"/>
      <c r="H13" s="195"/>
      <c r="I13" s="196"/>
      <c r="J13" s="196"/>
      <c r="K13" s="196"/>
      <c r="L13" s="197"/>
      <c r="M13" s="198"/>
      <c r="N13" s="195" t="s">
        <v>476</v>
      </c>
      <c r="O13" s="197"/>
      <c r="P13" s="172" t="s">
        <v>477</v>
      </c>
      <c r="Q13" s="173"/>
      <c r="R13" s="173"/>
      <c r="S13" s="173"/>
      <c r="T13" s="173"/>
      <c r="U13" s="173"/>
      <c r="V13" s="173"/>
    </row>
    <row r="14" spans="1:23" ht="18" customHeight="1">
      <c r="A14" s="175"/>
      <c r="B14" s="199"/>
      <c r="C14" s="200"/>
      <c r="D14" s="201"/>
      <c r="E14" s="179"/>
      <c r="F14" s="181"/>
      <c r="G14" s="180"/>
      <c r="H14" s="179"/>
      <c r="I14" s="181"/>
      <c r="J14" s="181"/>
      <c r="K14" s="181"/>
      <c r="L14" s="180"/>
      <c r="M14" s="202"/>
      <c r="N14" s="179"/>
      <c r="O14" s="180"/>
      <c r="P14" s="172" t="s">
        <v>478</v>
      </c>
      <c r="Q14" s="174"/>
      <c r="R14" s="148" t="s">
        <v>479</v>
      </c>
      <c r="S14" s="193" t="s">
        <v>480</v>
      </c>
      <c r="T14" s="193"/>
      <c r="U14" s="193" t="s">
        <v>481</v>
      </c>
      <c r="V14" s="193"/>
    </row>
    <row r="15" spans="1:23">
      <c r="A15" s="148">
        <v>1</v>
      </c>
      <c r="B15" s="172">
        <v>2</v>
      </c>
      <c r="C15" s="173"/>
      <c r="D15" s="174"/>
      <c r="E15" s="172">
        <v>3</v>
      </c>
      <c r="F15" s="173"/>
      <c r="G15" s="174"/>
      <c r="H15" s="172">
        <v>4</v>
      </c>
      <c r="I15" s="173"/>
      <c r="J15" s="173"/>
      <c r="K15" s="173"/>
      <c r="L15" s="174"/>
      <c r="M15" s="148">
        <v>5</v>
      </c>
      <c r="N15" s="172">
        <v>6</v>
      </c>
      <c r="O15" s="174"/>
      <c r="P15" s="172">
        <v>7</v>
      </c>
      <c r="Q15" s="174"/>
      <c r="R15" s="148">
        <v>8</v>
      </c>
      <c r="S15" s="193">
        <v>9</v>
      </c>
      <c r="T15" s="193"/>
      <c r="U15" s="179">
        <v>10</v>
      </c>
      <c r="V15" s="180"/>
    </row>
    <row r="16" spans="1:23" ht="25.5" customHeight="1">
      <c r="A16" s="148">
        <v>1</v>
      </c>
      <c r="B16" s="172" t="s">
        <v>553</v>
      </c>
      <c r="C16" s="173"/>
      <c r="D16" s="174"/>
      <c r="E16" s="172" t="s">
        <v>552</v>
      </c>
      <c r="F16" s="173"/>
      <c r="G16" s="174"/>
      <c r="H16" s="172" t="s">
        <v>556</v>
      </c>
      <c r="I16" s="173"/>
      <c r="J16" s="173"/>
      <c r="K16" s="173"/>
      <c r="L16" s="174"/>
      <c r="M16" s="148">
        <v>45112</v>
      </c>
      <c r="N16" s="172">
        <v>2</v>
      </c>
      <c r="O16" s="174">
        <v>3</v>
      </c>
      <c r="P16" s="172"/>
      <c r="Q16" s="174"/>
      <c r="R16" s="148"/>
      <c r="S16" s="193">
        <v>1</v>
      </c>
      <c r="T16" s="193"/>
      <c r="U16" s="179">
        <v>2</v>
      </c>
      <c r="V16" s="180"/>
    </row>
    <row r="17" spans="1:23" ht="18" customHeight="1">
      <c r="A17" s="203" t="s">
        <v>58</v>
      </c>
      <c r="B17" s="204"/>
      <c r="C17" s="204"/>
      <c r="D17" s="204"/>
      <c r="E17" s="204"/>
      <c r="F17" s="204"/>
      <c r="G17" s="204"/>
      <c r="H17" s="204"/>
      <c r="I17" s="204"/>
      <c r="J17" s="204"/>
      <c r="K17" s="204"/>
      <c r="L17" s="204"/>
      <c r="M17" s="205"/>
      <c r="N17" s="172">
        <v>2</v>
      </c>
      <c r="O17" s="174">
        <f>SUM(O16:O16)</f>
        <v>3</v>
      </c>
      <c r="P17" s="172"/>
      <c r="Q17" s="174">
        <f>SUM(Q16:Q16)</f>
        <v>0</v>
      </c>
      <c r="R17" s="148"/>
      <c r="S17" s="193">
        <f>SUM(S16:S16)</f>
        <v>1</v>
      </c>
      <c r="T17" s="193"/>
      <c r="U17" s="179">
        <f>SUM(U16:U16)</f>
        <v>2</v>
      </c>
      <c r="V17" s="180">
        <f>SUM(V16:V16)</f>
        <v>0</v>
      </c>
    </row>
    <row r="18" spans="1:23">
      <c r="A18" s="158"/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Q18" s="160"/>
      <c r="R18" s="160"/>
      <c r="S18" s="160"/>
      <c r="T18" s="160"/>
      <c r="U18" s="160"/>
      <c r="W18" s="160"/>
    </row>
    <row r="19" spans="1:23">
      <c r="A19" s="158"/>
      <c r="B19" s="206"/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Q19" s="160"/>
      <c r="R19" s="160"/>
      <c r="S19" s="160"/>
      <c r="T19" s="160"/>
      <c r="U19" s="160"/>
      <c r="W19" s="160"/>
    </row>
    <row r="20" spans="1:23" s="191" customFormat="1">
      <c r="A20" s="162" t="s">
        <v>212</v>
      </c>
      <c r="B20" s="162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</row>
    <row r="21" spans="1:23" ht="20.5">
      <c r="A21" s="207"/>
      <c r="B21" s="207"/>
      <c r="C21" s="207"/>
      <c r="D21" s="207"/>
      <c r="E21" s="207"/>
      <c r="F21" s="207"/>
      <c r="G21" s="207"/>
      <c r="H21" s="208"/>
      <c r="I21" s="208"/>
      <c r="J21" s="208"/>
      <c r="K21" s="208"/>
      <c r="L21" s="208"/>
      <c r="M21" s="208"/>
      <c r="N21" s="208"/>
      <c r="O21" s="208"/>
      <c r="P21" s="208"/>
      <c r="Q21" s="208"/>
      <c r="R21" s="208"/>
      <c r="S21" s="208"/>
      <c r="U21" s="209"/>
      <c r="V21" s="210" t="s">
        <v>232</v>
      </c>
    </row>
    <row r="22" spans="1:23">
      <c r="A22" s="192" t="s">
        <v>53</v>
      </c>
      <c r="B22" s="192" t="s">
        <v>249</v>
      </c>
      <c r="C22" s="172" t="s">
        <v>57</v>
      </c>
      <c r="D22" s="173"/>
      <c r="E22" s="173"/>
      <c r="F22" s="174"/>
      <c r="G22" s="172" t="s">
        <v>87</v>
      </c>
      <c r="H22" s="173"/>
      <c r="I22" s="173"/>
      <c r="J22" s="174"/>
      <c r="K22" s="172" t="s">
        <v>306</v>
      </c>
      <c r="L22" s="173"/>
      <c r="M22" s="173"/>
      <c r="N22" s="174"/>
      <c r="O22" s="172" t="s">
        <v>126</v>
      </c>
      <c r="P22" s="173"/>
      <c r="Q22" s="173"/>
      <c r="R22" s="174"/>
      <c r="S22" s="172" t="s">
        <v>58</v>
      </c>
      <c r="T22" s="173"/>
      <c r="U22" s="173"/>
      <c r="V22" s="174"/>
    </row>
    <row r="23" spans="1:23">
      <c r="A23" s="198"/>
      <c r="B23" s="198"/>
      <c r="C23" s="172" t="s">
        <v>477</v>
      </c>
      <c r="D23" s="173"/>
      <c r="E23" s="173"/>
      <c r="F23" s="174"/>
      <c r="G23" s="172" t="s">
        <v>477</v>
      </c>
      <c r="H23" s="173"/>
      <c r="I23" s="173"/>
      <c r="J23" s="174"/>
      <c r="K23" s="172" t="s">
        <v>477</v>
      </c>
      <c r="L23" s="173"/>
      <c r="M23" s="173"/>
      <c r="N23" s="174"/>
      <c r="O23" s="172" t="s">
        <v>477</v>
      </c>
      <c r="P23" s="173"/>
      <c r="Q23" s="173"/>
      <c r="R23" s="174"/>
      <c r="S23" s="172" t="s">
        <v>477</v>
      </c>
      <c r="T23" s="173"/>
      <c r="U23" s="173"/>
      <c r="V23" s="174"/>
    </row>
    <row r="24" spans="1:23" ht="36">
      <c r="A24" s="202"/>
      <c r="B24" s="202"/>
      <c r="C24" s="211" t="s">
        <v>242</v>
      </c>
      <c r="D24" s="211" t="s">
        <v>243</v>
      </c>
      <c r="E24" s="211" t="s">
        <v>504</v>
      </c>
      <c r="F24" s="211" t="s">
        <v>505</v>
      </c>
      <c r="G24" s="211" t="s">
        <v>242</v>
      </c>
      <c r="H24" s="211" t="s">
        <v>243</v>
      </c>
      <c r="I24" s="211" t="s">
        <v>504</v>
      </c>
      <c r="J24" s="211" t="s">
        <v>505</v>
      </c>
      <c r="K24" s="211" t="s">
        <v>242</v>
      </c>
      <c r="L24" s="211" t="s">
        <v>243</v>
      </c>
      <c r="M24" s="211" t="s">
        <v>504</v>
      </c>
      <c r="N24" s="211" t="s">
        <v>505</v>
      </c>
      <c r="O24" s="211" t="s">
        <v>242</v>
      </c>
      <c r="P24" s="211" t="s">
        <v>243</v>
      </c>
      <c r="Q24" s="211" t="s">
        <v>504</v>
      </c>
      <c r="R24" s="211" t="s">
        <v>505</v>
      </c>
      <c r="S24" s="211" t="s">
        <v>242</v>
      </c>
      <c r="T24" s="211" t="s">
        <v>243</v>
      </c>
      <c r="U24" s="211" t="s">
        <v>504</v>
      </c>
      <c r="V24" s="211" t="s">
        <v>505</v>
      </c>
    </row>
    <row r="25" spans="1:23">
      <c r="A25" s="211">
        <v>1</v>
      </c>
      <c r="B25" s="148">
        <v>2</v>
      </c>
      <c r="C25" s="211">
        <v>3</v>
      </c>
      <c r="D25" s="211">
        <v>4</v>
      </c>
      <c r="E25" s="211">
        <v>5</v>
      </c>
      <c r="F25" s="211">
        <v>6</v>
      </c>
      <c r="G25" s="211">
        <v>7</v>
      </c>
      <c r="H25" s="211">
        <v>8</v>
      </c>
      <c r="I25" s="211">
        <v>9</v>
      </c>
      <c r="J25" s="211">
        <v>10</v>
      </c>
      <c r="K25" s="211">
        <v>11</v>
      </c>
      <c r="L25" s="211">
        <v>12</v>
      </c>
      <c r="M25" s="211">
        <v>13</v>
      </c>
      <c r="N25" s="211">
        <v>14</v>
      </c>
      <c r="O25" s="211">
        <v>15</v>
      </c>
      <c r="P25" s="211">
        <v>16</v>
      </c>
      <c r="Q25" s="211">
        <v>17</v>
      </c>
      <c r="R25" s="211">
        <v>18</v>
      </c>
      <c r="S25" s="211">
        <v>19</v>
      </c>
      <c r="T25" s="211">
        <v>20</v>
      </c>
      <c r="U25" s="211">
        <v>21</v>
      </c>
      <c r="V25" s="211">
        <v>22</v>
      </c>
    </row>
    <row r="26" spans="1:23">
      <c r="A26" s="146">
        <v>1</v>
      </c>
      <c r="B26" s="148" t="s">
        <v>549</v>
      </c>
      <c r="C26" s="147"/>
      <c r="D26" s="148"/>
      <c r="E26" s="148">
        <f>D26-C26</f>
        <v>0</v>
      </c>
      <c r="F26" s="148">
        <v>0</v>
      </c>
      <c r="G26" s="148"/>
      <c r="H26" s="148"/>
      <c r="I26" s="148">
        <f>H26-G26</f>
        <v>0</v>
      </c>
      <c r="J26" s="148">
        <v>0</v>
      </c>
      <c r="K26" s="148">
        <v>75</v>
      </c>
      <c r="L26" s="148"/>
      <c r="M26" s="148">
        <f>L26-K26</f>
        <v>-75</v>
      </c>
      <c r="N26" s="148">
        <f>L26/K26</f>
        <v>0</v>
      </c>
      <c r="O26" s="148"/>
      <c r="P26" s="148"/>
      <c r="Q26" s="148">
        <f>P26-O26</f>
        <v>0</v>
      </c>
      <c r="R26" s="148">
        <v>0</v>
      </c>
      <c r="S26" s="148">
        <f>C26+G26+K26+O26</f>
        <v>75</v>
      </c>
      <c r="T26" s="148">
        <f>D26+H26+L26+P26</f>
        <v>0</v>
      </c>
      <c r="U26" s="148">
        <f>T26-S26</f>
        <v>-75</v>
      </c>
      <c r="V26" s="149">
        <f>T26/S26</f>
        <v>0</v>
      </c>
    </row>
    <row r="27" spans="1:23">
      <c r="A27" s="146">
        <v>2</v>
      </c>
      <c r="B27" s="148" t="s">
        <v>498</v>
      </c>
      <c r="C27" s="147"/>
      <c r="D27" s="148"/>
      <c r="E27" s="148">
        <f t="shared" ref="E27:E37" si="0">D27-C27</f>
        <v>0</v>
      </c>
      <c r="F27" s="148">
        <v>0</v>
      </c>
      <c r="G27" s="148"/>
      <c r="H27" s="148"/>
      <c r="I27" s="148">
        <f t="shared" ref="I27:I42" si="1">H27-G27</f>
        <v>0</v>
      </c>
      <c r="J27" s="148">
        <v>0</v>
      </c>
      <c r="K27" s="148">
        <v>30</v>
      </c>
      <c r="L27" s="148">
        <v>21</v>
      </c>
      <c r="M27" s="148">
        <f t="shared" ref="M27:M42" si="2">L27-K27</f>
        <v>-9</v>
      </c>
      <c r="N27" s="148">
        <f t="shared" ref="N27:N37" si="3">L27/K27</f>
        <v>0.7</v>
      </c>
      <c r="O27" s="148"/>
      <c r="P27" s="148"/>
      <c r="Q27" s="148">
        <f t="shared" ref="Q27:Q37" si="4">P27-O27</f>
        <v>0</v>
      </c>
      <c r="R27" s="148">
        <v>0</v>
      </c>
      <c r="S27" s="148">
        <f t="shared" ref="S27:S37" si="5">C27+G27+K27+O27</f>
        <v>30</v>
      </c>
      <c r="T27" s="148">
        <f t="shared" ref="T27:T37" si="6">D27+H27+L27+P27</f>
        <v>21</v>
      </c>
      <c r="U27" s="148">
        <f t="shared" ref="U27:U37" si="7">T27-S27</f>
        <v>-9</v>
      </c>
      <c r="V27" s="149">
        <f t="shared" ref="V27:V37" si="8">T27/S27</f>
        <v>0.7</v>
      </c>
    </row>
    <row r="28" spans="1:23">
      <c r="A28" s="146">
        <v>3</v>
      </c>
      <c r="B28" s="148" t="s">
        <v>548</v>
      </c>
      <c r="C28" s="147"/>
      <c r="D28" s="148"/>
      <c r="E28" s="148">
        <f t="shared" si="0"/>
        <v>0</v>
      </c>
      <c r="F28" s="148">
        <v>0</v>
      </c>
      <c r="G28" s="148"/>
      <c r="H28" s="148"/>
      <c r="I28" s="148">
        <f t="shared" si="1"/>
        <v>0</v>
      </c>
      <c r="J28" s="148">
        <v>0</v>
      </c>
      <c r="K28" s="148">
        <v>9</v>
      </c>
      <c r="L28" s="148"/>
      <c r="M28" s="148">
        <f t="shared" si="2"/>
        <v>-9</v>
      </c>
      <c r="N28" s="148">
        <f t="shared" si="3"/>
        <v>0</v>
      </c>
      <c r="O28" s="148"/>
      <c r="P28" s="148"/>
      <c r="Q28" s="148">
        <f t="shared" si="4"/>
        <v>0</v>
      </c>
      <c r="R28" s="148">
        <v>0</v>
      </c>
      <c r="S28" s="148">
        <f t="shared" si="5"/>
        <v>9</v>
      </c>
      <c r="T28" s="148">
        <f t="shared" si="6"/>
        <v>0</v>
      </c>
      <c r="U28" s="148">
        <f t="shared" si="7"/>
        <v>-9</v>
      </c>
      <c r="V28" s="149">
        <f t="shared" si="8"/>
        <v>0</v>
      </c>
    </row>
    <row r="29" spans="1:23" s="209" customFormat="1" ht="20.5">
      <c r="A29" s="146">
        <v>4</v>
      </c>
      <c r="B29" s="148" t="s">
        <v>515</v>
      </c>
      <c r="C29" s="147"/>
      <c r="D29" s="148"/>
      <c r="E29" s="148">
        <f>D29-C29</f>
        <v>0</v>
      </c>
      <c r="F29" s="148">
        <v>0</v>
      </c>
      <c r="G29" s="148"/>
      <c r="H29" s="148"/>
      <c r="I29" s="148">
        <f>H29-G29</f>
        <v>0</v>
      </c>
      <c r="J29" s="148">
        <v>0</v>
      </c>
      <c r="K29" s="148">
        <v>57</v>
      </c>
      <c r="L29" s="148">
        <f>70+7+15</f>
        <v>92</v>
      </c>
      <c r="M29" s="148">
        <f>L29-K29</f>
        <v>35</v>
      </c>
      <c r="N29" s="148">
        <f>L29/K29</f>
        <v>1.6140350877192982</v>
      </c>
      <c r="O29" s="148"/>
      <c r="P29" s="148"/>
      <c r="Q29" s="148">
        <f>P29-O29</f>
        <v>0</v>
      </c>
      <c r="R29" s="148">
        <v>0</v>
      </c>
      <c r="S29" s="148">
        <f>C29+G29+K29+O29</f>
        <v>57</v>
      </c>
      <c r="T29" s="148">
        <f>D29+H29+L29+P29</f>
        <v>92</v>
      </c>
      <c r="U29" s="148">
        <f>T29-S29</f>
        <v>35</v>
      </c>
      <c r="V29" s="149">
        <f>T29/S29</f>
        <v>1.6140350877192982</v>
      </c>
    </row>
    <row r="30" spans="1:23" s="209" customFormat="1" ht="20.5">
      <c r="A30" s="146">
        <v>5</v>
      </c>
      <c r="B30" s="148" t="s">
        <v>499</v>
      </c>
      <c r="C30" s="147"/>
      <c r="D30" s="148"/>
      <c r="E30" s="148">
        <f t="shared" si="0"/>
        <v>0</v>
      </c>
      <c r="F30" s="148">
        <v>0</v>
      </c>
      <c r="G30" s="148"/>
      <c r="H30" s="148"/>
      <c r="I30" s="148">
        <f t="shared" si="1"/>
        <v>0</v>
      </c>
      <c r="J30" s="148">
        <v>0</v>
      </c>
      <c r="K30" s="148">
        <v>18</v>
      </c>
      <c r="L30" s="148"/>
      <c r="M30" s="148">
        <f t="shared" si="2"/>
        <v>-18</v>
      </c>
      <c r="N30" s="148">
        <f t="shared" si="3"/>
        <v>0</v>
      </c>
      <c r="O30" s="148"/>
      <c r="P30" s="148"/>
      <c r="Q30" s="148">
        <f t="shared" si="4"/>
        <v>0</v>
      </c>
      <c r="R30" s="148">
        <v>0</v>
      </c>
      <c r="S30" s="148">
        <f t="shared" si="5"/>
        <v>18</v>
      </c>
      <c r="T30" s="148">
        <f t="shared" si="6"/>
        <v>0</v>
      </c>
      <c r="U30" s="148">
        <f t="shared" si="7"/>
        <v>-18</v>
      </c>
      <c r="V30" s="149">
        <f t="shared" si="8"/>
        <v>0</v>
      </c>
    </row>
    <row r="31" spans="1:23" s="209" customFormat="1" ht="20.5">
      <c r="A31" s="146">
        <v>6</v>
      </c>
      <c r="B31" s="148" t="s">
        <v>500</v>
      </c>
      <c r="C31" s="147"/>
      <c r="D31" s="148"/>
      <c r="E31" s="148">
        <f t="shared" si="0"/>
        <v>0</v>
      </c>
      <c r="F31" s="148">
        <v>0</v>
      </c>
      <c r="G31" s="148"/>
      <c r="H31" s="148"/>
      <c r="I31" s="148">
        <f t="shared" si="1"/>
        <v>0</v>
      </c>
      <c r="J31" s="148">
        <v>0</v>
      </c>
      <c r="K31" s="148">
        <v>33</v>
      </c>
      <c r="L31" s="148"/>
      <c r="M31" s="148">
        <f t="shared" si="2"/>
        <v>-33</v>
      </c>
      <c r="N31" s="148">
        <f t="shared" si="3"/>
        <v>0</v>
      </c>
      <c r="O31" s="148"/>
      <c r="P31" s="148"/>
      <c r="Q31" s="148">
        <f t="shared" si="4"/>
        <v>0</v>
      </c>
      <c r="R31" s="148">
        <v>0</v>
      </c>
      <c r="S31" s="148">
        <f t="shared" si="5"/>
        <v>33</v>
      </c>
      <c r="T31" s="148">
        <f t="shared" si="6"/>
        <v>0</v>
      </c>
      <c r="U31" s="148">
        <f t="shared" si="7"/>
        <v>-33</v>
      </c>
      <c r="V31" s="149">
        <f t="shared" si="8"/>
        <v>0</v>
      </c>
    </row>
    <row r="32" spans="1:23" s="209" customFormat="1" ht="20.5">
      <c r="A32" s="146">
        <v>7</v>
      </c>
      <c r="B32" s="148" t="s">
        <v>501</v>
      </c>
      <c r="C32" s="147"/>
      <c r="D32" s="148"/>
      <c r="E32" s="148">
        <f t="shared" si="0"/>
        <v>0</v>
      </c>
      <c r="F32" s="148">
        <v>0</v>
      </c>
      <c r="G32" s="148"/>
      <c r="H32" s="148"/>
      <c r="I32" s="148">
        <f t="shared" si="1"/>
        <v>0</v>
      </c>
      <c r="J32" s="148">
        <v>0</v>
      </c>
      <c r="K32" s="148">
        <v>50</v>
      </c>
      <c r="L32" s="148"/>
      <c r="M32" s="148">
        <f t="shared" si="2"/>
        <v>-50</v>
      </c>
      <c r="N32" s="148">
        <f t="shared" si="3"/>
        <v>0</v>
      </c>
      <c r="O32" s="148"/>
      <c r="P32" s="148"/>
      <c r="Q32" s="148">
        <f t="shared" si="4"/>
        <v>0</v>
      </c>
      <c r="R32" s="148">
        <v>0</v>
      </c>
      <c r="S32" s="148">
        <f t="shared" si="5"/>
        <v>50</v>
      </c>
      <c r="T32" s="148">
        <f t="shared" si="6"/>
        <v>0</v>
      </c>
      <c r="U32" s="148">
        <f t="shared" si="7"/>
        <v>-50</v>
      </c>
      <c r="V32" s="149">
        <f t="shared" si="8"/>
        <v>0</v>
      </c>
    </row>
    <row r="33" spans="1:22" s="209" customFormat="1" ht="20.5">
      <c r="A33" s="146">
        <v>8</v>
      </c>
      <c r="B33" s="148" t="s">
        <v>502</v>
      </c>
      <c r="C33" s="147"/>
      <c r="D33" s="148"/>
      <c r="E33" s="148">
        <f t="shared" si="0"/>
        <v>0</v>
      </c>
      <c r="F33" s="148">
        <v>0</v>
      </c>
      <c r="G33" s="148"/>
      <c r="H33" s="148"/>
      <c r="I33" s="148">
        <f t="shared" si="1"/>
        <v>0</v>
      </c>
      <c r="J33" s="148">
        <v>0</v>
      </c>
      <c r="K33" s="148">
        <v>20</v>
      </c>
      <c r="L33" s="148"/>
      <c r="M33" s="148">
        <f t="shared" si="2"/>
        <v>-20</v>
      </c>
      <c r="N33" s="148">
        <f t="shared" si="3"/>
        <v>0</v>
      </c>
      <c r="O33" s="148"/>
      <c r="P33" s="148"/>
      <c r="Q33" s="148">
        <f t="shared" si="4"/>
        <v>0</v>
      </c>
      <c r="R33" s="148">
        <v>0</v>
      </c>
      <c r="S33" s="148">
        <f t="shared" si="5"/>
        <v>20</v>
      </c>
      <c r="T33" s="148">
        <f t="shared" si="6"/>
        <v>0</v>
      </c>
      <c r="U33" s="148">
        <f t="shared" si="7"/>
        <v>-20</v>
      </c>
      <c r="V33" s="149">
        <f t="shared" si="8"/>
        <v>0</v>
      </c>
    </row>
    <row r="34" spans="1:22" s="209" customFormat="1" ht="20.5">
      <c r="A34" s="146">
        <v>9</v>
      </c>
      <c r="B34" s="148" t="s">
        <v>503</v>
      </c>
      <c r="C34" s="147"/>
      <c r="D34" s="148"/>
      <c r="E34" s="148">
        <f t="shared" si="0"/>
        <v>0</v>
      </c>
      <c r="F34" s="148">
        <v>0</v>
      </c>
      <c r="G34" s="148"/>
      <c r="H34" s="148"/>
      <c r="I34" s="148">
        <f t="shared" si="1"/>
        <v>0</v>
      </c>
      <c r="J34" s="148">
        <v>0</v>
      </c>
      <c r="K34" s="148">
        <v>20</v>
      </c>
      <c r="L34" s="148"/>
      <c r="M34" s="148">
        <f t="shared" si="2"/>
        <v>-20</v>
      </c>
      <c r="N34" s="148">
        <f t="shared" si="3"/>
        <v>0</v>
      </c>
      <c r="O34" s="148"/>
      <c r="P34" s="148"/>
      <c r="Q34" s="148">
        <f t="shared" si="4"/>
        <v>0</v>
      </c>
      <c r="R34" s="148">
        <v>0</v>
      </c>
      <c r="S34" s="148">
        <f t="shared" si="5"/>
        <v>20</v>
      </c>
      <c r="T34" s="148">
        <f t="shared" si="6"/>
        <v>0</v>
      </c>
      <c r="U34" s="148">
        <f t="shared" si="7"/>
        <v>-20</v>
      </c>
      <c r="V34" s="149">
        <f t="shared" si="8"/>
        <v>0</v>
      </c>
    </row>
    <row r="35" spans="1:22" s="209" customFormat="1" ht="20.5">
      <c r="A35" s="146">
        <v>10</v>
      </c>
      <c r="B35" s="148" t="s">
        <v>514</v>
      </c>
      <c r="C35" s="147"/>
      <c r="D35" s="148"/>
      <c r="E35" s="148">
        <f t="shared" si="0"/>
        <v>0</v>
      </c>
      <c r="F35" s="148">
        <v>0</v>
      </c>
      <c r="G35" s="148"/>
      <c r="H35" s="148"/>
      <c r="I35" s="148">
        <f t="shared" si="1"/>
        <v>0</v>
      </c>
      <c r="J35" s="148">
        <v>0</v>
      </c>
      <c r="K35" s="148"/>
      <c r="L35" s="148">
        <v>646.4</v>
      </c>
      <c r="M35" s="148">
        <f t="shared" si="2"/>
        <v>646.4</v>
      </c>
      <c r="N35" s="148">
        <v>0</v>
      </c>
      <c r="O35" s="148"/>
      <c r="P35" s="148"/>
      <c r="Q35" s="148">
        <f t="shared" si="4"/>
        <v>0</v>
      </c>
      <c r="R35" s="148">
        <v>0</v>
      </c>
      <c r="S35" s="148">
        <f t="shared" si="5"/>
        <v>0</v>
      </c>
      <c r="T35" s="148">
        <f t="shared" si="6"/>
        <v>646.4</v>
      </c>
      <c r="U35" s="148">
        <f t="shared" si="7"/>
        <v>646.4</v>
      </c>
      <c r="V35" s="149">
        <v>0</v>
      </c>
    </row>
    <row r="36" spans="1:22" s="209" customFormat="1" ht="20.5">
      <c r="A36" s="146">
        <v>11</v>
      </c>
      <c r="B36" s="148" t="s">
        <v>516</v>
      </c>
      <c r="C36" s="147"/>
      <c r="D36" s="148"/>
      <c r="E36" s="148">
        <f t="shared" si="0"/>
        <v>0</v>
      </c>
      <c r="F36" s="148">
        <v>0</v>
      </c>
      <c r="G36" s="148"/>
      <c r="H36" s="148"/>
      <c r="I36" s="148">
        <f t="shared" si="1"/>
        <v>0</v>
      </c>
      <c r="J36" s="148">
        <v>0</v>
      </c>
      <c r="K36" s="148"/>
      <c r="L36" s="148">
        <f>3.2+1</f>
        <v>4.2</v>
      </c>
      <c r="M36" s="148">
        <f t="shared" si="2"/>
        <v>4.2</v>
      </c>
      <c r="N36" s="148">
        <v>0</v>
      </c>
      <c r="O36" s="148"/>
      <c r="P36" s="148"/>
      <c r="Q36" s="148">
        <f t="shared" si="4"/>
        <v>0</v>
      </c>
      <c r="R36" s="148">
        <v>0</v>
      </c>
      <c r="S36" s="148">
        <f t="shared" si="5"/>
        <v>0</v>
      </c>
      <c r="T36" s="148">
        <f t="shared" si="6"/>
        <v>4.2</v>
      </c>
      <c r="U36" s="148">
        <f t="shared" si="7"/>
        <v>4.2</v>
      </c>
      <c r="V36" s="149">
        <v>0</v>
      </c>
    </row>
    <row r="37" spans="1:22" s="209" customFormat="1" ht="20.5">
      <c r="A37" s="146">
        <v>12</v>
      </c>
      <c r="B37" s="148" t="s">
        <v>532</v>
      </c>
      <c r="C37" s="147"/>
      <c r="D37" s="148"/>
      <c r="E37" s="148">
        <f t="shared" si="0"/>
        <v>0</v>
      </c>
      <c r="F37" s="148">
        <v>0</v>
      </c>
      <c r="G37" s="148"/>
      <c r="H37" s="148"/>
      <c r="I37" s="148">
        <f t="shared" si="1"/>
        <v>0</v>
      </c>
      <c r="J37" s="148">
        <v>0</v>
      </c>
      <c r="K37" s="148"/>
      <c r="L37" s="148">
        <v>9</v>
      </c>
      <c r="M37" s="148">
        <f t="shared" si="2"/>
        <v>9</v>
      </c>
      <c r="N37" s="148">
        <v>0</v>
      </c>
      <c r="O37" s="148"/>
      <c r="P37" s="148"/>
      <c r="Q37" s="148">
        <f t="shared" si="4"/>
        <v>0</v>
      </c>
      <c r="R37" s="148">
        <v>0</v>
      </c>
      <c r="S37" s="148">
        <f t="shared" si="5"/>
        <v>0</v>
      </c>
      <c r="T37" s="148">
        <f t="shared" si="6"/>
        <v>9</v>
      </c>
      <c r="U37" s="148">
        <f t="shared" si="7"/>
        <v>9</v>
      </c>
      <c r="V37" s="149">
        <v>0</v>
      </c>
    </row>
    <row r="38" spans="1:22" s="209" customFormat="1" ht="20.5">
      <c r="A38" s="146">
        <v>13</v>
      </c>
      <c r="B38" s="212" t="s">
        <v>547</v>
      </c>
      <c r="C38" s="147"/>
      <c r="D38" s="148"/>
      <c r="E38" s="148"/>
      <c r="F38" s="148"/>
      <c r="G38" s="148"/>
      <c r="H38" s="148"/>
      <c r="I38" s="148">
        <f t="shared" si="1"/>
        <v>0</v>
      </c>
      <c r="J38" s="148"/>
      <c r="K38" s="148"/>
      <c r="L38" s="148">
        <v>4</v>
      </c>
      <c r="M38" s="148">
        <f t="shared" si="2"/>
        <v>4</v>
      </c>
      <c r="N38" s="148"/>
      <c r="O38" s="148"/>
      <c r="P38" s="148"/>
      <c r="Q38" s="148"/>
      <c r="R38" s="148"/>
      <c r="S38" s="148">
        <f t="shared" ref="S38:T42" si="9">C38+G38+K38+O38</f>
        <v>0</v>
      </c>
      <c r="T38" s="148">
        <f t="shared" si="9"/>
        <v>4</v>
      </c>
      <c r="U38" s="148">
        <f>T38-S38</f>
        <v>4</v>
      </c>
      <c r="V38" s="149">
        <v>0</v>
      </c>
    </row>
    <row r="39" spans="1:22" s="209" customFormat="1" ht="20.5">
      <c r="A39" s="146">
        <v>14</v>
      </c>
      <c r="B39" s="212" t="s">
        <v>546</v>
      </c>
      <c r="C39" s="147"/>
      <c r="D39" s="148"/>
      <c r="E39" s="148"/>
      <c r="F39" s="148"/>
      <c r="G39" s="148"/>
      <c r="H39" s="148"/>
      <c r="I39" s="148">
        <f t="shared" si="1"/>
        <v>0</v>
      </c>
      <c r="J39" s="148"/>
      <c r="K39" s="148"/>
      <c r="L39" s="148">
        <v>10</v>
      </c>
      <c r="M39" s="148">
        <f>L39-K39</f>
        <v>10</v>
      </c>
      <c r="N39" s="148"/>
      <c r="O39" s="148"/>
      <c r="P39" s="148"/>
      <c r="Q39" s="148"/>
      <c r="R39" s="148"/>
      <c r="S39" s="148">
        <f t="shared" si="9"/>
        <v>0</v>
      </c>
      <c r="T39" s="148">
        <f t="shared" si="9"/>
        <v>10</v>
      </c>
      <c r="U39" s="148">
        <f>T39-S39</f>
        <v>10</v>
      </c>
      <c r="V39" s="149">
        <v>0</v>
      </c>
    </row>
    <row r="40" spans="1:22" s="209" customFormat="1" ht="20.5">
      <c r="A40" s="146">
        <v>15</v>
      </c>
      <c r="B40" s="213" t="s">
        <v>550</v>
      </c>
      <c r="C40" s="147"/>
      <c r="D40" s="148"/>
      <c r="E40" s="148"/>
      <c r="F40" s="148"/>
      <c r="G40" s="148">
        <v>7500</v>
      </c>
      <c r="H40" s="148">
        <v>7485</v>
      </c>
      <c r="I40" s="148">
        <f t="shared" ref="I40:I41" si="10">H40-G40</f>
        <v>-15</v>
      </c>
      <c r="J40" s="148"/>
      <c r="K40" s="148">
        <v>0</v>
      </c>
      <c r="L40" s="148">
        <v>0</v>
      </c>
      <c r="M40" s="148">
        <f t="shared" ref="M40:M41" si="11">L40-K40</f>
        <v>0</v>
      </c>
      <c r="N40" s="148"/>
      <c r="O40" s="148"/>
      <c r="P40" s="148"/>
      <c r="Q40" s="148"/>
      <c r="R40" s="148"/>
      <c r="S40" s="148">
        <f t="shared" ref="S40:S41" si="12">C40+G40+K40+O40</f>
        <v>7500</v>
      </c>
      <c r="T40" s="148">
        <f t="shared" ref="T40:T41" si="13">D40+H40+L40+P40</f>
        <v>7485</v>
      </c>
      <c r="U40" s="148">
        <f>T40-S40</f>
        <v>-15</v>
      </c>
      <c r="V40" s="149">
        <f>T40/S40</f>
        <v>0.998</v>
      </c>
    </row>
    <row r="41" spans="1:22" s="209" customFormat="1" ht="20.5">
      <c r="A41" s="146">
        <v>15</v>
      </c>
      <c r="B41" s="213" t="s">
        <v>567</v>
      </c>
      <c r="C41" s="147"/>
      <c r="D41" s="148"/>
      <c r="E41" s="148"/>
      <c r="F41" s="148"/>
      <c r="G41" s="148"/>
      <c r="H41" s="148"/>
      <c r="I41" s="148">
        <f t="shared" si="10"/>
        <v>0</v>
      </c>
      <c r="J41" s="148"/>
      <c r="K41" s="148">
        <v>0</v>
      </c>
      <c r="L41" s="148">
        <v>125</v>
      </c>
      <c r="M41" s="148">
        <f t="shared" si="11"/>
        <v>125</v>
      </c>
      <c r="N41" s="148"/>
      <c r="O41" s="148"/>
      <c r="P41" s="148"/>
      <c r="Q41" s="148"/>
      <c r="R41" s="148"/>
      <c r="S41" s="148">
        <f t="shared" si="12"/>
        <v>0</v>
      </c>
      <c r="T41" s="148">
        <f t="shared" si="13"/>
        <v>125</v>
      </c>
      <c r="U41" s="148">
        <f>T41-S41</f>
        <v>125</v>
      </c>
      <c r="V41" s="149">
        <v>0</v>
      </c>
    </row>
    <row r="42" spans="1:22" s="209" customFormat="1" ht="20.5">
      <c r="A42" s="146">
        <v>15</v>
      </c>
      <c r="B42" s="213" t="s">
        <v>566</v>
      </c>
      <c r="C42" s="147"/>
      <c r="D42" s="148"/>
      <c r="E42" s="148"/>
      <c r="F42" s="148"/>
      <c r="G42" s="148"/>
      <c r="H42" s="148"/>
      <c r="I42" s="148">
        <f t="shared" si="1"/>
        <v>0</v>
      </c>
      <c r="J42" s="148"/>
      <c r="K42" s="148">
        <v>0</v>
      </c>
      <c r="L42" s="148">
        <v>8</v>
      </c>
      <c r="M42" s="148">
        <f t="shared" si="2"/>
        <v>8</v>
      </c>
      <c r="N42" s="148"/>
      <c r="O42" s="148"/>
      <c r="P42" s="148"/>
      <c r="Q42" s="148"/>
      <c r="R42" s="148"/>
      <c r="S42" s="148">
        <f t="shared" si="9"/>
        <v>0</v>
      </c>
      <c r="T42" s="148">
        <f t="shared" si="9"/>
        <v>8</v>
      </c>
      <c r="U42" s="148">
        <f>T42-S42</f>
        <v>8</v>
      </c>
      <c r="V42" s="149">
        <v>0</v>
      </c>
    </row>
    <row r="43" spans="1:22" ht="20.5">
      <c r="A43" s="172" t="s">
        <v>58</v>
      </c>
      <c r="B43" s="174"/>
      <c r="C43" s="214">
        <f>SUM(C26:C37)</f>
        <v>0</v>
      </c>
      <c r="D43" s="214">
        <f>SUM(D26:D37)</f>
        <v>0</v>
      </c>
      <c r="E43" s="148">
        <f>SUM(E26:E37)</f>
        <v>0</v>
      </c>
      <c r="F43" s="148"/>
      <c r="G43" s="148">
        <f>SUM(G26:G42)</f>
        <v>7500</v>
      </c>
      <c r="H43" s="148">
        <f>SUM(H26:H42)</f>
        <v>7485</v>
      </c>
      <c r="I43" s="148">
        <f>SUM(I26:I42)</f>
        <v>-15</v>
      </c>
      <c r="J43" s="148"/>
      <c r="K43" s="148">
        <f>SUM(K26:K42)</f>
        <v>312</v>
      </c>
      <c r="L43" s="148">
        <f>SUM(L26:L42)</f>
        <v>919.6</v>
      </c>
      <c r="M43" s="148">
        <f>SUM(M26:M42)</f>
        <v>607.59999999999991</v>
      </c>
      <c r="N43" s="148"/>
      <c r="O43" s="148">
        <f>SUM(O26:O42)</f>
        <v>0</v>
      </c>
      <c r="P43" s="148">
        <f>SUM(P26:P42)</f>
        <v>0</v>
      </c>
      <c r="Q43" s="148">
        <f>SUM(Q26:Q42)</f>
        <v>0</v>
      </c>
      <c r="R43" s="148"/>
      <c r="S43" s="148">
        <f>SUM(S26:S42)</f>
        <v>7812</v>
      </c>
      <c r="T43" s="148">
        <f>SUM(T26:T42)</f>
        <v>8404.6</v>
      </c>
      <c r="U43" s="148">
        <f>SUM(U26:U42)</f>
        <v>592.59999999999991</v>
      </c>
      <c r="V43" s="214"/>
    </row>
    <row r="44" spans="1:22" ht="20.5">
      <c r="A44" s="172" t="s">
        <v>59</v>
      </c>
      <c r="B44" s="174"/>
      <c r="C44" s="211"/>
      <c r="D44" s="211"/>
      <c r="E44" s="211"/>
      <c r="F44" s="149"/>
      <c r="G44" s="211"/>
      <c r="H44" s="211"/>
      <c r="I44" s="211"/>
      <c r="J44" s="149">
        <f>H43/G43</f>
        <v>0.998</v>
      </c>
      <c r="K44" s="211"/>
      <c r="L44" s="211"/>
      <c r="M44" s="211"/>
      <c r="N44" s="149"/>
      <c r="O44" s="211"/>
      <c r="P44" s="211"/>
      <c r="Q44" s="211"/>
      <c r="R44" s="149"/>
      <c r="S44" s="215"/>
      <c r="T44" s="215"/>
      <c r="U44" s="215"/>
      <c r="V44" s="149">
        <f>T43/S43</f>
        <v>1.075857654889913</v>
      </c>
    </row>
    <row r="45" spans="1:22">
      <c r="A45" s="160"/>
      <c r="B45" s="160"/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  <c r="O45" s="216"/>
      <c r="P45" s="216"/>
      <c r="Q45" s="216"/>
      <c r="R45" s="216"/>
    </row>
    <row r="46" spans="1:22" s="191" customFormat="1">
      <c r="A46" s="162" t="s">
        <v>250</v>
      </c>
      <c r="B46" s="162"/>
      <c r="C46" s="162"/>
      <c r="D46" s="162"/>
      <c r="E46" s="162"/>
      <c r="F46" s="162"/>
      <c r="G46" s="162"/>
      <c r="H46" s="162"/>
      <c r="I46" s="162"/>
      <c r="J46" s="162"/>
      <c r="K46" s="162"/>
      <c r="L46" s="162"/>
      <c r="M46" s="162"/>
      <c r="N46" s="162"/>
      <c r="O46" s="162"/>
      <c r="P46" s="162"/>
      <c r="Q46" s="162"/>
      <c r="R46" s="162"/>
      <c r="S46" s="162"/>
      <c r="T46" s="162"/>
      <c r="U46" s="162"/>
      <c r="V46" s="162"/>
    </row>
    <row r="47" spans="1:22" s="217" customFormat="1" ht="20.5">
      <c r="A47" s="159"/>
      <c r="B47" s="159"/>
      <c r="C47" s="159"/>
      <c r="D47" s="159"/>
      <c r="E47" s="159"/>
      <c r="F47" s="159"/>
      <c r="G47" s="159"/>
      <c r="H47" s="159"/>
      <c r="I47" s="159"/>
      <c r="K47" s="159"/>
      <c r="L47" s="159"/>
      <c r="P47" s="218"/>
      <c r="Q47" s="210"/>
      <c r="U47" s="210" t="s">
        <v>232</v>
      </c>
      <c r="V47" s="159"/>
    </row>
    <row r="48" spans="1:22" s="217" customFormat="1" ht="36" customHeight="1">
      <c r="A48" s="219" t="s">
        <v>205</v>
      </c>
      <c r="B48" s="193" t="s">
        <v>482</v>
      </c>
      <c r="C48" s="193"/>
      <c r="D48" s="193" t="s">
        <v>483</v>
      </c>
      <c r="E48" s="193"/>
      <c r="F48" s="193"/>
      <c r="G48" s="193" t="s">
        <v>206</v>
      </c>
      <c r="H48" s="193"/>
      <c r="I48" s="193" t="s">
        <v>207</v>
      </c>
      <c r="J48" s="193"/>
      <c r="K48" s="193" t="s">
        <v>484</v>
      </c>
      <c r="L48" s="193"/>
      <c r="M48" s="193" t="s">
        <v>485</v>
      </c>
      <c r="N48" s="193"/>
      <c r="O48" s="193"/>
      <c r="P48" s="193"/>
      <c r="Q48" s="193"/>
      <c r="R48" s="193"/>
      <c r="S48" s="193" t="s">
        <v>486</v>
      </c>
      <c r="T48" s="193"/>
      <c r="U48" s="193" t="s">
        <v>325</v>
      </c>
      <c r="V48" s="193"/>
    </row>
    <row r="49" spans="1:22" s="217" customFormat="1" ht="18" customHeight="1">
      <c r="A49" s="219"/>
      <c r="B49" s="193"/>
      <c r="C49" s="193"/>
      <c r="D49" s="193"/>
      <c r="E49" s="193"/>
      <c r="F49" s="193"/>
      <c r="G49" s="193"/>
      <c r="H49" s="193"/>
      <c r="I49" s="193"/>
      <c r="J49" s="193"/>
      <c r="K49" s="193"/>
      <c r="L49" s="193"/>
      <c r="M49" s="193" t="s">
        <v>301</v>
      </c>
      <c r="N49" s="193" t="s">
        <v>304</v>
      </c>
      <c r="O49" s="193" t="s">
        <v>305</v>
      </c>
      <c r="P49" s="193"/>
      <c r="Q49" s="193"/>
      <c r="R49" s="193"/>
      <c r="S49" s="193"/>
      <c r="T49" s="193"/>
      <c r="U49" s="193"/>
      <c r="V49" s="193"/>
    </row>
    <row r="50" spans="1:22" s="220" customFormat="1" ht="108" customHeight="1">
      <c r="A50" s="219"/>
      <c r="B50" s="193"/>
      <c r="C50" s="193"/>
      <c r="D50" s="193"/>
      <c r="E50" s="193"/>
      <c r="F50" s="193"/>
      <c r="G50" s="193"/>
      <c r="H50" s="193"/>
      <c r="I50" s="193"/>
      <c r="J50" s="193"/>
      <c r="K50" s="193"/>
      <c r="L50" s="193"/>
      <c r="M50" s="193"/>
      <c r="N50" s="193"/>
      <c r="O50" s="148" t="s">
        <v>302</v>
      </c>
      <c r="P50" s="148" t="s">
        <v>303</v>
      </c>
      <c r="Q50" s="193" t="s">
        <v>487</v>
      </c>
      <c r="R50" s="193"/>
      <c r="S50" s="193"/>
      <c r="T50" s="193"/>
      <c r="U50" s="193"/>
      <c r="V50" s="193"/>
    </row>
    <row r="51" spans="1:22" s="217" customFormat="1">
      <c r="A51" s="221">
        <v>1</v>
      </c>
      <c r="B51" s="193">
        <v>2</v>
      </c>
      <c r="C51" s="193"/>
      <c r="D51" s="193">
        <v>3</v>
      </c>
      <c r="E51" s="193"/>
      <c r="F51" s="193"/>
      <c r="G51" s="193">
        <v>4</v>
      </c>
      <c r="H51" s="193"/>
      <c r="I51" s="193">
        <v>5</v>
      </c>
      <c r="J51" s="193"/>
      <c r="K51" s="193">
        <v>6</v>
      </c>
      <c r="L51" s="193"/>
      <c r="M51" s="148">
        <v>7</v>
      </c>
      <c r="N51" s="148">
        <v>8</v>
      </c>
      <c r="O51" s="148">
        <v>9</v>
      </c>
      <c r="P51" s="148">
        <v>10</v>
      </c>
      <c r="Q51" s="193">
        <v>11</v>
      </c>
      <c r="R51" s="193"/>
      <c r="S51" s="193">
        <v>12</v>
      </c>
      <c r="T51" s="193"/>
      <c r="U51" s="193">
        <v>13</v>
      </c>
      <c r="V51" s="193"/>
    </row>
    <row r="52" spans="1:22" s="217" customFormat="1">
      <c r="A52" s="222" t="s">
        <v>58</v>
      </c>
      <c r="B52" s="222"/>
      <c r="C52" s="222"/>
      <c r="D52" s="222"/>
      <c r="E52" s="222"/>
      <c r="F52" s="222"/>
      <c r="G52" s="193"/>
      <c r="H52" s="193"/>
      <c r="I52" s="193"/>
      <c r="J52" s="193"/>
      <c r="K52" s="193"/>
      <c r="L52" s="193"/>
      <c r="M52" s="148"/>
      <c r="N52" s="148"/>
      <c r="O52" s="148"/>
      <c r="P52" s="148"/>
      <c r="Q52" s="193"/>
      <c r="R52" s="193"/>
      <c r="S52" s="193"/>
      <c r="T52" s="193"/>
      <c r="U52" s="193"/>
      <c r="V52" s="193"/>
    </row>
    <row r="53" spans="1:22">
      <c r="A53" s="160"/>
      <c r="B53" s="160"/>
      <c r="C53" s="216"/>
      <c r="D53" s="216"/>
      <c r="E53" s="216"/>
      <c r="F53" s="216"/>
      <c r="G53" s="216"/>
      <c r="H53" s="223"/>
      <c r="I53" s="223"/>
      <c r="J53" s="223"/>
      <c r="K53" s="223"/>
      <c r="L53" s="223"/>
      <c r="M53" s="223"/>
      <c r="N53" s="223"/>
      <c r="O53" s="223"/>
    </row>
    <row r="54" spans="1:22">
      <c r="A54" s="160"/>
      <c r="B54" s="160"/>
      <c r="C54" s="216"/>
      <c r="D54" s="216"/>
      <c r="E54" s="216"/>
      <c r="F54" s="216"/>
      <c r="G54" s="216"/>
      <c r="H54" s="216"/>
      <c r="I54" s="216"/>
      <c r="J54" s="216"/>
      <c r="K54" s="216"/>
      <c r="L54" s="216"/>
      <c r="M54" s="216"/>
      <c r="N54" s="216"/>
      <c r="O54" s="216"/>
      <c r="P54" s="216"/>
      <c r="Q54" s="216"/>
      <c r="R54" s="216"/>
      <c r="S54" s="216"/>
      <c r="T54" s="216"/>
      <c r="U54" s="216"/>
    </row>
    <row r="55" spans="1:22" s="158" customFormat="1">
      <c r="C55" s="191"/>
      <c r="D55" s="191"/>
      <c r="E55" s="191"/>
      <c r="F55" s="191"/>
      <c r="G55" s="191"/>
      <c r="H55" s="191"/>
      <c r="I55" s="191"/>
      <c r="J55" s="191"/>
      <c r="K55" s="191"/>
    </row>
    <row r="56" spans="1:22" ht="20.5">
      <c r="A56" s="224"/>
      <c r="B56" s="224" t="s">
        <v>496</v>
      </c>
      <c r="C56" s="225"/>
      <c r="D56" s="226"/>
      <c r="E56" s="226"/>
      <c r="F56" s="226"/>
      <c r="G56" s="227"/>
      <c r="H56" s="228" t="s">
        <v>557</v>
      </c>
      <c r="I56" s="228"/>
      <c r="J56" s="228"/>
    </row>
    <row r="57" spans="1:22">
      <c r="B57" s="229" t="s">
        <v>77</v>
      </c>
      <c r="C57" s="230" t="s">
        <v>78</v>
      </c>
      <c r="D57" s="230"/>
      <c r="E57" s="230"/>
      <c r="F57" s="230"/>
      <c r="G57" s="231"/>
      <c r="H57" s="232" t="s">
        <v>102</v>
      </c>
      <c r="I57" s="232"/>
      <c r="J57" s="232"/>
    </row>
    <row r="58" spans="1:22">
      <c r="B58" s="233"/>
      <c r="C58" s="233"/>
      <c r="D58" s="233"/>
      <c r="E58" s="233"/>
      <c r="F58" s="233"/>
      <c r="G58" s="233"/>
      <c r="H58" s="233"/>
      <c r="I58" s="233"/>
      <c r="J58" s="233"/>
      <c r="K58" s="233"/>
      <c r="L58" s="233"/>
      <c r="M58" s="233"/>
      <c r="N58" s="233"/>
      <c r="O58" s="233"/>
      <c r="P58" s="233"/>
      <c r="Q58" s="233"/>
      <c r="R58" s="233"/>
      <c r="S58" s="233"/>
      <c r="T58" s="233"/>
      <c r="U58" s="233"/>
    </row>
    <row r="59" spans="1:22">
      <c r="B59" s="233"/>
      <c r="C59" s="233"/>
      <c r="D59" s="233"/>
      <c r="E59" s="233"/>
      <c r="F59" s="233"/>
      <c r="G59" s="233"/>
      <c r="H59" s="233"/>
      <c r="I59" s="233"/>
      <c r="J59" s="233"/>
      <c r="K59" s="233"/>
      <c r="L59" s="233"/>
      <c r="M59" s="233"/>
      <c r="N59" s="233"/>
      <c r="O59" s="233"/>
      <c r="P59" s="233"/>
      <c r="Q59" s="233"/>
      <c r="R59" s="233"/>
      <c r="S59" s="233"/>
      <c r="T59" s="233"/>
      <c r="U59" s="233"/>
    </row>
    <row r="60" spans="1:22">
      <c r="B60" s="233"/>
      <c r="C60" s="233"/>
      <c r="D60" s="233"/>
      <c r="E60" s="233"/>
      <c r="F60" s="233"/>
      <c r="G60" s="233"/>
      <c r="H60" s="233"/>
      <c r="I60" s="233"/>
      <c r="J60" s="233"/>
      <c r="K60" s="233"/>
      <c r="L60" s="233"/>
      <c r="M60" s="233"/>
      <c r="N60" s="233"/>
      <c r="O60" s="233"/>
      <c r="P60" s="233"/>
      <c r="Q60" s="233"/>
      <c r="R60" s="233"/>
      <c r="S60" s="233"/>
      <c r="T60" s="233"/>
      <c r="U60" s="233"/>
    </row>
    <row r="61" spans="1:22">
      <c r="B61" s="160"/>
    </row>
    <row r="64" spans="1:22">
      <c r="B64" s="234"/>
    </row>
    <row r="65" spans="2:2">
      <c r="B65" s="234"/>
    </row>
    <row r="66" spans="2:2">
      <c r="B66" s="234"/>
    </row>
    <row r="67" spans="2:2">
      <c r="B67" s="234"/>
    </row>
    <row r="68" spans="2:2">
      <c r="B68" s="234"/>
    </row>
    <row r="69" spans="2:2">
      <c r="B69" s="234"/>
    </row>
    <row r="70" spans="2:2">
      <c r="B70" s="234"/>
    </row>
  </sheetData>
  <sheetProtection formatCells="0" formatColumns="0" formatRows="0" insertRows="0" deleteRows="0"/>
  <mergeCells count="111">
    <mergeCell ref="R5:S5"/>
    <mergeCell ref="T5:U5"/>
    <mergeCell ref="R8:S8"/>
    <mergeCell ref="T8:U8"/>
    <mergeCell ref="A8:K8"/>
    <mergeCell ref="A2:V2"/>
    <mergeCell ref="S23:V23"/>
    <mergeCell ref="Q52:R52"/>
    <mergeCell ref="S52:T52"/>
    <mergeCell ref="U52:V52"/>
    <mergeCell ref="A52:F52"/>
    <mergeCell ref="G52:H52"/>
    <mergeCell ref="L4:M5"/>
    <mergeCell ref="A10:V10"/>
    <mergeCell ref="B12:D14"/>
    <mergeCell ref="E12:G14"/>
    <mergeCell ref="H12:L14"/>
    <mergeCell ref="N13:O14"/>
    <mergeCell ref="M12:M14"/>
    <mergeCell ref="N12:V12"/>
    <mergeCell ref="P13:V13"/>
    <mergeCell ref="P14:Q14"/>
    <mergeCell ref="U14:V14"/>
    <mergeCell ref="L8:M8"/>
    <mergeCell ref="A4:A5"/>
    <mergeCell ref="B4:E5"/>
    <mergeCell ref="F4:G5"/>
    <mergeCell ref="H4:K5"/>
    <mergeCell ref="G22:J22"/>
    <mergeCell ref="K22:N22"/>
    <mergeCell ref="M49:M50"/>
    <mergeCell ref="N49:N50"/>
    <mergeCell ref="O49:R49"/>
    <mergeCell ref="K48:L50"/>
    <mergeCell ref="A22:A24"/>
    <mergeCell ref="C22:F22"/>
    <mergeCell ref="A43:B43"/>
    <mergeCell ref="A20:V20"/>
    <mergeCell ref="N4:V4"/>
    <mergeCell ref="N5:O5"/>
    <mergeCell ref="P5:Q5"/>
    <mergeCell ref="T7:U7"/>
    <mergeCell ref="B6:E6"/>
    <mergeCell ref="F6:G6"/>
    <mergeCell ref="H6:K6"/>
    <mergeCell ref="L6:M6"/>
    <mergeCell ref="N6:O6"/>
    <mergeCell ref="H56:J56"/>
    <mergeCell ref="C57:F57"/>
    <mergeCell ref="H57:J57"/>
    <mergeCell ref="B22:B24"/>
    <mergeCell ref="A44:B44"/>
    <mergeCell ref="A48:A50"/>
    <mergeCell ref="A46:V46"/>
    <mergeCell ref="B48:C50"/>
    <mergeCell ref="D48:F50"/>
    <mergeCell ref="G48:H50"/>
    <mergeCell ref="I48:J50"/>
    <mergeCell ref="M48:R48"/>
    <mergeCell ref="O22:R22"/>
    <mergeCell ref="S22:V22"/>
    <mergeCell ref="C23:F23"/>
    <mergeCell ref="G23:J23"/>
    <mergeCell ref="K23:N23"/>
    <mergeCell ref="O23:R23"/>
    <mergeCell ref="I52:J52"/>
    <mergeCell ref="K52:L52"/>
    <mergeCell ref="Q50:R50"/>
    <mergeCell ref="S48:T50"/>
    <mergeCell ref="U48:V50"/>
    <mergeCell ref="B51:C51"/>
    <mergeCell ref="N8:O8"/>
    <mergeCell ref="P8:Q8"/>
    <mergeCell ref="P6:Q6"/>
    <mergeCell ref="R6:S6"/>
    <mergeCell ref="T6:U6"/>
    <mergeCell ref="B7:E7"/>
    <mergeCell ref="F7:G7"/>
    <mergeCell ref="H7:K7"/>
    <mergeCell ref="L7:M7"/>
    <mergeCell ref="N7:O7"/>
    <mergeCell ref="P7:Q7"/>
    <mergeCell ref="R7:S7"/>
    <mergeCell ref="U15:V15"/>
    <mergeCell ref="A12:A14"/>
    <mergeCell ref="B15:D15"/>
    <mergeCell ref="E15:G15"/>
    <mergeCell ref="H15:L15"/>
    <mergeCell ref="N15:O15"/>
    <mergeCell ref="P15:Q15"/>
    <mergeCell ref="S14:T14"/>
    <mergeCell ref="S15:T15"/>
    <mergeCell ref="D51:F51"/>
    <mergeCell ref="G51:H51"/>
    <mergeCell ref="I51:J51"/>
    <mergeCell ref="K51:L51"/>
    <mergeCell ref="Q51:R51"/>
    <mergeCell ref="S51:T51"/>
    <mergeCell ref="U51:V51"/>
    <mergeCell ref="U16:V16"/>
    <mergeCell ref="N17:O17"/>
    <mergeCell ref="P17:Q17"/>
    <mergeCell ref="U17:V17"/>
    <mergeCell ref="A17:M17"/>
    <mergeCell ref="S16:T16"/>
    <mergeCell ref="S17:T17"/>
    <mergeCell ref="B16:D16"/>
    <mergeCell ref="E16:G16"/>
    <mergeCell ref="H16:L16"/>
    <mergeCell ref="N16:O16"/>
    <mergeCell ref="P16:Q16"/>
  </mergeCells>
  <phoneticPr fontId="3" type="noConversion"/>
  <pageMargins left="0.78740157480314965" right="0.78740157480314965" top="1.1811023622047245" bottom="0.39370078740157483" header="0" footer="0"/>
  <pageSetup paperSize="9" scale="43" fitToHeight="0" orientation="landscape" verticalDpi="1200" r:id="rId1"/>
  <headerFooter alignWithMargins="0"/>
  <rowBreaks count="1" manualBreakCount="1">
    <brk id="45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13</vt:i4>
      </vt:variant>
    </vt:vector>
  </HeadingPairs>
  <TitlesOfParts>
    <vt:vector size="21" baseType="lpstr">
      <vt:lpstr>фінплан - зведені показники</vt:lpstr>
      <vt:lpstr>1. Фін результат</vt:lpstr>
      <vt:lpstr>2. Розрахунки з бюджетом</vt:lpstr>
      <vt:lpstr>3. Рух грошових коштів</vt:lpstr>
      <vt:lpstr>4. Кап. інвестиції</vt:lpstr>
      <vt:lpstr> 5. Коефіцієнти</vt:lpstr>
      <vt:lpstr>6.1. Інша інфо_1</vt:lpstr>
      <vt:lpstr>6.2. Інша інфо_2</vt:lpstr>
      <vt:lpstr>' 5. Коефіцієнти'!Заголовки_для_печати</vt:lpstr>
      <vt:lpstr>'1. Фін результат'!Заголовки_для_печати</vt:lpstr>
      <vt:lpstr>'2. Розрахунки з бюджетом'!Заголовки_для_печати</vt:lpstr>
      <vt:lpstr>'3. Рух грошових коштів'!Заголовки_для_печати</vt:lpstr>
      <vt:lpstr>'фінплан - зведені показники'!Заголовки_для_печати</vt:lpstr>
      <vt:lpstr>' 5. Коефіцієнти'!Область_печати</vt:lpstr>
      <vt:lpstr>'1. Фін результат'!Область_печати</vt:lpstr>
      <vt:lpstr>'2. Розрахунки з бюджетом'!Область_печати</vt:lpstr>
      <vt:lpstr>'3. Рух грошових коштів'!Область_печати</vt:lpstr>
      <vt:lpstr>'4. Кап. інвестиції'!Область_печати</vt:lpstr>
      <vt:lpstr>'6.1. Інша інфо_1'!Область_печати</vt:lpstr>
      <vt:lpstr>'6.2. Інша інфо_2'!Область_печати</vt:lpstr>
      <vt:lpstr>'фінплан - зведені показники'!Область_печати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Татьяна Новикова</cp:lastModifiedBy>
  <cp:lastPrinted>2024-03-07T07:24:51Z</cp:lastPrinted>
  <dcterms:created xsi:type="dcterms:W3CDTF">2003-03-13T16:00:22Z</dcterms:created>
  <dcterms:modified xsi:type="dcterms:W3CDTF">2024-03-07T07:28:45Z</dcterms:modified>
</cp:coreProperties>
</file>