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ФИН плани\Фінплан 2023\звіт фінплан 1кв 2023\"/>
    </mc:Choice>
  </mc:AlternateContent>
  <xr:revisionPtr revIDLastSave="0" documentId="13_ncr:1_{5ABE0FAD-5678-43B9-92E8-C27CFB19FE95}" xr6:coauthVersionLast="47" xr6:coauthVersionMax="47" xr10:uidLastSave="{00000000-0000-0000-0000-000000000000}"/>
  <bookViews>
    <workbookView xWindow="-110" yWindow="-110" windowWidth="19420" windowHeight="10420" tabRatio="844" activeTab="7" xr2:uid="{00000000-000D-0000-FFFF-FFFF00000000}"/>
  </bookViews>
  <sheets>
    <sheet name="фінплан - зведені показники" sheetId="14" r:id="rId1"/>
    <sheet name="1. Фін результат" sheetId="2" r:id="rId2"/>
    <sheet name="2. Розрахунки з бюджетом" sheetId="19" r:id="rId3"/>
    <sheet name="3. Рух грошових коштів" sheetId="18" r:id="rId4"/>
    <sheet name="4. Кап. інвестиції" sheetId="3" r:id="rId5"/>
    <sheet name=" 5. Коефіцієнти" sheetId="11" r:id="rId6"/>
    <sheet name="6.1. Інша інфо_1" sheetId="10" r:id="rId7"/>
    <sheet name="6.2. Інша інфо_2" sheetId="9" r:id="rId8"/>
    <sheet name="Лист1" sheetId="2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123Graph_XGRAPH3" hidden="1">[1]GDP!#REF!</definedName>
    <definedName name="_xlnm._FilterDatabase" localSheetId="1" hidden="1">'1. Фін результат'!$A$9:$H$144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5. Коефіцієнти'!$5:$5</definedName>
    <definedName name="_xlnm.Print_Titles" localSheetId="1">'1. Фін результат'!$7:$7</definedName>
    <definedName name="_xlnm.Print_Titles" localSheetId="2">'2. Розрахунки з бюджетом'!$6:$6</definedName>
    <definedName name="_xlnm.Print_Titles" localSheetId="3">'3. Рух грошових коштів'!$7:$7</definedName>
    <definedName name="_xlnm.Print_Titles" localSheetId="0">'фінплан - зведені показники'!$29:$29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5. Коефіцієнти'!$A$1:$F$26</definedName>
    <definedName name="_xlnm.Print_Area" localSheetId="1">'1. Фін результат'!$A$1:$H$164</definedName>
    <definedName name="_xlnm.Print_Area" localSheetId="2">'2. Розрахунки з бюджетом'!$A$1:$G$45</definedName>
    <definedName name="_xlnm.Print_Area" localSheetId="3">'3. Рух грошових коштів'!$A$1:$G$91</definedName>
    <definedName name="_xlnm.Print_Area" localSheetId="4">'4. Кап. інвестиції'!$A$1:$G$18</definedName>
    <definedName name="_xlnm.Print_Area" localSheetId="6">'6.1. Інша інфо_1'!$A$1:$O$80</definedName>
    <definedName name="_xlnm.Print_Area" localSheetId="7">'6.2. Інша інфо_2'!$A$1:$V$48</definedName>
    <definedName name="_xlnm.Print_Area" localSheetId="0">'фінплан - зведені показники'!$A$1:$G$81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91029"/>
</workbook>
</file>

<file path=xl/calcChain.xml><?xml version="1.0" encoding="utf-8"?>
<calcChain xmlns="http://schemas.openxmlformats.org/spreadsheetml/2006/main">
  <c r="C50" i="18" l="1"/>
  <c r="C44" i="18"/>
  <c r="C45" i="18"/>
  <c r="C80" i="18" l="1"/>
  <c r="C42" i="18"/>
  <c r="E27" i="18"/>
  <c r="E9" i="19"/>
  <c r="C73" i="14"/>
  <c r="C70" i="14"/>
  <c r="E139" i="2"/>
  <c r="E141" i="2"/>
  <c r="D140" i="2"/>
  <c r="E140" i="2"/>
  <c r="C65" i="18"/>
  <c r="C82" i="18" s="1"/>
  <c r="C27" i="18"/>
  <c r="C25" i="18"/>
  <c r="C24" i="18"/>
  <c r="C23" i="18"/>
  <c r="L35" i="9"/>
  <c r="E25" i="18"/>
  <c r="E22" i="18" s="1"/>
  <c r="C76" i="14" l="1"/>
  <c r="C22" i="18"/>
  <c r="E142" i="2"/>
  <c r="E71" i="18"/>
  <c r="E70" i="18"/>
  <c r="E12" i="18"/>
  <c r="E65" i="18"/>
  <c r="E9" i="3" l="1"/>
  <c r="E8" i="3"/>
  <c r="E40" i="19"/>
  <c r="E84" i="2" l="1"/>
  <c r="E49" i="2"/>
  <c r="E42" i="2"/>
  <c r="E66" i="2"/>
  <c r="E50" i="2"/>
  <c r="E59" i="2"/>
  <c r="E57" i="2" s="1"/>
  <c r="E35" i="2" l="1"/>
  <c r="E28" i="2"/>
  <c r="E22" i="2"/>
  <c r="E30" i="2"/>
  <c r="E12" i="2"/>
  <c r="E138" i="2" l="1"/>
  <c r="E11" i="2"/>
  <c r="E19" i="2"/>
  <c r="J29" i="10"/>
  <c r="J25" i="10"/>
  <c r="H21" i="10"/>
  <c r="G53" i="10"/>
  <c r="G52" i="10"/>
  <c r="G51" i="10"/>
  <c r="G55" i="10"/>
  <c r="E35" i="19" l="1"/>
  <c r="E80" i="2"/>
  <c r="E73" i="2" s="1"/>
  <c r="E67" i="2" s="1"/>
  <c r="C49" i="18"/>
  <c r="C29" i="18"/>
  <c r="C26" i="18"/>
  <c r="C15" i="18"/>
  <c r="C12" i="18"/>
  <c r="C37" i="19"/>
  <c r="C35" i="19"/>
  <c r="C32" i="19"/>
  <c r="C23" i="19"/>
  <c r="C22" i="19"/>
  <c r="C17" i="19"/>
  <c r="C18" i="18" s="1"/>
  <c r="C9" i="19"/>
  <c r="C112" i="2"/>
  <c r="C106" i="2"/>
  <c r="C102" i="2"/>
  <c r="C93" i="2"/>
  <c r="C88" i="2" s="1"/>
  <c r="C80" i="2"/>
  <c r="C73" i="2" s="1"/>
  <c r="C67" i="2" s="1"/>
  <c r="C59" i="2"/>
  <c r="C57" i="2" s="1"/>
  <c r="C35" i="2" s="1"/>
  <c r="C32" i="2"/>
  <c r="C28" i="2"/>
  <c r="C25" i="2"/>
  <c r="C16" i="2"/>
  <c r="C15" i="2"/>
  <c r="C140" i="2" s="1"/>
  <c r="C14" i="2"/>
  <c r="C9" i="2"/>
  <c r="C21" i="19" l="1"/>
  <c r="C27" i="19"/>
  <c r="C51" i="18"/>
  <c r="C19" i="2"/>
  <c r="C11" i="2" s="1"/>
  <c r="C31" i="2" s="1"/>
  <c r="C100" i="2" s="1"/>
  <c r="C116" i="2" s="1"/>
  <c r="C35" i="9"/>
  <c r="T34" i="9"/>
  <c r="S34" i="9"/>
  <c r="R34" i="9"/>
  <c r="Q34" i="9"/>
  <c r="N34" i="9"/>
  <c r="M34" i="9"/>
  <c r="J34" i="9"/>
  <c r="I34" i="9"/>
  <c r="F34" i="9"/>
  <c r="E34" i="9"/>
  <c r="T33" i="9"/>
  <c r="S33" i="9"/>
  <c r="R33" i="9"/>
  <c r="Q33" i="9"/>
  <c r="N33" i="9"/>
  <c r="M33" i="9"/>
  <c r="J33" i="9"/>
  <c r="I33" i="9"/>
  <c r="F33" i="9"/>
  <c r="E33" i="9"/>
  <c r="T32" i="9"/>
  <c r="S32" i="9"/>
  <c r="R32" i="9"/>
  <c r="Q32" i="9"/>
  <c r="N32" i="9"/>
  <c r="M32" i="9"/>
  <c r="J32" i="9"/>
  <c r="I32" i="9"/>
  <c r="F32" i="9"/>
  <c r="E32" i="9"/>
  <c r="T31" i="9"/>
  <c r="S31" i="9"/>
  <c r="R31" i="9"/>
  <c r="Q31" i="9"/>
  <c r="N31" i="9"/>
  <c r="M31" i="9"/>
  <c r="J31" i="9"/>
  <c r="I31" i="9"/>
  <c r="F31" i="9"/>
  <c r="E31" i="9"/>
  <c r="T30" i="9"/>
  <c r="S30" i="9"/>
  <c r="R30" i="9"/>
  <c r="Q30" i="9"/>
  <c r="N30" i="9"/>
  <c r="M30" i="9"/>
  <c r="J30" i="9"/>
  <c r="I30" i="9"/>
  <c r="F30" i="9"/>
  <c r="E30" i="9"/>
  <c r="T29" i="9"/>
  <c r="S29" i="9"/>
  <c r="R29" i="9"/>
  <c r="Q29" i="9"/>
  <c r="N29" i="9"/>
  <c r="M29" i="9"/>
  <c r="J29" i="9"/>
  <c r="I29" i="9"/>
  <c r="F29" i="9"/>
  <c r="E29" i="9"/>
  <c r="T28" i="9"/>
  <c r="S28" i="9"/>
  <c r="R28" i="9"/>
  <c r="Q28" i="9"/>
  <c r="N28" i="9"/>
  <c r="M28" i="9"/>
  <c r="J28" i="9"/>
  <c r="I28" i="9"/>
  <c r="F28" i="9"/>
  <c r="E28" i="9"/>
  <c r="T27" i="9"/>
  <c r="S27" i="9"/>
  <c r="R27" i="9"/>
  <c r="Q27" i="9"/>
  <c r="N27" i="9"/>
  <c r="M27" i="9"/>
  <c r="J27" i="9"/>
  <c r="I27" i="9"/>
  <c r="F27" i="9"/>
  <c r="E27" i="9"/>
  <c r="T26" i="9"/>
  <c r="S26" i="9"/>
  <c r="R26" i="9"/>
  <c r="Q26" i="9"/>
  <c r="N26" i="9"/>
  <c r="M26" i="9"/>
  <c r="J26" i="9"/>
  <c r="I26" i="9"/>
  <c r="F26" i="9"/>
  <c r="E26" i="9"/>
  <c r="T25" i="9"/>
  <c r="S25" i="9"/>
  <c r="R25" i="9"/>
  <c r="Q25" i="9"/>
  <c r="N25" i="9"/>
  <c r="M25" i="9"/>
  <c r="J25" i="9"/>
  <c r="I25" i="9"/>
  <c r="F25" i="9"/>
  <c r="E25" i="9"/>
  <c r="T24" i="9"/>
  <c r="S24" i="9"/>
  <c r="R24" i="9"/>
  <c r="Q24" i="9"/>
  <c r="N24" i="9"/>
  <c r="M24" i="9"/>
  <c r="J24" i="9"/>
  <c r="I24" i="9"/>
  <c r="F24" i="9"/>
  <c r="E24" i="9"/>
  <c r="D35" i="9"/>
  <c r="F36" i="9" s="1"/>
  <c r="G35" i="9"/>
  <c r="H35" i="9"/>
  <c r="K35" i="9"/>
  <c r="O35" i="9"/>
  <c r="P35" i="9"/>
  <c r="T23" i="9"/>
  <c r="S23" i="9"/>
  <c r="R23" i="9"/>
  <c r="Q23" i="9"/>
  <c r="Q35" i="9" s="1"/>
  <c r="N23" i="9"/>
  <c r="M23" i="9"/>
  <c r="M35" i="9" s="1"/>
  <c r="J23" i="9"/>
  <c r="I23" i="9"/>
  <c r="I35" i="9" s="1"/>
  <c r="F23" i="9"/>
  <c r="E23" i="9"/>
  <c r="E35" i="9" s="1"/>
  <c r="V23" i="9" l="1"/>
  <c r="R36" i="9"/>
  <c r="U24" i="9"/>
  <c r="U25" i="9"/>
  <c r="U26" i="9"/>
  <c r="U27" i="9"/>
  <c r="U28" i="9"/>
  <c r="U29" i="9"/>
  <c r="J36" i="9"/>
  <c r="V32" i="9"/>
  <c r="U34" i="9"/>
  <c r="S35" i="9"/>
  <c r="U30" i="9"/>
  <c r="U31" i="9"/>
  <c r="V33" i="9"/>
  <c r="V34" i="9"/>
  <c r="T35" i="9"/>
  <c r="U33" i="9"/>
  <c r="N36" i="9"/>
  <c r="U32" i="9"/>
  <c r="C119" i="2"/>
  <c r="C9" i="18"/>
  <c r="V24" i="9"/>
  <c r="V25" i="9"/>
  <c r="V26" i="9"/>
  <c r="V27" i="9"/>
  <c r="V28" i="9"/>
  <c r="V29" i="9"/>
  <c r="V30" i="9"/>
  <c r="V31" i="9"/>
  <c r="U23" i="9"/>
  <c r="V36" i="9" l="1"/>
  <c r="U35" i="9"/>
  <c r="C120" i="2"/>
  <c r="C19" i="19"/>
  <c r="E53" i="10"/>
  <c r="E52" i="10"/>
  <c r="E51" i="10"/>
  <c r="D53" i="10"/>
  <c r="D52" i="10"/>
  <c r="F52" i="10" s="1"/>
  <c r="D51" i="10"/>
  <c r="D50" i="10"/>
  <c r="F50" i="10" s="1"/>
  <c r="H22" i="10"/>
  <c r="H23" i="10"/>
  <c r="H25" i="10"/>
  <c r="D15" i="18"/>
  <c r="D73" i="2"/>
  <c r="D67" i="2" s="1"/>
  <c r="F51" i="10" l="1"/>
  <c r="F53" i="10"/>
  <c r="D19" i="2"/>
  <c r="J18" i="10" l="1"/>
  <c r="E102" i="2" l="1"/>
  <c r="E11" i="18"/>
  <c r="E63" i="18"/>
  <c r="H87" i="18" l="1"/>
  <c r="C142" i="2" l="1"/>
  <c r="C11" i="18" s="1"/>
  <c r="C141" i="2"/>
  <c r="C40" i="19" s="1"/>
  <c r="C41" i="19" s="1"/>
  <c r="C139" i="2"/>
  <c r="C138" i="2"/>
  <c r="C150" i="2"/>
  <c r="E150" i="2"/>
  <c r="E9" i="2"/>
  <c r="C21" i="18" l="1"/>
  <c r="C28" i="18" s="1"/>
  <c r="C30" i="18" s="1"/>
  <c r="C137" i="2"/>
  <c r="H27" i="10"/>
  <c r="H26" i="10"/>
  <c r="D11" i="2"/>
  <c r="D9" i="2"/>
  <c r="F27" i="2"/>
  <c r="F28" i="2"/>
  <c r="E6" i="3"/>
  <c r="F6" i="3" s="1"/>
  <c r="G6" i="3" l="1"/>
  <c r="J22" i="10" l="1"/>
  <c r="J30" i="10" s="1"/>
  <c r="D35" i="19"/>
  <c r="E37" i="19"/>
  <c r="C131" i="2"/>
  <c r="E73" i="14" l="1"/>
  <c r="E112" i="2" l="1"/>
  <c r="E26" i="18" l="1"/>
  <c r="I52" i="10" l="1"/>
  <c r="I51" i="10"/>
  <c r="I50" i="10"/>
  <c r="E32" i="2"/>
  <c r="I53" i="10" l="1"/>
  <c r="E49" i="18" l="1"/>
  <c r="E42" i="18" s="1"/>
  <c r="E154" i="2" l="1"/>
  <c r="G41" i="2"/>
  <c r="F41" i="2"/>
  <c r="E152" i="2" l="1"/>
  <c r="E153" i="2"/>
  <c r="E151" i="2" l="1"/>
  <c r="E29" i="18" l="1"/>
  <c r="H35" i="10" l="1"/>
  <c r="C86" i="18"/>
  <c r="C87" i="18" s="1"/>
  <c r="D65" i="18"/>
  <c r="D63" i="18"/>
  <c r="D45" i="18"/>
  <c r="D150" i="2"/>
  <c r="D106" i="2" l="1"/>
  <c r="D57" i="2"/>
  <c r="D35" i="2" s="1"/>
  <c r="D93" i="2"/>
  <c r="D88" i="2" s="1"/>
  <c r="D112" i="2"/>
  <c r="D31" i="2" l="1"/>
  <c r="D100" i="2" l="1"/>
  <c r="D116" i="2" s="1"/>
  <c r="D119" i="2" s="1"/>
  <c r="D19" i="19" s="1"/>
  <c r="D54" i="10"/>
  <c r="D120" i="2" l="1"/>
  <c r="J33" i="10"/>
  <c r="E70" i="14" l="1"/>
  <c r="E76" i="14" s="1"/>
  <c r="J34" i="10" l="1"/>
  <c r="J26" i="10"/>
  <c r="H30" i="10"/>
  <c r="G54" i="10" l="1"/>
  <c r="E51" i="18"/>
  <c r="M54" i="10" l="1"/>
  <c r="H55" i="10"/>
  <c r="E106" i="2"/>
  <c r="J35" i="2"/>
  <c r="H34" i="10"/>
  <c r="H33" i="10"/>
  <c r="H31" i="10"/>
  <c r="H29" i="10"/>
  <c r="J106" i="2" l="1"/>
  <c r="F106" i="2"/>
  <c r="J27" i="10"/>
  <c r="E137" i="2"/>
  <c r="J23" i="10"/>
  <c r="J31" i="10" s="1"/>
  <c r="H15" i="10"/>
  <c r="H16" i="10"/>
  <c r="H17" i="10"/>
  <c r="H18" i="10"/>
  <c r="H19" i="10"/>
  <c r="H14" i="10"/>
  <c r="E32" i="19"/>
  <c r="E27" i="19" s="1"/>
  <c r="D32" i="19"/>
  <c r="E132" i="2"/>
  <c r="E133" i="2"/>
  <c r="D133" i="2"/>
  <c r="D132" i="2"/>
  <c r="J112" i="2"/>
  <c r="J35" i="10" l="1"/>
  <c r="E82" i="18"/>
  <c r="N19" i="10"/>
  <c r="L19" i="10"/>
  <c r="D141" i="2"/>
  <c r="C154" i="2" l="1"/>
  <c r="D153" i="2"/>
  <c r="C153" i="2"/>
  <c r="D152" i="2"/>
  <c r="C152" i="2"/>
  <c r="C151" i="2"/>
  <c r="D51" i="18" l="1"/>
  <c r="D29" i="18" l="1"/>
  <c r="G43" i="18" l="1"/>
  <c r="F43" i="18"/>
  <c r="G80" i="18"/>
  <c r="F80" i="18"/>
  <c r="C124" i="2" l="1"/>
  <c r="C143" i="2"/>
  <c r="C144" i="2" s="1"/>
  <c r="C126" i="2"/>
  <c r="E19" i="11" l="1"/>
  <c r="E17" i="19" l="1"/>
  <c r="E18" i="18" s="1"/>
  <c r="E15" i="18" s="1"/>
  <c r="F8" i="19" l="1"/>
  <c r="G8" i="19"/>
  <c r="F17" i="19"/>
  <c r="G17" i="19"/>
  <c r="F18" i="19"/>
  <c r="G18" i="19"/>
  <c r="J67" i="2" l="1"/>
  <c r="C127" i="2"/>
  <c r="C125" i="2"/>
  <c r="C130" i="2"/>
  <c r="C135" i="2" s="1"/>
  <c r="C128" i="2"/>
  <c r="E93" i="2" l="1"/>
  <c r="E88" i="2" s="1"/>
  <c r="J93" i="2" l="1"/>
  <c r="F93" i="2"/>
  <c r="G84" i="18"/>
  <c r="F84" i="18"/>
  <c r="G65" i="18"/>
  <c r="F65" i="18"/>
  <c r="G42" i="18"/>
  <c r="F42" i="18"/>
  <c r="F23" i="18"/>
  <c r="G23" i="18"/>
  <c r="G141" i="2" l="1"/>
  <c r="F141" i="2"/>
  <c r="G140" i="2"/>
  <c r="F140" i="2"/>
  <c r="G117" i="2"/>
  <c r="F117" i="2"/>
  <c r="G93" i="2"/>
  <c r="G72" i="2"/>
  <c r="F72" i="2"/>
  <c r="G71" i="2"/>
  <c r="F71" i="2"/>
  <c r="G70" i="2"/>
  <c r="F70" i="2"/>
  <c r="G67" i="2"/>
  <c r="F67" i="2"/>
  <c r="G51" i="2"/>
  <c r="F51" i="2"/>
  <c r="G50" i="2"/>
  <c r="F50" i="2"/>
  <c r="G45" i="2"/>
  <c r="F45" i="2"/>
  <c r="G44" i="2"/>
  <c r="F44" i="2"/>
  <c r="G43" i="2"/>
  <c r="F43" i="2"/>
  <c r="G42" i="2"/>
  <c r="F42" i="2"/>
  <c r="G37" i="2"/>
  <c r="F37" i="2"/>
  <c r="F25" i="19"/>
  <c r="G25" i="19"/>
  <c r="F31" i="19"/>
  <c r="G31" i="19"/>
  <c r="F37" i="19"/>
  <c r="G37" i="19"/>
  <c r="F38" i="19"/>
  <c r="G38" i="19"/>
  <c r="F39" i="19"/>
  <c r="F40" i="19"/>
  <c r="G40" i="19"/>
  <c r="F12" i="18"/>
  <c r="N33" i="10"/>
  <c r="L33" i="10"/>
  <c r="N26" i="10"/>
  <c r="L26" i="10"/>
  <c r="N23" i="10"/>
  <c r="L23" i="10"/>
  <c r="N22" i="10"/>
  <c r="L22" i="10"/>
  <c r="N21" i="10"/>
  <c r="L21" i="10"/>
  <c r="L15" i="10"/>
  <c r="L16" i="10"/>
  <c r="L17" i="10"/>
  <c r="L18" i="10"/>
  <c r="N15" i="10"/>
  <c r="N16" i="10"/>
  <c r="N17" i="10"/>
  <c r="N18" i="10"/>
  <c r="N14" i="10"/>
  <c r="L14" i="10"/>
  <c r="N50" i="10"/>
  <c r="N53" i="10"/>
  <c r="N52" i="10"/>
  <c r="N51" i="10"/>
  <c r="L30" i="10" l="1"/>
  <c r="N30" i="10"/>
  <c r="N34" i="10" l="1"/>
  <c r="L34" i="10"/>
  <c r="L25" i="10" l="1"/>
  <c r="N25" i="10"/>
  <c r="L27" i="10"/>
  <c r="N27" i="10"/>
  <c r="N35" i="10" l="1"/>
  <c r="L35" i="10"/>
  <c r="L31" i="10"/>
  <c r="N31" i="10"/>
  <c r="N29" i="10"/>
  <c r="L29" i="10"/>
  <c r="G112" i="2"/>
  <c r="F112" i="2"/>
  <c r="F22" i="18" l="1"/>
  <c r="G22" i="18"/>
  <c r="F26" i="18"/>
  <c r="G26" i="18"/>
  <c r="E49" i="14"/>
  <c r="F29" i="2"/>
  <c r="F26" i="2"/>
  <c r="F25" i="2"/>
  <c r="F15" i="2"/>
  <c r="G15" i="2"/>
  <c r="F16" i="2"/>
  <c r="G16" i="2"/>
  <c r="F9" i="2"/>
  <c r="C65" i="14"/>
  <c r="E15" i="11"/>
  <c r="M51" i="10"/>
  <c r="M52" i="10"/>
  <c r="M53" i="10"/>
  <c r="M50" i="10"/>
  <c r="J51" i="10"/>
  <c r="K51" i="10"/>
  <c r="J52" i="10"/>
  <c r="K52" i="10"/>
  <c r="J53" i="10"/>
  <c r="K53" i="10"/>
  <c r="K50" i="10"/>
  <c r="J50" i="10"/>
  <c r="O53" i="10"/>
  <c r="L52" i="10"/>
  <c r="O51" i="10"/>
  <c r="L50" i="10"/>
  <c r="F68" i="14"/>
  <c r="G68" i="14"/>
  <c r="F71" i="14"/>
  <c r="G71" i="14"/>
  <c r="F72" i="14"/>
  <c r="G72" i="14"/>
  <c r="F74" i="14"/>
  <c r="G74" i="14"/>
  <c r="F75" i="14"/>
  <c r="G75" i="14"/>
  <c r="F58" i="14"/>
  <c r="G58" i="14"/>
  <c r="D54" i="14"/>
  <c r="E54" i="14"/>
  <c r="C54" i="14"/>
  <c r="D48" i="14"/>
  <c r="E48" i="14"/>
  <c r="D49" i="14"/>
  <c r="D51" i="14"/>
  <c r="E51" i="14"/>
  <c r="C51" i="14"/>
  <c r="C49" i="14"/>
  <c r="C48" i="14"/>
  <c r="E31" i="14"/>
  <c r="D35" i="14"/>
  <c r="E35" i="14"/>
  <c r="E41" i="14"/>
  <c r="D43" i="14"/>
  <c r="E43" i="14"/>
  <c r="C43" i="14"/>
  <c r="C41" i="14"/>
  <c r="C35" i="14"/>
  <c r="C31" i="14"/>
  <c r="D61" i="14"/>
  <c r="D56" i="14"/>
  <c r="C56" i="14"/>
  <c r="C47" i="14"/>
  <c r="C57" i="14"/>
  <c r="E50" i="14"/>
  <c r="E131" i="2"/>
  <c r="C36" i="14"/>
  <c r="C34" i="14"/>
  <c r="E127" i="2"/>
  <c r="E126" i="2"/>
  <c r="D125" i="2"/>
  <c r="D40" i="14" s="1"/>
  <c r="E125" i="2"/>
  <c r="C40" i="14"/>
  <c r="B41" i="14"/>
  <c r="B65" i="14"/>
  <c r="B64" i="14"/>
  <c r="B63" i="14"/>
  <c r="B61" i="14"/>
  <c r="B58" i="14"/>
  <c r="B57" i="14"/>
  <c r="B56" i="14"/>
  <c r="B55" i="14"/>
  <c r="B59" i="14"/>
  <c r="B54" i="14"/>
  <c r="B52" i="14"/>
  <c r="B51" i="14"/>
  <c r="B50" i="14"/>
  <c r="B48" i="14"/>
  <c r="B47" i="14"/>
  <c r="B45" i="14"/>
  <c r="B44" i="14"/>
  <c r="B43" i="14"/>
  <c r="B42" i="14"/>
  <c r="B40" i="14"/>
  <c r="B39" i="14"/>
  <c r="B38" i="14"/>
  <c r="B37" i="14"/>
  <c r="B36" i="14"/>
  <c r="B34" i="14"/>
  <c r="B35" i="14"/>
  <c r="B33" i="14"/>
  <c r="B32" i="14"/>
  <c r="B31" i="14"/>
  <c r="D31" i="14"/>
  <c r="J88" i="2" l="1"/>
  <c r="E124" i="2"/>
  <c r="E31" i="2"/>
  <c r="L11" i="2"/>
  <c r="E100" i="2"/>
  <c r="J11" i="2"/>
  <c r="J54" i="10"/>
  <c r="E61" i="14"/>
  <c r="F61" i="14" s="1"/>
  <c r="E143" i="2"/>
  <c r="E144" i="2" s="1"/>
  <c r="F73" i="14"/>
  <c r="E17" i="11"/>
  <c r="E18" i="11"/>
  <c r="G73" i="14"/>
  <c r="E56" i="14"/>
  <c r="G56" i="14" s="1"/>
  <c r="G51" i="18"/>
  <c r="F51" i="18"/>
  <c r="E34" i="14"/>
  <c r="C32" i="14"/>
  <c r="J31" i="2"/>
  <c r="G125" i="2"/>
  <c r="F125" i="2"/>
  <c r="G57" i="2"/>
  <c r="F57" i="2"/>
  <c r="E40" i="14"/>
  <c r="F40" i="14" s="1"/>
  <c r="D34" i="14"/>
  <c r="E36" i="14"/>
  <c r="G88" i="2"/>
  <c r="F88" i="2"/>
  <c r="F29" i="18"/>
  <c r="O50" i="10"/>
  <c r="L51" i="10"/>
  <c r="E32" i="14"/>
  <c r="G54" i="14"/>
  <c r="O52" i="10"/>
  <c r="F49" i="14"/>
  <c r="G51" i="14"/>
  <c r="F48" i="14"/>
  <c r="F35" i="14"/>
  <c r="C33" i="14"/>
  <c r="F7" i="11" s="1"/>
  <c r="G31" i="14"/>
  <c r="F43" i="14"/>
  <c r="G43" i="14"/>
  <c r="G35" i="14"/>
  <c r="C52" i="14"/>
  <c r="C50" i="14"/>
  <c r="C61" i="14"/>
  <c r="G49" i="14"/>
  <c r="F51" i="14"/>
  <c r="F31" i="14"/>
  <c r="G48" i="14"/>
  <c r="F54" i="14"/>
  <c r="L53" i="10"/>
  <c r="G9" i="2"/>
  <c r="G61" i="14" l="1"/>
  <c r="E116" i="2"/>
  <c r="E9" i="18" s="1"/>
  <c r="E21" i="18" s="1"/>
  <c r="E33" i="14"/>
  <c r="E7" i="11" s="1"/>
  <c r="F56" i="14"/>
  <c r="C37" i="14"/>
  <c r="C38" i="14"/>
  <c r="G40" i="14"/>
  <c r="F34" i="14"/>
  <c r="E57" i="14"/>
  <c r="G34" i="14"/>
  <c r="G35" i="2"/>
  <c r="E128" i="2"/>
  <c r="F35" i="2"/>
  <c r="J100" i="2" l="1"/>
  <c r="E130" i="2"/>
  <c r="E135" i="2" s="1"/>
  <c r="E38" i="14" s="1"/>
  <c r="E8" i="11" s="1"/>
  <c r="E37" i="14"/>
  <c r="C42" i="14"/>
  <c r="C39" i="14"/>
  <c r="E119" i="2" l="1"/>
  <c r="J116" i="2"/>
  <c r="E28" i="18"/>
  <c r="C44" i="14"/>
  <c r="C45" i="14" s="1"/>
  <c r="E42" i="14"/>
  <c r="E39" i="14"/>
  <c r="E13" i="11"/>
  <c r="C64" i="14"/>
  <c r="C63" i="14"/>
  <c r="E120" i="2" l="1"/>
  <c r="E44" i="14"/>
  <c r="E11" i="11" s="1"/>
  <c r="C55" i="14"/>
  <c r="J119" i="2"/>
  <c r="E30" i="18"/>
  <c r="E86" i="18" s="1"/>
  <c r="I87" i="18" l="1"/>
  <c r="E45" i="14"/>
  <c r="C59" i="14"/>
  <c r="E55" i="14"/>
  <c r="E19" i="19" l="1"/>
  <c r="E21" i="19"/>
  <c r="E41" i="19" s="1"/>
  <c r="E52" i="14" s="1"/>
  <c r="E87" i="18"/>
  <c r="E59" i="14"/>
  <c r="G36" i="19" l="1"/>
  <c r="F36" i="19"/>
  <c r="G27" i="19" l="1"/>
  <c r="F35" i="19"/>
  <c r="G35" i="19"/>
  <c r="F27" i="19" l="1"/>
  <c r="D50" i="14"/>
  <c r="G50" i="14" s="1"/>
  <c r="F50" i="14" l="1"/>
  <c r="E47" i="14"/>
  <c r="E10" i="11"/>
  <c r="E64" i="14" s="1"/>
  <c r="E14" i="11"/>
  <c r="E65" i="14" s="1"/>
  <c r="G67" i="14"/>
  <c r="E9" i="11"/>
  <c r="E63" i="14" s="1"/>
  <c r="F70" i="14"/>
  <c r="F67" i="14"/>
  <c r="G70" i="14"/>
  <c r="G76" i="14" l="1"/>
  <c r="F76" i="14"/>
  <c r="D65" i="14"/>
  <c r="D44" i="14" l="1"/>
  <c r="D64" i="14" s="1"/>
  <c r="D42" i="14"/>
  <c r="G42" i="14" s="1"/>
  <c r="D37" i="14"/>
  <c r="F37" i="14" s="1"/>
  <c r="D130" i="2"/>
  <c r="G130" i="2" s="1"/>
  <c r="D33" i="14"/>
  <c r="F33" i="14" s="1"/>
  <c r="D128" i="2"/>
  <c r="G128" i="2" s="1"/>
  <c r="D127" i="2"/>
  <c r="G127" i="2" s="1"/>
  <c r="D32" i="14"/>
  <c r="G32" i="14" s="1"/>
  <c r="F31" i="2"/>
  <c r="G31" i="2"/>
  <c r="D124" i="2"/>
  <c r="F124" i="2" s="1"/>
  <c r="D139" i="2"/>
  <c r="F139" i="2" s="1"/>
  <c r="F32" i="2"/>
  <c r="D36" i="14"/>
  <c r="G36" i="14" s="1"/>
  <c r="D41" i="14"/>
  <c r="G41" i="14" s="1"/>
  <c r="D126" i="2"/>
  <c r="F126" i="2" s="1"/>
  <c r="F23" i="2"/>
  <c r="F22" i="2"/>
  <c r="F14" i="2"/>
  <c r="G14" i="2"/>
  <c r="F19" i="2"/>
  <c r="F20" i="2"/>
  <c r="G19" i="2"/>
  <c r="F24" i="2"/>
  <c r="F21" i="2"/>
  <c r="G106" i="2"/>
  <c r="F49" i="2"/>
  <c r="G49" i="2"/>
  <c r="F55" i="2"/>
  <c r="G55" i="2"/>
  <c r="F69" i="2"/>
  <c r="G69" i="2"/>
  <c r="D10" i="19"/>
  <c r="D142" i="2"/>
  <c r="D138" i="2"/>
  <c r="G13" i="2"/>
  <c r="F13" i="2"/>
  <c r="D151" i="2"/>
  <c r="F17" i="2"/>
  <c r="G17" i="2"/>
  <c r="D9" i="18"/>
  <c r="F9" i="18" s="1"/>
  <c r="F46" i="2"/>
  <c r="G11" i="2"/>
  <c r="F11" i="2"/>
  <c r="G68" i="2"/>
  <c r="F68" i="2"/>
  <c r="F73" i="2"/>
  <c r="G73" i="2"/>
  <c r="G18" i="2"/>
  <c r="F18" i="2"/>
  <c r="D154" i="2"/>
  <c r="F116" i="2"/>
  <c r="G116" i="2"/>
  <c r="G12" i="2"/>
  <c r="F100" i="2"/>
  <c r="G100" i="2"/>
  <c r="G119" i="2"/>
  <c r="F119" i="2"/>
  <c r="F12" i="2"/>
  <c r="F138" i="2" l="1"/>
  <c r="D137" i="2"/>
  <c r="D11" i="19"/>
  <c r="D22" i="19"/>
  <c r="D131" i="2"/>
  <c r="F131" i="2" s="1"/>
  <c r="G138" i="2"/>
  <c r="G10" i="19"/>
  <c r="F10" i="19"/>
  <c r="G139" i="2"/>
  <c r="F41" i="14"/>
  <c r="F32" i="14"/>
  <c r="F128" i="2"/>
  <c r="F130" i="2"/>
  <c r="G9" i="18"/>
  <c r="G15" i="18"/>
  <c r="F15" i="18"/>
  <c r="F36" i="14"/>
  <c r="D63" i="14"/>
  <c r="D45" i="14"/>
  <c r="G142" i="2"/>
  <c r="F142" i="2"/>
  <c r="D11" i="18"/>
  <c r="G126" i="2"/>
  <c r="G124" i="2"/>
  <c r="F127" i="2"/>
  <c r="G33" i="14"/>
  <c r="G37" i="14"/>
  <c r="F42" i="14"/>
  <c r="F44" i="14"/>
  <c r="G44" i="14"/>
  <c r="F137" i="2" l="1"/>
  <c r="D143" i="2"/>
  <c r="G11" i="19"/>
  <c r="D47" i="14"/>
  <c r="G47" i="14" s="1"/>
  <c r="F19" i="19"/>
  <c r="D70" i="18"/>
  <c r="F22" i="19"/>
  <c r="G22" i="19"/>
  <c r="F11" i="19"/>
  <c r="D23" i="19"/>
  <c r="G131" i="2"/>
  <c r="F47" i="14"/>
  <c r="D135" i="2"/>
  <c r="G135" i="2" s="1"/>
  <c r="F9" i="19"/>
  <c r="G137" i="2"/>
  <c r="G9" i="19"/>
  <c r="F11" i="18"/>
  <c r="D21" i="18"/>
  <c r="G11" i="18"/>
  <c r="F45" i="14"/>
  <c r="G45" i="14"/>
  <c r="F143" i="2" l="1"/>
  <c r="D144" i="2"/>
  <c r="G143" i="2"/>
  <c r="D71" i="18"/>
  <c r="D82" i="18" s="1"/>
  <c r="F23" i="19"/>
  <c r="G23" i="19"/>
  <c r="G70" i="18"/>
  <c r="F70" i="18"/>
  <c r="G19" i="19"/>
  <c r="F135" i="2"/>
  <c r="D38" i="14"/>
  <c r="D39" i="14" s="1"/>
  <c r="F21" i="18"/>
  <c r="D28" i="18"/>
  <c r="G21" i="18"/>
  <c r="F144" i="2" l="1"/>
  <c r="G144" i="2"/>
  <c r="D57" i="14"/>
  <c r="G57" i="14" s="1"/>
  <c r="F21" i="19"/>
  <c r="G21" i="19"/>
  <c r="D41" i="19"/>
  <c r="F57" i="14"/>
  <c r="G38" i="14"/>
  <c r="F38" i="14"/>
  <c r="G28" i="18"/>
  <c r="F28" i="18"/>
  <c r="D30" i="18"/>
  <c r="F39" i="14"/>
  <c r="G39" i="14"/>
  <c r="F41" i="19" l="1"/>
  <c r="D52" i="14"/>
  <c r="G41" i="19"/>
  <c r="D55" i="14"/>
  <c r="G30" i="18"/>
  <c r="F30" i="18"/>
  <c r="G52" i="14" l="1"/>
  <c r="F52" i="14"/>
  <c r="D59" i="14"/>
  <c r="F86" i="18"/>
  <c r="G86" i="18"/>
  <c r="D87" i="18"/>
  <c r="F55" i="14"/>
  <c r="G55" i="14"/>
  <c r="F87" i="18" l="1"/>
  <c r="G87" i="18"/>
  <c r="G59" i="14"/>
  <c r="F59" i="14"/>
  <c r="G69" i="14" l="1"/>
  <c r="F69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</author>
  </authors>
  <commentList>
    <comment ref="E7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по балансу заполняется</t>
        </r>
      </text>
    </comment>
  </commentList>
</comments>
</file>

<file path=xl/sharedStrings.xml><?xml version="1.0" encoding="utf-8"?>
<sst xmlns="http://schemas.openxmlformats.org/spreadsheetml/2006/main" count="754" uniqueCount="573">
  <si>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</si>
  <si>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</si>
  <si>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</si>
  <si>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</si>
  <si>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</si>
  <si>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</si>
  <si>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</si>
  <si>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</si>
  <si>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</si>
  <si>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</si>
  <si>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</si>
  <si>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</si>
  <si>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</si>
  <si>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</si>
  <si>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</si>
  <si>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</si>
  <si>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</si>
  <si>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</si>
  <si>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</si>
  <si>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</si>
  <si>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</si>
  <si>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</si>
  <si>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</si>
  <si>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</si>
  <si>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</si>
  <si>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</si>
  <si>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</si>
  <si>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</si>
  <si>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</si>
  <si>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</si>
  <si>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</si>
  <si>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</si>
  <si>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</si>
  <si>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</si>
  <si>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</si>
  <si>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</si>
  <si>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</si>
  <si>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</si>
  <si>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</si>
  <si>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</si>
  <si>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</si>
  <si>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</si>
  <si>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</si>
  <si>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</si>
  <si>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</si>
  <si>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</si>
  <si>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</si>
  <si>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</si>
  <si>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</si>
  <si>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</si>
  <si>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</si>
  <si>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</si>
  <si>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</si>
  <si>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</si>
  <si>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</si>
  <si>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</si>
  <si>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</si>
  <si>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</si>
  <si>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</si>
  <si>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</si>
  <si>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</si>
  <si>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</si>
  <si>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</si>
  <si>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</si>
  <si>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</si>
  <si>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</si>
  <si>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</si>
  <si>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</si>
  <si>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</si>
  <si>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</si>
  <si>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</si>
  <si>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</si>
  <si>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</si>
  <si>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</si>
  <si>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</si>
  <si>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</si>
  <si>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</si>
  <si>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</si>
  <si>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</si>
  <si>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</si>
  <si>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</si>
  <si>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</si>
  <si>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</si>
  <si>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</si>
  <si>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</si>
  <si>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</si>
  <si>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</si>
  <si>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</si>
  <si>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</si>
  <si>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інші платежі (розшифрувати)</t>
  </si>
  <si>
    <t>Дата видачі / погашення (графік)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</si>
  <si>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</si>
  <si>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</si>
  <si>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</si>
  <si>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</si>
  <si>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</si>
  <si>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</si>
  <si>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</si>
  <si>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</si>
  <si>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</si>
  <si>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</si>
  <si>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</si>
  <si>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&gt; 0</t>
  </si>
  <si>
    <t xml:space="preserve">         (ініціали, прізвище)    </t>
  </si>
  <si>
    <t>у тому числі:</t>
  </si>
  <si>
    <t>рентна плата за транспортування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</si>
  <si>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</si>
  <si>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</si>
  <si>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</si>
  <si>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</si>
  <si>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</si>
  <si>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</si>
  <si>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</si>
  <si>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</si>
  <si>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</si>
  <si>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</si>
  <si>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</si>
  <si>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</si>
  <si>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</si>
  <si>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</si>
  <si>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</si>
  <si>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</si>
  <si>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</si>
  <si>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</si>
  <si>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</si>
  <si>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</si>
  <si>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</si>
  <si>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</si>
  <si>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</si>
  <si>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</si>
  <si>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</si>
  <si>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</si>
  <si>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</si>
  <si>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</si>
  <si>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Середньооблікова чисельність осіб, у тому числі:</t>
  </si>
  <si>
    <t>План минулого року</t>
  </si>
  <si>
    <t>Код за ЄДРПОУ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</si>
  <si>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</si>
  <si>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</si>
  <si>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</si>
  <si>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</si>
  <si>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</si>
  <si>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</si>
  <si>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</si>
  <si>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</si>
  <si>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</si>
  <si>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</si>
  <si>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</si>
  <si>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</si>
  <si>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</si>
  <si>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</si>
  <si>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</si>
  <si>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</si>
  <si>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</si>
  <si>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</si>
  <si>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</si>
  <si>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</si>
  <si>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</si>
  <si>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</si>
  <si>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</si>
  <si>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</si>
  <si>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</si>
  <si>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</si>
  <si>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</si>
  <si>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</si>
  <si>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</si>
  <si>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</si>
  <si>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</si>
  <si>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</si>
  <si>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</si>
  <si>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</si>
  <si>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</si>
  <si>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</si>
  <si>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</si>
  <si>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</si>
  <si>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</si>
  <si>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</si>
  <si>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</si>
  <si>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</si>
  <si>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</si>
  <si>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</si>
  <si>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</si>
  <si>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</si>
  <si>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</si>
  <si>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</si>
  <si>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</si>
  <si>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</si>
  <si>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</si>
  <si>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</si>
  <si>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</si>
  <si>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</si>
  <si>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</si>
  <si>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</si>
  <si>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</si>
  <si>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</si>
  <si>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</si>
  <si>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</si>
  <si>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</si>
  <si>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</si>
  <si>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</si>
  <si>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</si>
  <si>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</si>
  <si>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</si>
  <si>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</si>
  <si>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</si>
  <si>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</si>
  <si>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</si>
  <si>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</si>
  <si>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</si>
  <si>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</si>
  <si>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</si>
  <si>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</si>
  <si>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</si>
  <si>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</si>
  <si>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</si>
  <si>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</si>
  <si>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</si>
  <si>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</si>
  <si>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</si>
  <si>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</si>
  <si>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</si>
  <si>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Таблиця 1</t>
  </si>
  <si>
    <t>Таблиця 2</t>
  </si>
  <si>
    <t>Таблиця 3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</si>
  <si>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</si>
  <si>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</si>
  <si>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</si>
  <si>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</si>
  <si>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</si>
  <si>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</si>
  <si>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</si>
  <si>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</si>
  <si>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</si>
  <si>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</si>
  <si>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Факт</t>
  </si>
  <si>
    <t>Додаток 3</t>
  </si>
  <si>
    <t>ЗВІТ</t>
  </si>
  <si>
    <t>Продовження додатка 3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</si>
  <si>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</si>
  <si>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</si>
  <si>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</si>
  <si>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</si>
  <si>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</si>
  <si>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</si>
  <si>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</si>
  <si>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Повернено залучених коштів  за звітний період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</si>
  <si>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</si>
  <si>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</si>
  <si>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</si>
  <si>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</si>
  <si>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</si>
  <si>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</si>
  <si>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</si>
  <si>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</si>
  <si>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</si>
  <si>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 xml:space="preserve">          </t>
  </si>
  <si>
    <t>Коди</t>
  </si>
  <si>
    <t>Таблиця 6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</si>
  <si>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</si>
  <si>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</si>
  <si>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</si>
  <si>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 xml:space="preserve">план </t>
  </si>
  <si>
    <t>Валовий прибуток/збиток</t>
  </si>
  <si>
    <t>Усього виплат на користь держави</t>
  </si>
  <si>
    <t>Усього активи</t>
  </si>
  <si>
    <t>Усього зобов'язання і забезпечення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</si>
  <si>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</si>
  <si>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</si>
  <si>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</si>
  <si>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</si>
  <si>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</si>
  <si>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</si>
  <si>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</si>
  <si>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Доходи і витрати (узагальнені показники)</t>
  </si>
  <si>
    <t>Інші операційні доходи/витрати
(рядок 1030 - рядок 1080)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</si>
  <si>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</si>
  <si>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</si>
  <si>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діяльності, рядок 1100</t>
  </si>
  <si>
    <t>плюс амортизація, рядок 1530</t>
  </si>
  <si>
    <t>мінус операційні доходи від курсових різниць, рядок 1031</t>
  </si>
  <si>
    <t>плюс операційні витрати від курсових різниць, рядок 1084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</si>
  <si>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</si>
  <si>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</si>
  <si>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</si>
  <si>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 xml:space="preserve">Надходження </t>
  </si>
  <si>
    <t>Витрати</t>
  </si>
  <si>
    <t xml:space="preserve">вплив зміни валютних курсів на залишок коштів </t>
  </si>
  <si>
    <t>Продовження  таблиці 6</t>
  </si>
  <si>
    <t>Відхилення,  +/–</t>
  </si>
  <si>
    <t>Виконання, %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</si>
  <si>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</si>
  <si>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</si>
  <si>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</si>
  <si>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</si>
  <si>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</si>
  <si>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</si>
  <si>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адміністративно-управлінський персонал</t>
  </si>
  <si>
    <t>директор</t>
  </si>
  <si>
    <t>працівники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</si>
  <si>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</si>
  <si>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</si>
  <si>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>У тому числі за їх видами</t>
  </si>
  <si>
    <t>освоєння капітальних вкладень</t>
  </si>
  <si>
    <t>власні кошти</t>
  </si>
  <si>
    <t>кредитні кошти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</si>
  <si>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</si>
  <si>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</si>
  <si>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</si>
  <si>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</si>
  <si>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</si>
  <si>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</si>
  <si>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Зміна ціни одиниці  (вартості продукції/     наданих послуг)</t>
  </si>
  <si>
    <t>ціна одиниці     (вартість  продукції/     наданих послуг), гривень</t>
  </si>
  <si>
    <t>кількість продукції/             наданих послуг, одиниця виміру</t>
  </si>
  <si>
    <t>чистий дохід  від реалізації продукції (товарів, робіт, послуг),     тис. гривень</t>
  </si>
  <si>
    <t>2120/2130</t>
  </si>
  <si>
    <t>Примітки</t>
  </si>
  <si>
    <t>Плановий рік, усього</t>
  </si>
  <si>
    <t>План звітного періоду</t>
  </si>
  <si>
    <t>Факт звітного періоду</t>
  </si>
  <si>
    <t>мінус/плюс значні нетипові операційні доходи/витрати (розшифрувати)</t>
  </si>
  <si>
    <t>Коефіцієнт рентабельності власного капіталу
(чистий фінансовий результат, рядок 1190 / власний капітал, рядок 6090)</t>
  </si>
  <si>
    <t>Коефіцієнт рентабельності діяльності
(чистий фінансовий результат, рядок 1190 / чистий дохід від реалізації продукції (товарів, робіт, послуг), рядок 1000)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</si>
  <si>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</si>
  <si>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</si>
  <si>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</si>
  <si>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Ковенанти/обмежувальні коефіцієнти</t>
  </si>
  <si>
    <t>Коефіцієнт відношення боргу до EBITDA
(довгострокові зобов'язання, рядок 6040 + поточні зобов'язання,                                                рядок 6050 / EBITDA, рядок 1410)</t>
  </si>
  <si>
    <t>Документ, яким затверджений титул будови, із зазначенням органу, який його погодив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</si>
  <si>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</si>
  <si>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</si>
  <si>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</si>
  <si>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</si>
  <si>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</si>
  <si>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</si>
  <si>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</si>
  <si>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</si>
  <si>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</si>
  <si>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 xml:space="preserve">У разі збільшення витрат  на оплату праці в плановому році порівняно до запланованих та порівняно з попереднім роком обов'язково надаються відповідні обґрунтування. </t>
  </si>
  <si>
    <t>Податок на додану вартість нарахований/до відшкодування                            (з мінусом)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</si>
  <si>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</si>
  <si>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</si>
  <si>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</si>
  <si>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</si>
  <si>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Звітний період</t>
  </si>
  <si>
    <t>(І квартал, півріччя, 9 місяців, рік)</t>
  </si>
  <si>
    <t>Минулий рік (аналогічний період)</t>
  </si>
  <si>
    <t>Відрахування частини чистого прибутку</t>
  </si>
  <si>
    <t xml:space="preserve">Усього виплат 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</si>
  <si>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</si>
  <si>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15 % чистого прибутку до загального фонду міського бюджету</t>
  </si>
  <si>
    <t>Коефіцієнт відношення капітальних інвестицій до чистого доходу (виручки) від реалізації продукції (товарів, робіт, послуг) (рядок 4000 / рядок 1000)</t>
  </si>
  <si>
    <t>Фонд оплати праці, тис. гривень,  у тому числі:</t>
  </si>
  <si>
    <t xml:space="preserve">      2. Перелік відокремлених підрозділів підприємства, які включені до консолідованого (зведеного) фінансового плану</t>
  </si>
  <si>
    <t>Найменування відокремленого підрозділу підприємства</t>
  </si>
  <si>
    <t xml:space="preserve"> </t>
  </si>
  <si>
    <t>Таблиця І. Формування фінансових результатів</t>
  </si>
  <si>
    <t>Таблиця IІ. Розрахунки з бюджетом</t>
  </si>
  <si>
    <t>Таблиця ІІІ. Рух грошових коштів</t>
  </si>
  <si>
    <t xml:space="preserve">Таблиця IV. Капітальні інвестиції </t>
  </si>
  <si>
    <t>Таблиця V. Коефіцієнтний аналіз</t>
  </si>
  <si>
    <t xml:space="preserve">      1. Дані про підприємство, персонал та фонд оплати праці</t>
  </si>
  <si>
    <t>ПРО ВИКОНАННЯ ФІНАНСОВОГО ПЛАНУ ПІДПРИЄМСТВА</t>
  </si>
  <si>
    <t>відхи-
лення,  +/–</t>
  </si>
  <si>
    <t>Минулий рік (анало-
гічний період)</t>
  </si>
  <si>
    <t>Усього доходів (рядок 1000 + рядок 1030 + рядок 1110 + рядок 1120 + рядок 1150)</t>
  </si>
  <si>
    <t>Усього витрат (рядок 1010 + рядок 1040 + рядок 1070 + рядок 1080 + рядок 1130 + рядок 1140 + рядок 1160 + рядок 1180 + рядок 1190)</t>
  </si>
  <si>
    <t xml:space="preserve">                                               (посада)</t>
  </si>
  <si>
    <t>Коефіцієнт рентабельності активів
(чистий фінансовий результат, рядок 1200 / вартість активів, рядок 6030)</t>
  </si>
  <si>
    <t>x</t>
  </si>
  <si>
    <t xml:space="preserve">Комунальне підприємство </t>
  </si>
  <si>
    <t>м.Дніпро</t>
  </si>
  <si>
    <t>міські районні у містах ради та їх виконавчі комітети</t>
  </si>
  <si>
    <t>організування поховань і надання суміжних послуг</t>
  </si>
  <si>
    <t xml:space="preserve">послуги підприємств, що займаються невиробничими видами побут. обслугов.населення </t>
  </si>
  <si>
    <t>Одиниця виміру, тис. гривень без десяткових знаков</t>
  </si>
  <si>
    <t>комунальна</t>
  </si>
  <si>
    <t>пр.О Поля 18 прим.119 м.Дніпро</t>
  </si>
  <si>
    <t>96.03</t>
  </si>
  <si>
    <t>1018/1</t>
  </si>
  <si>
    <t>1018/2</t>
  </si>
  <si>
    <t>1018/3</t>
  </si>
  <si>
    <t>1018/4</t>
  </si>
  <si>
    <t>1018/5</t>
  </si>
  <si>
    <t>1018/6</t>
  </si>
  <si>
    <t>оренда приміщення</t>
  </si>
  <si>
    <t>запчастини</t>
  </si>
  <si>
    <t>резерв відпусток</t>
  </si>
  <si>
    <t>1018/7</t>
  </si>
  <si>
    <t>витрати на придбання ритуальної атрибутики</t>
  </si>
  <si>
    <t>1018/8</t>
  </si>
  <si>
    <t>1062/1</t>
  </si>
  <si>
    <t>1062/2</t>
  </si>
  <si>
    <t>касове обслуговування</t>
  </si>
  <si>
    <t>1062/3</t>
  </si>
  <si>
    <t>канцтовари, електротовари</t>
  </si>
  <si>
    <t>1062/4</t>
  </si>
  <si>
    <t>охорона приміщення</t>
  </si>
  <si>
    <t>1062/5</t>
  </si>
  <si>
    <t>1062/6</t>
  </si>
  <si>
    <t>передплата за періодичні видання</t>
  </si>
  <si>
    <t>1062/7</t>
  </si>
  <si>
    <t>1076/1</t>
  </si>
  <si>
    <t>1076/2</t>
  </si>
  <si>
    <t>оренда</t>
  </si>
  <si>
    <t>1076/3</t>
  </si>
  <si>
    <t>1076/4</t>
  </si>
  <si>
    <t>1076/5</t>
  </si>
  <si>
    <t>експлуатаційні витрати, в тому числі</t>
  </si>
  <si>
    <t>1076/6</t>
  </si>
  <si>
    <t>послуги зв"язку</t>
  </si>
  <si>
    <t>1076/6/1</t>
  </si>
  <si>
    <t>1076/6/2</t>
  </si>
  <si>
    <t>1076/6/3</t>
  </si>
  <si>
    <t>1076/6/4</t>
  </si>
  <si>
    <t>1076/6/5</t>
  </si>
  <si>
    <t>1076/6/6</t>
  </si>
  <si>
    <t>виплати по лікарн.листках, мат допомога</t>
  </si>
  <si>
    <t>1085/1</t>
  </si>
  <si>
    <t>1085/2</t>
  </si>
  <si>
    <t>1085/3</t>
  </si>
  <si>
    <t>1085/4</t>
  </si>
  <si>
    <t>штрафи, пені</t>
  </si>
  <si>
    <t>1085/5</t>
  </si>
  <si>
    <t>інші витрати (адм збір, інф землевпоряд)</t>
  </si>
  <si>
    <t>1085/6</t>
  </si>
  <si>
    <t>1120/1</t>
  </si>
  <si>
    <t>1150/1</t>
  </si>
  <si>
    <t>1160/1</t>
  </si>
  <si>
    <t>1160/2</t>
  </si>
  <si>
    <t>Профвнески</t>
  </si>
  <si>
    <t>податок на землю</t>
  </si>
  <si>
    <t>2416/1</t>
  </si>
  <si>
    <t>2147/1</t>
  </si>
  <si>
    <t>військовий збір</t>
  </si>
  <si>
    <t>3030/1</t>
  </si>
  <si>
    <t>3030/2</t>
  </si>
  <si>
    <t>3030/3</t>
  </si>
  <si>
    <t>3050/1</t>
  </si>
  <si>
    <t>коригування на динаміку поточної кредиторської заборгованості, доходів майбутніх періодів, інших поточних зобов'язань</t>
  </si>
  <si>
    <t>3060/1</t>
  </si>
  <si>
    <t xml:space="preserve">придбання (виготовлення) інших необоротних матеріальних активів </t>
  </si>
  <si>
    <t>3310/1</t>
  </si>
  <si>
    <t>3480/1</t>
  </si>
  <si>
    <t>Послуги з утримання міських кладовищ</t>
  </si>
  <si>
    <t>Послуги щодо поховання одиноких, безрідних громадян , осіб</t>
  </si>
  <si>
    <t>1030/1</t>
  </si>
  <si>
    <t>Розрахунки по нерухомості</t>
  </si>
  <si>
    <t>2147/2</t>
  </si>
  <si>
    <t>1150/2</t>
  </si>
  <si>
    <t>Сума доходу в частин ПДВ (за рахунок цільового фінансування)</t>
  </si>
  <si>
    <t>2060/1</t>
  </si>
  <si>
    <t>У звязку з ліквідацією підприємства, відсутністю договорів на утримання кладовищ та поховання безрідних</t>
  </si>
  <si>
    <t>комунальні витрати</t>
  </si>
  <si>
    <t>1062/8</t>
  </si>
  <si>
    <t>3470/1</t>
  </si>
  <si>
    <t>3270/1</t>
  </si>
  <si>
    <t>1150/3</t>
  </si>
  <si>
    <t>+</t>
  </si>
  <si>
    <t>Профвнески, лікарняні</t>
  </si>
  <si>
    <t>Фінансові витрати (проценти банку)</t>
  </si>
  <si>
    <t>Амортизація від безоплатно отриманих ОЗ</t>
  </si>
  <si>
    <t>сч.443</t>
  </si>
  <si>
    <t>кт</t>
  </si>
  <si>
    <t>Комунальне підприємство "Міьска ритуальна служба" Дніпровської міської ради</t>
  </si>
  <si>
    <r>
      <t xml:space="preserve">Орган державного управління  </t>
    </r>
    <r>
      <rPr>
        <b/>
        <i/>
        <sz val="12"/>
        <rFont val="Times New Roman"/>
        <family val="1"/>
        <charset val="204"/>
      </rPr>
      <t xml:space="preserve"> </t>
    </r>
  </si>
  <si>
    <r>
      <t>у тому числі:</t>
    </r>
    <r>
      <rPr>
        <i/>
        <sz val="12"/>
        <rFont val="Times New Roman"/>
        <family val="1"/>
        <charset val="204"/>
      </rPr>
      <t xml:space="preserve"> </t>
    </r>
  </si>
  <si>
    <t>Організація поховань і  надання суміжних послуг</t>
  </si>
  <si>
    <t>1000/1</t>
  </si>
  <si>
    <t>заходи з охорони праці татехніки безпеки</t>
  </si>
  <si>
    <t>інформаційно-технічне обслуговування</t>
  </si>
  <si>
    <t>прямі виробничі послуги на страхування</t>
  </si>
  <si>
    <t>Дохід від амортизації</t>
  </si>
  <si>
    <t>внесок 15% чистого прибутку до загального  фонду міського 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</si>
  <si>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15 % чистого прибутку до загального фонду міського бюджету</t>
  </si>
  <si>
    <t>1062/9</t>
  </si>
  <si>
    <t>Податок на землю</t>
  </si>
  <si>
    <t>добровiльне фiнансування заходiв з благоустрою кладовищ</t>
  </si>
  <si>
    <t>1150/4</t>
  </si>
  <si>
    <t>відсотки отримані по рахунку</t>
  </si>
  <si>
    <t>Витрати на оплату праці, тис. гривень, у тому числі:</t>
  </si>
  <si>
    <t>КП "Міська ритуальна служба"</t>
  </si>
  <si>
    <t>исправила</t>
  </si>
  <si>
    <t>надходження до дадаткового капіталу право використання земельною ділянкою</t>
  </si>
  <si>
    <t>3010/1</t>
  </si>
  <si>
    <t>забезпечення резерва відпустки</t>
  </si>
  <si>
    <t>Чистий рух коштів від фінансової діяльності </t>
  </si>
  <si>
    <t>Грошові кошти</t>
  </si>
  <si>
    <t>3280/1</t>
  </si>
  <si>
    <t xml:space="preserve">Капітальне будівництво (розшифровка об'єктів табл.9 Капітальне будівництво) </t>
  </si>
  <si>
    <t>3480/2</t>
  </si>
  <si>
    <t>надходження до дадаткового капіталу амортизація від безоплатно отриманих основних фондів</t>
  </si>
  <si>
    <t>3030/5</t>
  </si>
  <si>
    <t>Придбання основних фондів (створення) (розшифровка а табл.4)</t>
  </si>
  <si>
    <t>ЄСВ на лікарняні</t>
  </si>
  <si>
    <t>3270/2</t>
  </si>
  <si>
    <t>ТО РРО</t>
  </si>
  <si>
    <t>внески до статутного фонду  на заробітну плату, придбання матеріалів, та інш.</t>
  </si>
  <si>
    <t>формула</t>
  </si>
  <si>
    <t>строка 1180 по фін.рез. 0 и в балансе 0</t>
  </si>
  <si>
    <t>Усього на рік</t>
  </si>
  <si>
    <t>у тому числі за кварталами</t>
  </si>
  <si>
    <t>І квартал</t>
  </si>
  <si>
    <t>півріччя</t>
  </si>
  <si>
    <t>9 місяців</t>
  </si>
  <si>
    <t>рік</t>
  </si>
  <si>
    <t xml:space="preserve">Найменування об’єктів </t>
  </si>
  <si>
    <t>Рік початку                і закінчення будівництва</t>
  </si>
  <si>
    <t>Незавершене будівництво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</si>
  <si>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</si>
  <si>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</si>
  <si>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інші джерела (кошти міського бюджету)</t>
  </si>
  <si>
    <t>1018/9</t>
  </si>
  <si>
    <t>1018/10</t>
  </si>
  <si>
    <t>реєстрація, переєдстрація автомобілів</t>
  </si>
  <si>
    <t>ТО та реомнт оргатехніки та інш</t>
  </si>
  <si>
    <t>3030/4</t>
  </si>
  <si>
    <t>Ритуальні послуги</t>
  </si>
  <si>
    <t>сервісне обслуговування, ремонт оргтехніки, кліматичної техніки, та інш.</t>
  </si>
  <si>
    <t>списання простроченої кредиторської заборгованості</t>
  </si>
  <si>
    <t>Баланс</t>
  </si>
  <si>
    <t>1520+1660</t>
  </si>
  <si>
    <t xml:space="preserve"> -(1195-1165)</t>
  </si>
  <si>
    <t>1695-1660</t>
  </si>
  <si>
    <t>1400+1401</t>
  </si>
  <si>
    <t>Витрати на пожежну безпеку</t>
  </si>
  <si>
    <t>експлуатаційні витрати</t>
  </si>
  <si>
    <t>за  1 квартал 2023</t>
  </si>
  <si>
    <t>Валерій Тєтякін</t>
  </si>
  <si>
    <r>
      <t xml:space="preserve">Керівник 
</t>
    </r>
    <r>
      <rPr>
        <sz val="12"/>
        <rFont val="Times New Roman"/>
        <family val="1"/>
        <charset val="204"/>
      </rPr>
      <t>Директор КП "Міська ритуальна служба"</t>
    </r>
  </si>
  <si>
    <t>Директор</t>
  </si>
  <si>
    <t>цільове фінансування на виплату заробітної плати, придбання ритуальної атрибутики</t>
  </si>
  <si>
    <t>Компрессоры</t>
  </si>
  <si>
    <t>бензопила</t>
  </si>
  <si>
    <t>Лестницы</t>
  </si>
  <si>
    <t>оргтехника</t>
  </si>
  <si>
    <t>зарядно-пусковий прилад</t>
  </si>
  <si>
    <t>зварювальний напівавтомат</t>
  </si>
  <si>
    <t>свердлильний верстат</t>
  </si>
  <si>
    <t>точильний верстат</t>
  </si>
  <si>
    <t>прес гідравлічний</t>
  </si>
  <si>
    <t>Таблиця VI. Інформація до фінансового плану  за  1 квартал 2023 року</t>
  </si>
  <si>
    <t>відхилення +/-</t>
  </si>
  <si>
    <t>виконання %</t>
  </si>
  <si>
    <t xml:space="preserve">Реалізація ритуальної атрибутики </t>
  </si>
  <si>
    <t>1018/11</t>
  </si>
  <si>
    <t>копання могил</t>
  </si>
  <si>
    <t>придбання послуг стороних організацій по утриманню кладовищ: вивіз/утилізація сміття, біотуалети, вода, комунальні послуги</t>
  </si>
  <si>
    <t>сч.23</t>
  </si>
  <si>
    <t>водопостачання, дератизація, та інш</t>
  </si>
  <si>
    <t>1076/6/7</t>
  </si>
  <si>
    <t>Витрати на канцтовари, матеріали</t>
  </si>
  <si>
    <t>1076/7</t>
  </si>
  <si>
    <t>ритуал.атрибутика для поховання загиблих військових</t>
  </si>
  <si>
    <t>бетонні комірки</t>
  </si>
  <si>
    <t>лічильник води, мишка</t>
  </si>
  <si>
    <t>запаси</t>
  </si>
  <si>
    <t>інші оборотні активи</t>
  </si>
  <si>
    <t>3050/2</t>
  </si>
  <si>
    <t>3050/3</t>
  </si>
  <si>
    <t>Рік 2023</t>
  </si>
  <si>
    <t>план 2022</t>
  </si>
  <si>
    <t>факт 2022</t>
  </si>
  <si>
    <t>цільове фінансування  у розмірі амортизації</t>
  </si>
  <si>
    <t>безоплатно отримані основні засоби</t>
  </si>
  <si>
    <t>коригування суми амортизації</t>
  </si>
  <si>
    <t>коригування суми нерозподіленого прибутку/непокритого збитку</t>
  </si>
  <si>
    <t>списані основні засоби</t>
  </si>
  <si>
    <t xml:space="preserve"> -(1125+1130+1135+1140+1145+1155)</t>
  </si>
  <si>
    <t>дебіторська заборгованість</t>
  </si>
  <si>
    <t>зменьшення додаткового капіталу за рахунок амортизації</t>
  </si>
  <si>
    <t>3570/1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</si>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</sst>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-* #,##0.00_₴_-;\-* #,##0.00_₴_-;_-* &quot;-&quot;??_₴_-;_-@_-"/>
    <numFmt numFmtId="165" formatCode="_-* #,##0.00\ _г_р_н_._-;\-* #,##0.00\ _г_р_н_._-;_-* &quot;-&quot;??\ _г_р_н_._-;_-@_-"/>
    <numFmt numFmtId="166" formatCode="#,##0&quot;р.&quot;;[Red]\-#,##0&quot;р.&quot;"/>
    <numFmt numFmtId="167" formatCode="#,##0.00&quot;р.&quot;;\-#,##0.00&quot;р.&quot;"/>
    <numFmt numFmtId="168" formatCode="_-* #,##0.00_р_._-;\-* #,##0.00_р_._-;_-* &quot;-&quot;??_р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-* #,##0_₴_-;\-* #,##0_₴_-;_-* &quot;-&quot;??_₴_-;_-@_-"/>
    <numFmt numFmtId="178" formatCode="0.0%"/>
  </numFmts>
  <fonts count="9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name val="Arial Cyr"/>
      <charset val="204"/>
    </font>
    <font>
      <sz val="16"/>
      <name val="Arial Cyr"/>
      <charset val="204"/>
    </font>
    <font>
      <b/>
      <sz val="14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6"/>
      <color theme="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5">
    <xf numFmtId="0" fontId="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2" borderId="0" applyNumberFormat="0" applyBorder="0" applyAlignment="0" applyProtection="0"/>
    <xf numFmtId="0" fontId="1" fillId="2" borderId="0" applyNumberFormat="0" applyBorder="0" applyAlignment="0" applyProtection="0"/>
    <xf numFmtId="0" fontId="24" fillId="3" borderId="0" applyNumberFormat="0" applyBorder="0" applyAlignment="0" applyProtection="0"/>
    <xf numFmtId="0" fontId="1" fillId="3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24" fillId="5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1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8" borderId="0" applyNumberFormat="0" applyBorder="0" applyAlignment="0" applyProtection="0"/>
    <xf numFmtId="0" fontId="1" fillId="8" borderId="0" applyNumberFormat="0" applyBorder="0" applyAlignment="0" applyProtection="0"/>
    <xf numFmtId="0" fontId="24" fillId="9" borderId="0" applyNumberFormat="0" applyBorder="0" applyAlignment="0" applyProtection="0"/>
    <xf numFmtId="0" fontId="1" fillId="9" borderId="0" applyNumberFormat="0" applyBorder="0" applyAlignment="0" applyProtection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5" borderId="0" applyNumberFormat="0" applyBorder="0" applyAlignment="0" applyProtection="0"/>
    <xf numFmtId="0" fontId="1" fillId="5" borderId="0" applyNumberFormat="0" applyBorder="0" applyAlignment="0" applyProtection="0"/>
    <xf numFmtId="0" fontId="24" fillId="8" borderId="0" applyNumberFormat="0" applyBorder="0" applyAlignment="0" applyProtection="0"/>
    <xf numFmtId="0" fontId="1" fillId="8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5" fillId="12" borderId="0" applyNumberFormat="0" applyBorder="0" applyAlignment="0" applyProtection="0"/>
    <xf numFmtId="0" fontId="7" fillId="12" borderId="0" applyNumberFormat="0" applyBorder="0" applyAlignment="0" applyProtection="0"/>
    <xf numFmtId="0" fontId="25" fillId="9" borderId="0" applyNumberFormat="0" applyBorder="0" applyAlignment="0" applyProtection="0"/>
    <xf numFmtId="0" fontId="7" fillId="9" borderId="0" applyNumberFormat="0" applyBorder="0" applyAlignment="0" applyProtection="0"/>
    <xf numFmtId="0" fontId="25" fillId="10" borderId="0" applyNumberFormat="0" applyBorder="0" applyAlignment="0" applyProtection="0"/>
    <xf numFmtId="0" fontId="7" fillId="10" borderId="0" applyNumberFormat="0" applyBorder="0" applyAlignment="0" applyProtection="0"/>
    <xf numFmtId="0" fontId="25" fillId="13" borderId="0" applyNumberFormat="0" applyBorder="0" applyAlignment="0" applyProtection="0"/>
    <xf numFmtId="0" fontId="7" fillId="13" borderId="0" applyNumberFormat="0" applyBorder="0" applyAlignment="0" applyProtection="0"/>
    <xf numFmtId="0" fontId="25" fillId="14" borderId="0" applyNumberFormat="0" applyBorder="0" applyAlignment="0" applyProtection="0"/>
    <xf numFmtId="0" fontId="7" fillId="14" borderId="0" applyNumberFormat="0" applyBorder="0" applyAlignment="0" applyProtection="0"/>
    <xf numFmtId="0" fontId="25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8" fillId="3" borderId="0" applyNumberFormat="0" applyBorder="0" applyAlignment="0" applyProtection="0"/>
    <xf numFmtId="0" fontId="10" fillId="20" borderId="1" applyNumberFormat="0" applyAlignment="0" applyProtection="0"/>
    <xf numFmtId="0" fontId="15" fillId="21" borderId="2" applyNumberFormat="0" applyAlignment="0" applyProtection="0"/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165" fontId="5" fillId="0" borderId="0" applyFont="0" applyFill="0" applyBorder="0" applyAlignment="0" applyProtection="0"/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0" fontId="19" fillId="0" borderId="0" applyNumberFormat="0" applyFill="0" applyBorder="0" applyAlignment="0" applyProtection="0"/>
    <xf numFmtId="171" fontId="27" fillId="0" borderId="0" applyAlignment="0">
      <alignment wrapText="1"/>
    </xf>
    <xf numFmtId="0" fontId="22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8" fillId="7" borderId="1" applyNumberFormat="0" applyAlignment="0" applyProtection="0"/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</xf>
    <xf numFmtId="49" fontId="5" fillId="0" borderId="0" applyNumberFormat="0" applyFont="0" applyAlignment="0">
      <alignment vertical="top" wrapText="1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29" fillId="22" borderId="7">
      <alignment horizontal="left" vertical="center"/>
      <protection locked="0"/>
    </xf>
    <xf numFmtId="49" fontId="29" fillId="22" borderId="7">
      <alignment horizontal="left" vertical="center"/>
    </xf>
    <xf numFmtId="4" fontId="29" fillId="22" borderId="7">
      <alignment horizontal="right" vertical="center"/>
      <protection locked="0"/>
    </xf>
    <xf numFmtId="4" fontId="29" fillId="22" borderId="7">
      <alignment horizontal="right" vertical="center"/>
    </xf>
    <xf numFmtId="4" fontId="30" fillId="22" borderId="7">
      <alignment horizontal="righ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</xf>
    <xf numFmtId="49" fontId="32" fillId="22" borderId="3">
      <alignment horizontal="left" vertical="center"/>
      <protection locked="0"/>
    </xf>
    <xf numFmtId="49" fontId="32" fillId="22" borderId="3">
      <alignment horizontal="left" vertical="center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</xf>
    <xf numFmtId="4" fontId="33" fillId="22" borderId="3">
      <alignment horizontal="right" vertical="center"/>
      <protection locked="0"/>
    </xf>
    <xf numFmtId="49" fontId="26" fillId="22" borderId="3">
      <alignment horizontal="left" vertical="center"/>
      <protection locked="0"/>
    </xf>
    <xf numFmtId="49" fontId="26" fillId="22" borderId="3">
      <alignment horizontal="left" vertical="center"/>
      <protection locked="0"/>
    </xf>
    <xf numFmtId="49" fontId="26" fillId="22" borderId="3">
      <alignment horizontal="left" vertical="center"/>
    </xf>
    <xf numFmtId="49" fontId="26" fillId="22" borderId="3">
      <alignment horizontal="left" vertical="center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</xf>
    <xf numFmtId="4" fontId="26" fillId="22" borderId="3">
      <alignment horizontal="right" vertical="center"/>
      <protection locked="0"/>
    </xf>
    <xf numFmtId="4" fontId="26" fillId="22" borderId="3">
      <alignment horizontal="right" vertical="center"/>
      <protection locked="0"/>
    </xf>
    <xf numFmtId="4" fontId="26" fillId="22" borderId="3">
      <alignment horizontal="right" vertical="center"/>
    </xf>
    <xf numFmtId="4" fontId="26" fillId="22" borderId="3">
      <alignment horizontal="right" vertical="center"/>
    </xf>
    <xf numFmtId="4" fontId="30" fillId="22" borderId="3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37" fillId="0" borderId="3">
      <alignment horizontal="left" vertical="center"/>
      <protection locked="0"/>
    </xf>
    <xf numFmtId="49" fontId="37" fillId="0" borderId="3">
      <alignment horizontal="left" vertical="center"/>
    </xf>
    <xf numFmtId="49" fontId="38" fillId="0" borderId="3">
      <alignment horizontal="left" vertical="center"/>
      <protection locked="0"/>
    </xf>
    <xf numFmtId="49" fontId="38" fillId="0" borderId="3">
      <alignment horizontal="left" vertical="center"/>
    </xf>
    <xf numFmtId="4" fontId="37" fillId="0" borderId="3">
      <alignment horizontal="right" vertical="center"/>
      <protection locked="0"/>
    </xf>
    <xf numFmtId="4" fontId="37" fillId="0" borderId="3">
      <alignment horizontal="right" vertical="center"/>
    </xf>
    <xf numFmtId="4" fontId="38" fillId="0" borderId="3">
      <alignment horizontal="right" vertical="center"/>
      <protection locked="0"/>
    </xf>
    <xf numFmtId="49" fontId="39" fillId="0" borderId="3">
      <alignment horizontal="left" vertical="center"/>
      <protection locked="0"/>
    </xf>
    <xf numFmtId="49" fontId="39" fillId="0" borderId="3">
      <alignment horizontal="left" vertical="center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</xf>
    <xf numFmtId="4" fontId="39" fillId="0" borderId="3">
      <alignment horizontal="right" vertical="center"/>
      <protection locked="0"/>
    </xf>
    <xf numFmtId="4" fontId="39" fillId="0" borderId="3">
      <alignment horizontal="right" vertical="center"/>
    </xf>
    <xf numFmtId="49" fontId="37" fillId="0" borderId="3">
      <alignment horizontal="left" vertical="center"/>
      <protection locked="0"/>
    </xf>
    <xf numFmtId="49" fontId="38" fillId="0" borderId="3">
      <alignment horizontal="left" vertical="center"/>
      <protection locked="0"/>
    </xf>
    <xf numFmtId="4" fontId="37" fillId="0" borderId="3">
      <alignment horizontal="right" vertical="center"/>
      <protection locked="0"/>
    </xf>
    <xf numFmtId="0" fontId="20" fillId="0" borderId="8" applyNumberFormat="0" applyFill="0" applyAlignment="0" applyProtection="0"/>
    <xf numFmtId="0" fontId="17" fillId="23" borderId="0" applyNumberFormat="0" applyBorder="0" applyAlignment="0" applyProtection="0"/>
    <xf numFmtId="0" fontId="5" fillId="0" borderId="0"/>
    <xf numFmtId="0" fontId="5" fillId="0" borderId="0"/>
    <xf numFmtId="0" fontId="5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1" fillId="26" borderId="3">
      <alignment horizontal="right" vertical="center"/>
      <protection locked="0"/>
    </xf>
    <xf numFmtId="4" fontId="41" fillId="27" borderId="3">
      <alignment horizontal="right" vertical="center"/>
      <protection locked="0"/>
    </xf>
    <xf numFmtId="4" fontId="41" fillId="28" borderId="3">
      <alignment horizontal="right" vertical="center"/>
      <protection locked="0"/>
    </xf>
    <xf numFmtId="0" fontId="9" fillId="20" borderId="10" applyNumberFormat="0" applyAlignment="0" applyProtection="0"/>
    <xf numFmtId="49" fontId="26" fillId="0" borderId="3">
      <alignment horizontal="left" vertical="center" wrapText="1"/>
      <protection locked="0"/>
    </xf>
    <xf numFmtId="49" fontId="26" fillId="0" borderId="3">
      <alignment horizontal="left" vertical="center" wrapText="1"/>
      <protection locked="0"/>
    </xf>
    <xf numFmtId="0" fontId="16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7" fillId="16" borderId="0" applyNumberFormat="0" applyBorder="0" applyAlignment="0" applyProtection="0"/>
    <xf numFmtId="0" fontId="25" fillId="17" borderId="0" applyNumberFormat="0" applyBorder="0" applyAlignment="0" applyProtection="0"/>
    <xf numFmtId="0" fontId="7" fillId="17" borderId="0" applyNumberFormat="0" applyBorder="0" applyAlignment="0" applyProtection="0"/>
    <xf numFmtId="0" fontId="25" fillId="18" borderId="0" applyNumberFormat="0" applyBorder="0" applyAlignment="0" applyProtection="0"/>
    <xf numFmtId="0" fontId="7" fillId="18" borderId="0" applyNumberFormat="0" applyBorder="0" applyAlignment="0" applyProtection="0"/>
    <xf numFmtId="0" fontId="25" fillId="13" borderId="0" applyNumberFormat="0" applyBorder="0" applyAlignment="0" applyProtection="0"/>
    <xf numFmtId="0" fontId="7" fillId="13" borderId="0" applyNumberFormat="0" applyBorder="0" applyAlignment="0" applyProtection="0"/>
    <xf numFmtId="0" fontId="25" fillId="14" borderId="0" applyNumberFormat="0" applyBorder="0" applyAlignment="0" applyProtection="0"/>
    <xf numFmtId="0" fontId="7" fillId="14" borderId="0" applyNumberFormat="0" applyBorder="0" applyAlignment="0" applyProtection="0"/>
    <xf numFmtId="0" fontId="25" fillId="19" borderId="0" applyNumberFormat="0" applyBorder="0" applyAlignment="0" applyProtection="0"/>
    <xf numFmtId="0" fontId="7" fillId="19" borderId="0" applyNumberFormat="0" applyBorder="0" applyAlignment="0" applyProtection="0"/>
    <xf numFmtId="0" fontId="42" fillId="7" borderId="1" applyNumberFormat="0" applyAlignment="0" applyProtection="0"/>
    <xf numFmtId="0" fontId="8" fillId="7" borderId="1" applyNumberFormat="0" applyAlignment="0" applyProtection="0"/>
    <xf numFmtId="0" fontId="43" fillId="20" borderId="10" applyNumberFormat="0" applyAlignment="0" applyProtection="0"/>
    <xf numFmtId="0" fontId="9" fillId="20" borderId="10" applyNumberFormat="0" applyAlignment="0" applyProtection="0"/>
    <xf numFmtId="0" fontId="44" fillId="20" borderId="1" applyNumberFormat="0" applyAlignment="0" applyProtection="0"/>
    <xf numFmtId="0" fontId="10" fillId="20" borderId="1" applyNumberFormat="0" applyAlignment="0" applyProtection="0"/>
    <xf numFmtId="172" fontId="5" fillId="0" borderId="0" applyFont="0" applyFill="0" applyBorder="0" applyAlignment="0" applyProtection="0"/>
    <xf numFmtId="0" fontId="45" fillId="0" borderId="4" applyNumberFormat="0" applyFill="0" applyAlignment="0" applyProtection="0"/>
    <xf numFmtId="0" fontId="11" fillId="0" borderId="4" applyNumberFormat="0" applyFill="0" applyAlignment="0" applyProtection="0"/>
    <xf numFmtId="0" fontId="46" fillId="0" borderId="5" applyNumberFormat="0" applyFill="0" applyAlignment="0" applyProtection="0"/>
    <xf numFmtId="0" fontId="12" fillId="0" borderId="5" applyNumberFormat="0" applyFill="0" applyAlignment="0" applyProtection="0"/>
    <xf numFmtId="0" fontId="47" fillId="0" borderId="6" applyNumberFormat="0" applyFill="0" applyAlignment="0" applyProtection="0"/>
    <xf numFmtId="0" fontId="13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14" fillId="0" borderId="11" applyNumberFormat="0" applyFill="0" applyAlignment="0" applyProtection="0"/>
    <xf numFmtId="0" fontId="49" fillId="21" borderId="2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17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5" fillId="0" borderId="0"/>
    <xf numFmtId="0" fontId="2" fillId="0" borderId="0"/>
    <xf numFmtId="0" fontId="5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1" fillId="3" borderId="0" applyNumberFormat="0" applyBorder="0" applyAlignment="0" applyProtection="0"/>
    <xf numFmtId="0" fontId="18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5" borderId="9" applyNumberFormat="0" applyFont="0" applyAlignment="0" applyProtection="0"/>
    <xf numFmtId="0" fontId="5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20" fillId="0" borderId="8" applyNumberFormat="0" applyFill="0" applyAlignment="0" applyProtection="0"/>
    <xf numFmtId="0" fontId="2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57" fillId="0" borderId="0" applyFont="0" applyFill="0" applyBorder="0" applyAlignment="0" applyProtection="0"/>
    <xf numFmtId="174" fontId="5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8" fillId="4" borderId="0" applyNumberFormat="0" applyBorder="0" applyAlignment="0" applyProtection="0"/>
    <xf numFmtId="0" fontId="22" fillId="4" borderId="0" applyNumberFormat="0" applyBorder="0" applyAlignment="0" applyProtection="0"/>
    <xf numFmtId="176" fontId="59" fillId="22" borderId="12" applyFill="0" applyBorder="0">
      <alignment horizontal="center" vertical="center" wrapText="1"/>
      <protection locked="0"/>
    </xf>
    <xf numFmtId="171" fontId="60" fillId="0" borderId="0">
      <alignment wrapText="1"/>
    </xf>
    <xf numFmtId="171" fontId="27" fillId="0" borderId="0">
      <alignment wrapText="1"/>
    </xf>
    <xf numFmtId="0" fontId="4" fillId="0" borderId="0"/>
  </cellStyleXfs>
  <cellXfs count="343">
    <xf numFmtId="0" fontId="0" fillId="0" borderId="0" xfId="0"/>
    <xf numFmtId="0" fontId="61" fillId="0" borderId="3" xfId="182" applyFont="1" applyFill="1" applyBorder="1" applyAlignment="1">
      <alignment horizontal="left" vertical="top" wrapText="1"/>
      <protection locked="0"/>
    </xf>
    <xf numFmtId="0" fontId="66" fillId="0" borderId="3" xfId="182" applyFont="1" applyFill="1" applyBorder="1" applyAlignment="1">
      <alignment horizontal="left" vertical="top" wrapText="1"/>
      <protection locked="0"/>
    </xf>
    <xf numFmtId="177" fontId="61" fillId="0" borderId="3" xfId="323" applyNumberFormat="1" applyFont="1" applyFill="1" applyBorder="1" applyAlignment="1" applyProtection="1">
      <alignment horizontal="right" vertical="top" wrapText="1"/>
      <protection locked="0"/>
    </xf>
    <xf numFmtId="177" fontId="61" fillId="0" borderId="3" xfId="323" applyNumberFormat="1" applyFont="1" applyFill="1" applyBorder="1" applyAlignment="1" applyProtection="1">
      <alignment horizontal="center" vertical="top" wrapText="1"/>
      <protection locked="0"/>
    </xf>
    <xf numFmtId="0" fontId="61" fillId="0" borderId="0" xfId="0" applyFont="1" applyAlignment="1" applyProtection="1">
      <alignment vertical="top"/>
      <protection locked="0"/>
    </xf>
    <xf numFmtId="0" fontId="61" fillId="0" borderId="0" xfId="0" applyFont="1" applyAlignment="1" applyProtection="1">
      <alignment horizontal="right" vertical="top"/>
      <protection locked="0"/>
    </xf>
    <xf numFmtId="0" fontId="61" fillId="0" borderId="0" xfId="0" applyFont="1" applyAlignment="1" applyProtection="1">
      <alignment horizontal="center" vertical="top"/>
      <protection locked="0"/>
    </xf>
    <xf numFmtId="0" fontId="63" fillId="0" borderId="0" xfId="0" applyFont="1" applyAlignment="1">
      <alignment vertical="top"/>
    </xf>
    <xf numFmtId="0" fontId="61" fillId="0" borderId="0" xfId="0" applyFont="1" applyAlignment="1">
      <alignment vertical="top"/>
    </xf>
    <xf numFmtId="0" fontId="64" fillId="0" borderId="0" xfId="0" applyFont="1" applyAlignment="1" applyProtection="1">
      <alignment vertical="top"/>
      <protection locked="0"/>
    </xf>
    <xf numFmtId="0" fontId="61" fillId="0" borderId="0" xfId="0" applyFont="1" applyAlignment="1" applyProtection="1">
      <alignment vertical="top" wrapText="1"/>
      <protection locked="0"/>
    </xf>
    <xf numFmtId="0" fontId="61" fillId="0" borderId="0" xfId="0" applyFont="1" applyAlignment="1" applyProtection="1">
      <alignment horizontal="left" vertical="top" wrapText="1"/>
      <protection locked="0"/>
    </xf>
    <xf numFmtId="0" fontId="61" fillId="0" borderId="14" xfId="0" applyFont="1" applyBorder="1" applyAlignment="1" applyProtection="1">
      <alignment vertical="top"/>
      <protection locked="0"/>
    </xf>
    <xf numFmtId="0" fontId="61" fillId="0" borderId="17" xfId="0" applyFont="1" applyBorder="1" applyAlignment="1" applyProtection="1">
      <alignment vertical="top"/>
      <protection locked="0"/>
    </xf>
    <xf numFmtId="0" fontId="61" fillId="0" borderId="3" xfId="0" applyFont="1" applyBorder="1" applyAlignment="1" applyProtection="1">
      <alignment horizontal="left" vertical="top"/>
      <protection locked="0"/>
    </xf>
    <xf numFmtId="0" fontId="61" fillId="0" borderId="3" xfId="0" applyFont="1" applyBorder="1" applyAlignment="1" applyProtection="1">
      <alignment horizontal="center" vertical="top"/>
      <protection locked="0"/>
    </xf>
    <xf numFmtId="0" fontId="61" fillId="0" borderId="14" xfId="0" applyFont="1" applyBorder="1" applyAlignment="1" applyProtection="1">
      <alignment vertical="top" wrapText="1"/>
      <protection locked="0"/>
    </xf>
    <xf numFmtId="0" fontId="61" fillId="0" borderId="17" xfId="0" applyFont="1" applyBorder="1" applyAlignment="1" applyProtection="1">
      <alignment vertical="top" wrapText="1"/>
      <protection locked="0"/>
    </xf>
    <xf numFmtId="0" fontId="61" fillId="0" borderId="3" xfId="0" applyFont="1" applyBorder="1" applyAlignment="1" applyProtection="1">
      <alignment vertical="top"/>
      <protection locked="0"/>
    </xf>
    <xf numFmtId="0" fontId="61" fillId="0" borderId="3" xfId="0" applyFont="1" applyBorder="1" applyAlignment="1" applyProtection="1">
      <alignment vertical="top" wrapText="1"/>
      <protection locked="0"/>
    </xf>
    <xf numFmtId="0" fontId="61" fillId="0" borderId="18" xfId="0" applyFont="1" applyBorder="1" applyAlignment="1" applyProtection="1">
      <alignment vertical="top" wrapText="1"/>
      <protection locked="0"/>
    </xf>
    <xf numFmtId="0" fontId="61" fillId="0" borderId="18" xfId="0" applyFont="1" applyBorder="1" applyAlignment="1" applyProtection="1">
      <alignment vertical="top"/>
      <protection locked="0"/>
    </xf>
    <xf numFmtId="0" fontId="61" fillId="0" borderId="0" xfId="0" applyFont="1" applyAlignment="1" applyProtection="1">
      <alignment horizontal="left" vertical="top"/>
      <protection locked="0"/>
    </xf>
    <xf numFmtId="0" fontId="66" fillId="0" borderId="0" xfId="0" applyFont="1" applyAlignment="1">
      <alignment horizontal="center" vertical="top"/>
    </xf>
    <xf numFmtId="0" fontId="61" fillId="0" borderId="0" xfId="0" applyFont="1" applyAlignment="1">
      <alignment horizontal="left" vertical="top"/>
    </xf>
    <xf numFmtId="0" fontId="61" fillId="0" borderId="3" xfId="0" applyFont="1" applyBorder="1" applyAlignment="1">
      <alignment horizontal="center" vertical="top"/>
    </xf>
    <xf numFmtId="0" fontId="61" fillId="0" borderId="3" xfId="0" applyFont="1" applyBorder="1" applyAlignment="1">
      <alignment horizontal="center" vertical="top" wrapText="1"/>
    </xf>
    <xf numFmtId="0" fontId="61" fillId="0" borderId="13" xfId="0" applyFont="1" applyBorder="1" applyAlignment="1">
      <alignment horizontal="center" vertical="top" wrapText="1"/>
    </xf>
    <xf numFmtId="0" fontId="61" fillId="0" borderId="3" xfId="245" applyFont="1" applyBorder="1" applyAlignment="1">
      <alignment horizontal="center" vertical="top"/>
    </xf>
    <xf numFmtId="3" fontId="61" fillId="0" borderId="3" xfId="0" applyNumberFormat="1" applyFont="1" applyBorder="1" applyAlignment="1">
      <alignment horizontal="center" vertical="top" wrapText="1"/>
    </xf>
    <xf numFmtId="170" fontId="61" fillId="0" borderId="3" xfId="0" applyNumberFormat="1" applyFont="1" applyBorder="1" applyAlignment="1">
      <alignment horizontal="center" vertical="top" wrapText="1"/>
    </xf>
    <xf numFmtId="170" fontId="68" fillId="0" borderId="3" xfId="0" applyNumberFormat="1" applyFont="1" applyBorder="1" applyAlignment="1">
      <alignment horizontal="center" vertical="top" wrapText="1"/>
    </xf>
    <xf numFmtId="0" fontId="66" fillId="0" borderId="3" xfId="0" applyFont="1" applyBorder="1" applyAlignment="1">
      <alignment horizontal="left" vertical="top" wrapText="1"/>
    </xf>
    <xf numFmtId="0" fontId="66" fillId="0" borderId="3" xfId="0" applyFont="1" applyBorder="1" applyAlignment="1" applyProtection="1">
      <alignment horizontal="left" vertical="top" wrapText="1"/>
      <protection locked="0"/>
    </xf>
    <xf numFmtId="0" fontId="61" fillId="0" borderId="3" xfId="0" applyFont="1" applyBorder="1" applyAlignment="1" applyProtection="1">
      <alignment horizontal="left" vertical="top" wrapText="1"/>
      <protection locked="0"/>
    </xf>
    <xf numFmtId="9" fontId="61" fillId="0" borderId="3" xfId="0" applyNumberFormat="1" applyFont="1" applyBorder="1" applyAlignment="1">
      <alignment horizontal="center" vertical="top" wrapText="1"/>
    </xf>
    <xf numFmtId="0" fontId="61" fillId="0" borderId="3" xfId="0" applyFont="1" applyBorder="1" applyAlignment="1">
      <alignment horizontal="left" vertical="top" wrapText="1"/>
    </xf>
    <xf numFmtId="0" fontId="61" fillId="0" borderId="3" xfId="245" applyFont="1" applyBorder="1" applyAlignment="1">
      <alignment horizontal="left" vertical="top" wrapText="1"/>
    </xf>
    <xf numFmtId="3" fontId="61" fillId="0" borderId="3" xfId="0" applyNumberFormat="1" applyFont="1" applyBorder="1" applyAlignment="1" applyProtection="1">
      <alignment horizontal="center" vertical="top" wrapText="1"/>
      <protection locked="0"/>
    </xf>
    <xf numFmtId="1" fontId="73" fillId="0" borderId="3" xfId="0" applyNumberFormat="1" applyFont="1" applyBorder="1" applyAlignment="1" applyProtection="1">
      <alignment horizontal="center" vertical="center" wrapText="1"/>
      <protection locked="0"/>
    </xf>
    <xf numFmtId="0" fontId="73" fillId="0" borderId="3" xfId="0" applyFont="1" applyBorder="1" applyAlignment="1" applyProtection="1">
      <alignment horizontal="center" vertical="center" wrapText="1"/>
      <protection locked="0"/>
    </xf>
    <xf numFmtId="0" fontId="66" fillId="0" borderId="0" xfId="0" applyFont="1" applyAlignment="1">
      <alignment vertical="top"/>
    </xf>
    <xf numFmtId="3" fontId="69" fillId="0" borderId="3" xfId="0" applyNumberFormat="1" applyFont="1" applyBorder="1" applyAlignment="1" applyProtection="1">
      <alignment horizontal="center" vertical="top" wrapText="1"/>
      <protection locked="0"/>
    </xf>
    <xf numFmtId="3" fontId="61" fillId="0" borderId="0" xfId="0" applyNumberFormat="1" applyFont="1" applyAlignment="1" applyProtection="1">
      <alignment horizontal="center" vertical="top"/>
      <protection locked="0"/>
    </xf>
    <xf numFmtId="0" fontId="66" fillId="0" borderId="0" xfId="0" applyFont="1" applyAlignment="1" applyProtection="1">
      <alignment horizontal="left" vertical="top" wrapText="1"/>
      <protection locked="0"/>
    </xf>
    <xf numFmtId="0" fontId="61" fillId="0" borderId="0" xfId="0" quotePrefix="1" applyFont="1" applyAlignment="1" applyProtection="1">
      <alignment horizontal="center" vertical="top"/>
      <protection locked="0"/>
    </xf>
    <xf numFmtId="0" fontId="61" fillId="0" borderId="0" xfId="0" applyFont="1" applyAlignment="1" applyProtection="1">
      <alignment vertical="center"/>
      <protection locked="0"/>
    </xf>
    <xf numFmtId="0" fontId="61" fillId="0" borderId="0" xfId="0" applyFont="1" applyAlignment="1">
      <alignment horizontal="left" vertical="top" wrapText="1"/>
    </xf>
    <xf numFmtId="0" fontId="61" fillId="0" borderId="0" xfId="0" applyFont="1" applyAlignment="1">
      <alignment vertical="top" wrapText="1"/>
    </xf>
    <xf numFmtId="0" fontId="61" fillId="0" borderId="0" xfId="0" applyFont="1" applyAlignment="1">
      <alignment horizontal="center" vertical="top"/>
    </xf>
    <xf numFmtId="0" fontId="61" fillId="0" borderId="0" xfId="0" applyFont="1" applyAlignment="1">
      <alignment horizontal="right" vertical="top"/>
    </xf>
    <xf numFmtId="0" fontId="69" fillId="0" borderId="0" xfId="0" applyFont="1" applyAlignment="1">
      <alignment horizontal="left" vertical="top"/>
    </xf>
    <xf numFmtId="0" fontId="66" fillId="0" borderId="0" xfId="0" applyFont="1" applyAlignment="1">
      <alignment horizontal="center" vertical="top" wrapText="1"/>
    </xf>
    <xf numFmtId="0" fontId="61" fillId="0" borderId="0" xfId="0" applyFont="1" applyAlignment="1">
      <alignment horizontal="center" vertical="top" wrapText="1"/>
    </xf>
    <xf numFmtId="0" fontId="61" fillId="0" borderId="0" xfId="0" applyFont="1" applyAlignment="1">
      <alignment horizontal="right" vertical="top" wrapText="1"/>
    </xf>
    <xf numFmtId="0" fontId="69" fillId="0" borderId="0" xfId="0" applyFont="1" applyAlignment="1">
      <alignment horizontal="center" vertical="top" wrapText="1"/>
    </xf>
    <xf numFmtId="0" fontId="75" fillId="0" borderId="3" xfId="0" applyFont="1" applyBorder="1" applyAlignment="1">
      <alignment horizontal="center" vertical="top" wrapText="1"/>
    </xf>
    <xf numFmtId="0" fontId="76" fillId="0" borderId="13" xfId="0" applyFont="1" applyBorder="1" applyAlignment="1">
      <alignment horizontal="center" vertical="top" wrapText="1"/>
    </xf>
    <xf numFmtId="0" fontId="75" fillId="0" borderId="13" xfId="0" applyFont="1" applyBorder="1" applyAlignment="1">
      <alignment horizontal="center" vertical="top" wrapText="1"/>
    </xf>
    <xf numFmtId="0" fontId="61" fillId="0" borderId="3" xfId="0" applyFont="1" applyBorder="1" applyAlignment="1">
      <alignment horizontal="right" vertical="top" wrapText="1"/>
    </xf>
    <xf numFmtId="0" fontId="69" fillId="0" borderId="3" xfId="0" applyFont="1" applyBorder="1" applyAlignment="1">
      <alignment horizontal="center" vertical="top" wrapText="1"/>
    </xf>
    <xf numFmtId="0" fontId="66" fillId="0" borderId="3" xfId="0" quotePrefix="1" applyFont="1" applyBorder="1" applyAlignment="1">
      <alignment horizontal="center" vertical="top"/>
    </xf>
    <xf numFmtId="3" fontId="66" fillId="0" borderId="3" xfId="0" quotePrefix="1" applyNumberFormat="1" applyFont="1" applyBorder="1" applyAlignment="1" applyProtection="1">
      <alignment horizontal="center" vertical="top" wrapText="1"/>
      <protection locked="0"/>
    </xf>
    <xf numFmtId="3" fontId="69" fillId="0" borderId="3" xfId="0" quotePrefix="1" applyNumberFormat="1" applyFont="1" applyBorder="1" applyAlignment="1" applyProtection="1">
      <alignment horizontal="center" vertical="top" wrapText="1"/>
      <protection locked="0"/>
    </xf>
    <xf numFmtId="170" fontId="61" fillId="0" borderId="3" xfId="0" quotePrefix="1" applyNumberFormat="1" applyFont="1" applyBorder="1" applyAlignment="1" applyProtection="1">
      <alignment horizontal="center" vertical="top" wrapText="1"/>
      <protection locked="0"/>
    </xf>
    <xf numFmtId="49" fontId="61" fillId="0" borderId="3" xfId="0" quotePrefix="1" applyNumberFormat="1" applyFont="1" applyBorder="1" applyAlignment="1" applyProtection="1">
      <alignment horizontal="left" vertical="top" wrapText="1"/>
      <protection locked="0"/>
    </xf>
    <xf numFmtId="0" fontId="61" fillId="0" borderId="3" xfId="0" quotePrefix="1" applyFont="1" applyBorder="1" applyAlignment="1">
      <alignment horizontal="center" vertical="top"/>
    </xf>
    <xf numFmtId="3" fontId="61" fillId="0" borderId="3" xfId="0" quotePrefix="1" applyNumberFormat="1" applyFont="1" applyBorder="1" applyAlignment="1" applyProtection="1">
      <alignment horizontal="center" vertical="top" wrapText="1"/>
      <protection locked="0"/>
    </xf>
    <xf numFmtId="3" fontId="66" fillId="0" borderId="3" xfId="0" quotePrefix="1" applyNumberFormat="1" applyFont="1" applyBorder="1" applyAlignment="1">
      <alignment horizontal="center" vertical="top" wrapText="1"/>
    </xf>
    <xf numFmtId="49" fontId="61" fillId="0" borderId="3" xfId="0" quotePrefix="1" applyNumberFormat="1" applyFont="1" applyBorder="1" applyAlignment="1">
      <alignment horizontal="left" vertical="top" wrapText="1"/>
    </xf>
    <xf numFmtId="3" fontId="61" fillId="0" borderId="0" xfId="0" applyNumberFormat="1" applyFont="1" applyAlignment="1">
      <alignment vertical="top"/>
    </xf>
    <xf numFmtId="3" fontId="61" fillId="0" borderId="0" xfId="0" applyNumberFormat="1" applyFont="1" applyAlignment="1">
      <alignment horizontal="left" vertical="top"/>
    </xf>
    <xf numFmtId="49" fontId="61" fillId="0" borderId="3" xfId="0" applyNumberFormat="1" applyFont="1" applyBorder="1" applyAlignment="1" applyProtection="1">
      <alignment horizontal="left" vertical="top" wrapText="1"/>
      <protection locked="0"/>
    </xf>
    <xf numFmtId="3" fontId="61" fillId="0" borderId="3" xfId="0" quotePrefix="1" applyNumberFormat="1" applyFont="1" applyBorder="1" applyAlignment="1">
      <alignment horizontal="center" vertical="top" wrapText="1"/>
    </xf>
    <xf numFmtId="0" fontId="70" fillId="0" borderId="3" xfId="0" applyFont="1" applyBorder="1" applyAlignment="1">
      <alignment horizontal="left" vertical="top" wrapText="1"/>
    </xf>
    <xf numFmtId="170" fontId="61" fillId="0" borderId="3" xfId="0" applyNumberFormat="1" applyFont="1" applyBorder="1" applyAlignment="1" applyProtection="1">
      <alignment horizontal="center" vertical="top" wrapText="1"/>
      <protection locked="0"/>
    </xf>
    <xf numFmtId="49" fontId="66" fillId="0" borderId="3" xfId="0" quotePrefix="1" applyNumberFormat="1" applyFont="1" applyBorder="1" applyAlignment="1">
      <alignment horizontal="left" vertical="top" wrapText="1"/>
    </xf>
    <xf numFmtId="3" fontId="66" fillId="0" borderId="0" xfId="0" applyNumberFormat="1" applyFont="1" applyAlignment="1">
      <alignment vertical="top"/>
    </xf>
    <xf numFmtId="3" fontId="66" fillId="0" borderId="3" xfId="0" quotePrefix="1" applyNumberFormat="1" applyFont="1" applyBorder="1" applyAlignment="1">
      <alignment horizontal="center" vertical="top"/>
    </xf>
    <xf numFmtId="3" fontId="71" fillId="0" borderId="3" xfId="0" quotePrefix="1" applyNumberFormat="1" applyFont="1" applyBorder="1" applyAlignment="1" applyProtection="1">
      <alignment horizontal="center" vertical="top" wrapText="1"/>
      <protection locked="0"/>
    </xf>
    <xf numFmtId="170" fontId="66" fillId="0" borderId="3" xfId="0" quotePrefix="1" applyNumberFormat="1" applyFont="1" applyBorder="1" applyAlignment="1" applyProtection="1">
      <alignment horizontal="center" vertical="top" wrapText="1"/>
      <protection locked="0"/>
    </xf>
    <xf numFmtId="3" fontId="61" fillId="0" borderId="3" xfId="0" quotePrefix="1" applyNumberFormat="1" applyFont="1" applyBorder="1" applyAlignment="1">
      <alignment horizontal="center" vertical="top"/>
    </xf>
    <xf numFmtId="170" fontId="68" fillId="0" borderId="3" xfId="0" quotePrefix="1" applyNumberFormat="1" applyFont="1" applyBorder="1" applyAlignment="1" applyProtection="1">
      <alignment horizontal="center" vertical="top" wrapText="1"/>
      <protection locked="0"/>
    </xf>
    <xf numFmtId="3" fontId="61" fillId="0" borderId="3" xfId="0" applyNumberFormat="1" applyFont="1" applyBorder="1" applyAlignment="1">
      <alignment horizontal="center" vertical="top"/>
    </xf>
    <xf numFmtId="1" fontId="61" fillId="0" borderId="3" xfId="0" applyNumberFormat="1" applyFont="1" applyBorder="1" applyAlignment="1" applyProtection="1">
      <alignment horizontal="center" vertical="top" wrapText="1"/>
      <protection locked="0"/>
    </xf>
    <xf numFmtId="1" fontId="69" fillId="0" borderId="3" xfId="0" applyNumberFormat="1" applyFont="1" applyBorder="1" applyAlignment="1" applyProtection="1">
      <alignment horizontal="center" vertical="top" wrapText="1"/>
      <protection locked="0"/>
    </xf>
    <xf numFmtId="0" fontId="66" fillId="0" borderId="3" xfId="0" applyFont="1" applyBorder="1" applyAlignment="1">
      <alignment horizontal="left" vertical="top" wrapText="1" shrinkToFit="1"/>
    </xf>
    <xf numFmtId="0" fontId="61" fillId="0" borderId="3" xfId="0" quotePrefix="1" applyFont="1" applyBorder="1" applyAlignment="1" applyProtection="1">
      <alignment horizontal="center" vertical="top"/>
      <protection locked="0"/>
    </xf>
    <xf numFmtId="3" fontId="70" fillId="0" borderId="3" xfId="0" quotePrefix="1" applyNumberFormat="1" applyFont="1" applyBorder="1" applyAlignment="1" applyProtection="1">
      <alignment horizontal="center" vertical="top" wrapText="1"/>
      <protection locked="0"/>
    </xf>
    <xf numFmtId="3" fontId="66" fillId="0" borderId="3" xfId="0" applyNumberFormat="1" applyFont="1" applyBorder="1" applyAlignment="1" applyProtection="1">
      <alignment horizontal="center" vertical="top" wrapText="1"/>
      <protection locked="0"/>
    </xf>
    <xf numFmtId="49" fontId="66" fillId="0" borderId="3" xfId="0" quotePrefix="1" applyNumberFormat="1" applyFont="1" applyBorder="1" applyAlignment="1" applyProtection="1">
      <alignment horizontal="left" vertical="top" wrapText="1"/>
      <protection locked="0"/>
    </xf>
    <xf numFmtId="0" fontId="66" fillId="0" borderId="0" xfId="0" quotePrefix="1" applyFont="1" applyAlignment="1" applyProtection="1">
      <alignment horizontal="center" vertical="top"/>
      <protection locked="0"/>
    </xf>
    <xf numFmtId="0" fontId="66" fillId="0" borderId="0" xfId="0" applyFont="1" applyAlignment="1" applyProtection="1">
      <alignment horizontal="right" vertical="top"/>
      <protection locked="0"/>
    </xf>
    <xf numFmtId="3" fontId="66" fillId="0" borderId="0" xfId="0" quotePrefix="1" applyNumberFormat="1" applyFont="1" applyAlignment="1" applyProtection="1">
      <alignment horizontal="center" vertical="top"/>
      <protection locked="0"/>
    </xf>
    <xf numFmtId="0" fontId="71" fillId="0" borderId="0" xfId="0" quotePrefix="1" applyFont="1" applyAlignment="1" applyProtection="1">
      <alignment horizontal="center" vertical="top"/>
      <protection locked="0"/>
    </xf>
    <xf numFmtId="0" fontId="69" fillId="0" borderId="0" xfId="0" applyFont="1" applyAlignment="1" applyProtection="1">
      <alignment horizontal="center" vertical="top"/>
      <protection locked="0"/>
    </xf>
    <xf numFmtId="1" fontId="61" fillId="0" borderId="0" xfId="0" applyNumberFormat="1" applyFont="1" applyAlignment="1">
      <alignment horizontal="right" vertical="top"/>
    </xf>
    <xf numFmtId="0" fontId="69" fillId="0" borderId="0" xfId="0" applyFont="1" applyAlignment="1">
      <alignment horizontal="center" vertical="top"/>
    </xf>
    <xf numFmtId="14" fontId="61" fillId="0" borderId="0" xfId="0" applyNumberFormat="1" applyFont="1" applyAlignment="1">
      <alignment horizontal="center" vertical="top"/>
    </xf>
    <xf numFmtId="0" fontId="61" fillId="0" borderId="0" xfId="245" applyFont="1" applyAlignment="1">
      <alignment vertical="top"/>
    </xf>
    <xf numFmtId="0" fontId="61" fillId="0" borderId="0" xfId="245" applyFont="1" applyAlignment="1">
      <alignment horizontal="center" vertical="top"/>
    </xf>
    <xf numFmtId="0" fontId="66" fillId="0" borderId="0" xfId="245" applyFont="1" applyAlignment="1">
      <alignment horizontal="center" vertical="top"/>
    </xf>
    <xf numFmtId="0" fontId="61" fillId="0" borderId="3" xfId="245" applyFont="1" applyBorder="1" applyAlignment="1">
      <alignment horizontal="center" vertical="top" wrapText="1"/>
    </xf>
    <xf numFmtId="0" fontId="66" fillId="0" borderId="0" xfId="245" applyFont="1" applyAlignment="1">
      <alignment vertical="top"/>
    </xf>
    <xf numFmtId="0" fontId="66" fillId="0" borderId="3" xfId="245" applyFont="1" applyBorder="1" applyAlignment="1">
      <alignment horizontal="left" vertical="top" wrapText="1"/>
    </xf>
    <xf numFmtId="0" fontId="66" fillId="0" borderId="3" xfId="0" applyFont="1" applyBorder="1" applyAlignment="1">
      <alignment horizontal="center" vertical="top"/>
    </xf>
    <xf numFmtId="3" fontId="66" fillId="0" borderId="3" xfId="0" applyNumberFormat="1" applyFont="1" applyBorder="1" applyAlignment="1">
      <alignment horizontal="center" vertical="top" wrapText="1"/>
    </xf>
    <xf numFmtId="170" fontId="66" fillId="0" borderId="3" xfId="0" applyNumberFormat="1" applyFont="1" applyBorder="1" applyAlignment="1">
      <alignment horizontal="center" vertical="top" wrapText="1"/>
    </xf>
    <xf numFmtId="0" fontId="66" fillId="0" borderId="3" xfId="245" applyFont="1" applyBorder="1" applyAlignment="1">
      <alignment horizontal="center" vertical="top"/>
    </xf>
    <xf numFmtId="3" fontId="66" fillId="0" borderId="3" xfId="245" applyNumberFormat="1" applyFont="1" applyBorder="1" applyAlignment="1">
      <alignment horizontal="center" vertical="top" wrapText="1"/>
    </xf>
    <xf numFmtId="3" fontId="61" fillId="0" borderId="3" xfId="245" applyNumberFormat="1" applyFont="1" applyBorder="1" applyAlignment="1">
      <alignment horizontal="center" vertical="top" wrapText="1"/>
    </xf>
    <xf numFmtId="0" fontId="61" fillId="0" borderId="0" xfId="245" applyFont="1" applyAlignment="1" applyProtection="1">
      <alignment horizontal="left" vertical="top" wrapText="1"/>
      <protection locked="0"/>
    </xf>
    <xf numFmtId="0" fontId="61" fillId="0" borderId="0" xfId="245" applyFont="1" applyAlignment="1" applyProtection="1">
      <alignment horizontal="center" vertical="top"/>
      <protection locked="0"/>
    </xf>
    <xf numFmtId="0" fontId="61" fillId="0" borderId="0" xfId="245" applyFont="1" applyAlignment="1" applyProtection="1">
      <alignment vertical="top" wrapText="1"/>
      <protection locked="0"/>
    </xf>
    <xf numFmtId="0" fontId="61" fillId="0" borderId="0" xfId="245" applyFont="1" applyAlignment="1">
      <alignment vertical="top" wrapText="1"/>
    </xf>
    <xf numFmtId="0" fontId="69" fillId="0" borderId="0" xfId="0" applyFont="1" applyAlignment="1">
      <alignment vertical="top"/>
    </xf>
    <xf numFmtId="0" fontId="69" fillId="0" borderId="0" xfId="0" applyFont="1" applyAlignment="1">
      <alignment horizontal="right" vertical="top"/>
    </xf>
    <xf numFmtId="0" fontId="61" fillId="0" borderId="3" xfId="0" applyFont="1" applyBorder="1" applyAlignment="1">
      <alignment horizontal="center" vertical="top" wrapText="1" shrinkToFit="1"/>
    </xf>
    <xf numFmtId="0" fontId="61" fillId="0" borderId="23" xfId="0" applyFont="1" applyBorder="1" applyAlignment="1">
      <alignment horizontal="center" vertical="top" wrapText="1"/>
    </xf>
    <xf numFmtId="0" fontId="69" fillId="0" borderId="3" xfId="0" applyFont="1" applyBorder="1" applyAlignment="1">
      <alignment horizontal="center" vertical="top" wrapText="1" shrinkToFit="1"/>
    </xf>
    <xf numFmtId="0" fontId="61" fillId="0" borderId="14" xfId="0" applyFont="1" applyBorder="1" applyAlignment="1">
      <alignment horizontal="center" vertical="top" wrapText="1" shrinkToFit="1"/>
    </xf>
    <xf numFmtId="0" fontId="63" fillId="0" borderId="0" xfId="245" applyFont="1" applyAlignment="1">
      <alignment vertical="top"/>
    </xf>
    <xf numFmtId="3" fontId="69" fillId="0" borderId="3" xfId="0" quotePrefix="1" applyNumberFormat="1" applyFont="1" applyBorder="1" applyAlignment="1">
      <alignment horizontal="center" vertical="top" wrapText="1"/>
    </xf>
    <xf numFmtId="170" fontId="61" fillId="0" borderId="14" xfId="0" quotePrefix="1" applyNumberFormat="1" applyFont="1" applyBorder="1" applyAlignment="1">
      <alignment horizontal="center" vertical="top" wrapText="1"/>
    </xf>
    <xf numFmtId="0" fontId="61" fillId="0" borderId="3" xfId="0" applyFont="1" applyBorder="1" applyAlignment="1">
      <alignment vertical="top"/>
    </xf>
    <xf numFmtId="170" fontId="69" fillId="0" borderId="3" xfId="0" applyNumberFormat="1" applyFont="1" applyBorder="1" applyAlignment="1">
      <alignment horizontal="center" vertical="top" wrapText="1"/>
    </xf>
    <xf numFmtId="170" fontId="61" fillId="0" borderId="14" xfId="0" applyNumberFormat="1" applyFont="1" applyBorder="1" applyAlignment="1">
      <alignment horizontal="center" vertical="top" wrapText="1"/>
    </xf>
    <xf numFmtId="3" fontId="69" fillId="0" borderId="3" xfId="0" applyNumberFormat="1" applyFont="1" applyBorder="1" applyAlignment="1">
      <alignment horizontal="center" vertical="top" wrapText="1"/>
    </xf>
    <xf numFmtId="3" fontId="68" fillId="0" borderId="3" xfId="0" quotePrefix="1" applyNumberFormat="1" applyFont="1" applyBorder="1" applyAlignment="1">
      <alignment horizontal="center" vertical="top" wrapText="1"/>
    </xf>
    <xf numFmtId="170" fontId="68" fillId="0" borderId="14" xfId="0" quotePrefix="1" applyNumberFormat="1" applyFont="1" applyBorder="1" applyAlignment="1">
      <alignment horizontal="center" vertical="top" wrapText="1"/>
    </xf>
    <xf numFmtId="3" fontId="68" fillId="0" borderId="3" xfId="0" applyNumberFormat="1" applyFont="1" applyBorder="1" applyAlignment="1">
      <alignment horizontal="center" vertical="top" wrapText="1"/>
    </xf>
    <xf numFmtId="170" fontId="68" fillId="0" borderId="14" xfId="0" applyNumberFormat="1" applyFont="1" applyBorder="1" applyAlignment="1">
      <alignment horizontal="center" vertical="top" wrapText="1"/>
    </xf>
    <xf numFmtId="0" fontId="61" fillId="0" borderId="3" xfId="245" applyFont="1" applyBorder="1" applyAlignment="1">
      <alignment horizontal="left" vertical="top"/>
    </xf>
    <xf numFmtId="1" fontId="68" fillId="0" borderId="3" xfId="0" applyNumberFormat="1" applyFont="1" applyBorder="1" applyAlignment="1" applyProtection="1">
      <alignment horizontal="center" vertical="top" wrapText="1"/>
      <protection locked="0"/>
    </xf>
    <xf numFmtId="1" fontId="68" fillId="0" borderId="14" xfId="0" applyNumberFormat="1" applyFont="1" applyBorder="1" applyAlignment="1" applyProtection="1">
      <alignment horizontal="center" vertical="top" wrapText="1"/>
      <protection locked="0"/>
    </xf>
    <xf numFmtId="3" fontId="71" fillId="0" borderId="3" xfId="0" applyNumberFormat="1" applyFont="1" applyBorder="1" applyAlignment="1">
      <alignment horizontal="center" vertical="top" wrapText="1"/>
    </xf>
    <xf numFmtId="3" fontId="78" fillId="0" borderId="3" xfId="0" quotePrefix="1" applyNumberFormat="1" applyFont="1" applyBorder="1" applyAlignment="1">
      <alignment horizontal="center" vertical="top" wrapText="1"/>
    </xf>
    <xf numFmtId="170" fontId="78" fillId="0" borderId="14" xfId="0" quotePrefix="1" applyNumberFormat="1" applyFont="1" applyBorder="1" applyAlignment="1">
      <alignment horizontal="center" vertical="top" wrapText="1"/>
    </xf>
    <xf numFmtId="0" fontId="68" fillId="0" borderId="3" xfId="0" applyFont="1" applyBorder="1" applyAlignment="1" applyProtection="1">
      <alignment horizontal="center" vertical="top" wrapText="1"/>
      <protection locked="0"/>
    </xf>
    <xf numFmtId="0" fontId="68" fillId="0" borderId="14" xfId="0" applyFont="1" applyBorder="1" applyAlignment="1" applyProtection="1">
      <alignment horizontal="center" vertical="top" wrapText="1"/>
      <protection locked="0"/>
    </xf>
    <xf numFmtId="170" fontId="69" fillId="0" borderId="3" xfId="0" quotePrefix="1" applyNumberFormat="1" applyFont="1" applyBorder="1" applyAlignment="1">
      <alignment horizontal="center" vertical="top" wrapText="1"/>
    </xf>
    <xf numFmtId="170" fontId="69" fillId="0" borderId="3" xfId="0" applyNumberFormat="1" applyFont="1" applyBorder="1" applyAlignment="1">
      <alignment vertical="top"/>
    </xf>
    <xf numFmtId="3" fontId="61" fillId="0" borderId="3" xfId="0" applyNumberFormat="1" applyFont="1" applyBorder="1" applyAlignment="1">
      <alignment vertical="top"/>
    </xf>
    <xf numFmtId="3" fontId="68" fillId="0" borderId="3" xfId="0" applyNumberFormat="1" applyFont="1" applyBorder="1" applyAlignment="1">
      <alignment vertical="top"/>
    </xf>
    <xf numFmtId="0" fontId="68" fillId="0" borderId="14" xfId="0" applyFont="1" applyBorder="1" applyAlignment="1">
      <alignment vertical="top"/>
    </xf>
    <xf numFmtId="0" fontId="69" fillId="0" borderId="0" xfId="0" quotePrefix="1" applyFont="1" applyAlignment="1" applyProtection="1">
      <alignment horizontal="center" vertical="top"/>
      <protection locked="0"/>
    </xf>
    <xf numFmtId="170" fontId="61" fillId="0" borderId="0" xfId="0" applyNumberFormat="1" applyFont="1" applyAlignment="1" applyProtection="1">
      <alignment horizontal="center" vertical="top" wrapText="1"/>
      <protection locked="0"/>
    </xf>
    <xf numFmtId="170" fontId="61" fillId="0" borderId="0" xfId="0" quotePrefix="1" applyNumberFormat="1" applyFont="1" applyAlignment="1" applyProtection="1">
      <alignment vertical="top" wrapText="1"/>
      <protection locked="0"/>
    </xf>
    <xf numFmtId="0" fontId="69" fillId="0" borderId="0" xfId="0" applyFont="1" applyAlignment="1" applyProtection="1">
      <alignment vertical="top"/>
      <protection locked="0"/>
    </xf>
    <xf numFmtId="1" fontId="73" fillId="0" borderId="3" xfId="0" applyNumberFormat="1" applyFont="1" applyBorder="1" applyAlignment="1">
      <alignment horizontal="center" vertical="center" wrapText="1"/>
    </xf>
    <xf numFmtId="170" fontId="61" fillId="0" borderId="3" xfId="0" quotePrefix="1" applyNumberFormat="1" applyFont="1" applyBorder="1" applyAlignment="1">
      <alignment horizontal="center" vertical="top" wrapText="1"/>
    </xf>
    <xf numFmtId="0" fontId="61" fillId="0" borderId="3" xfId="237" applyFont="1" applyBorder="1" applyAlignment="1">
      <alignment horizontal="center" vertical="top"/>
    </xf>
    <xf numFmtId="0" fontId="61" fillId="0" borderId="3" xfId="237" applyFont="1" applyBorder="1" applyAlignment="1">
      <alignment horizontal="center" vertical="top" wrapText="1"/>
    </xf>
    <xf numFmtId="178" fontId="61" fillId="0" borderId="3" xfId="237" applyNumberFormat="1" applyFont="1" applyBorder="1" applyAlignment="1">
      <alignment horizontal="center" vertical="top" wrapText="1"/>
    </xf>
    <xf numFmtId="3" fontId="61" fillId="0" borderId="3" xfId="237" applyNumberFormat="1" applyFont="1" applyBorder="1" applyAlignment="1">
      <alignment horizontal="left" vertical="top" wrapText="1"/>
    </xf>
    <xf numFmtId="0" fontId="61" fillId="0" borderId="3" xfId="237" applyFont="1" applyBorder="1" applyAlignment="1">
      <alignment horizontal="left" vertical="top" wrapText="1"/>
    </xf>
    <xf numFmtId="170" fontId="61" fillId="0" borderId="3" xfId="237" applyNumberFormat="1" applyFont="1" applyBorder="1" applyAlignment="1">
      <alignment horizontal="center" vertical="top" wrapText="1"/>
    </xf>
    <xf numFmtId="4" fontId="61" fillId="0" borderId="3" xfId="237" applyNumberFormat="1" applyFont="1" applyBorder="1" applyAlignment="1">
      <alignment horizontal="center" vertical="top" wrapText="1"/>
    </xf>
    <xf numFmtId="49" fontId="61" fillId="0" borderId="3" xfId="237" applyNumberFormat="1" applyFont="1" applyBorder="1" applyAlignment="1">
      <alignment horizontal="left" vertical="top" wrapText="1"/>
    </xf>
    <xf numFmtId="0" fontId="72" fillId="0" borderId="0" xfId="0" applyFont="1" applyAlignment="1">
      <alignment vertical="top"/>
    </xf>
    <xf numFmtId="3" fontId="61" fillId="0" borderId="0" xfId="0" applyNumberFormat="1" applyFont="1" applyAlignment="1">
      <alignment horizontal="center" vertical="top" wrapText="1"/>
    </xf>
    <xf numFmtId="170" fontId="61" fillId="0" borderId="0" xfId="0" applyNumberFormat="1" applyFont="1" applyAlignment="1">
      <alignment horizontal="center" vertical="top" wrapText="1"/>
    </xf>
    <xf numFmtId="0" fontId="61" fillId="0" borderId="0" xfId="0" applyFont="1" applyAlignment="1">
      <alignment horizontal="left" vertical="top" wrapText="1" shrinkToFit="1"/>
    </xf>
    <xf numFmtId="0" fontId="61" fillId="0" borderId="14" xfId="0" applyFont="1" applyBorder="1" applyAlignment="1">
      <alignment horizontal="center" vertical="top"/>
    </xf>
    <xf numFmtId="49" fontId="61" fillId="0" borderId="3" xfId="0" applyNumberFormat="1" applyFont="1" applyBorder="1" applyAlignment="1">
      <alignment horizontal="left" vertical="top" wrapText="1"/>
    </xf>
    <xf numFmtId="49" fontId="61" fillId="0" borderId="0" xfId="0" applyNumberFormat="1" applyFont="1" applyAlignment="1">
      <alignment horizontal="center" vertical="top" wrapText="1"/>
    </xf>
    <xf numFmtId="49" fontId="61" fillId="0" borderId="0" xfId="0" applyNumberFormat="1" applyFont="1" applyAlignment="1">
      <alignment horizontal="left" vertical="top" wrapText="1"/>
    </xf>
    <xf numFmtId="49" fontId="61" fillId="0" borderId="0" xfId="0" applyNumberFormat="1" applyFont="1" applyAlignment="1">
      <alignment vertical="top"/>
    </xf>
    <xf numFmtId="177" fontId="61" fillId="0" borderId="3" xfId="0" applyNumberFormat="1" applyFont="1" applyBorder="1" applyAlignment="1">
      <alignment horizontal="center" vertical="top"/>
    </xf>
    <xf numFmtId="3" fontId="61" fillId="0" borderId="3" xfId="0" applyNumberFormat="1" applyFont="1" applyBorder="1" applyAlignment="1">
      <alignment horizontal="right" vertical="top" wrapText="1"/>
    </xf>
    <xf numFmtId="1" fontId="61" fillId="0" borderId="0" xfId="0" applyNumberFormat="1" applyFont="1" applyAlignment="1">
      <alignment horizontal="center" vertical="top"/>
    </xf>
    <xf numFmtId="3" fontId="4" fillId="0" borderId="0" xfId="354" applyNumberFormat="1"/>
    <xf numFmtId="3" fontId="66" fillId="0" borderId="0" xfId="0" applyNumberFormat="1" applyFont="1" applyAlignment="1">
      <alignment horizontal="center" vertical="top"/>
    </xf>
    <xf numFmtId="0" fontId="61" fillId="0" borderId="3" xfId="0" applyFont="1" applyBorder="1" applyAlignment="1">
      <alignment horizontal="left" vertical="top"/>
    </xf>
    <xf numFmtId="0" fontId="66" fillId="0" borderId="0" xfId="0" applyFont="1" applyAlignment="1">
      <alignment horizontal="right" vertical="top"/>
    </xf>
    <xf numFmtId="170" fontId="61" fillId="0" borderId="0" xfId="0" applyNumberFormat="1" applyFont="1" applyAlignment="1">
      <alignment vertical="top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vertical="center"/>
    </xf>
    <xf numFmtId="0" fontId="73" fillId="0" borderId="0" xfId="0" applyFont="1" applyAlignment="1">
      <alignment horizontal="right" vertical="center"/>
    </xf>
    <xf numFmtId="0" fontId="81" fillId="0" borderId="0" xfId="0" applyFont="1" applyAlignment="1">
      <alignment horizontal="left" vertical="center"/>
    </xf>
    <xf numFmtId="0" fontId="81" fillId="0" borderId="0" xfId="0" applyFont="1" applyAlignment="1">
      <alignment horizontal="left" vertical="center" wrapText="1"/>
    </xf>
    <xf numFmtId="0" fontId="81" fillId="0" borderId="15" xfId="0" applyFont="1" applyBorder="1" applyAlignment="1">
      <alignment horizontal="left" vertical="center" wrapText="1"/>
    </xf>
    <xf numFmtId="0" fontId="73" fillId="0" borderId="3" xfId="0" applyFont="1" applyBorder="1" applyAlignment="1">
      <alignment vertical="center" wrapText="1"/>
    </xf>
    <xf numFmtId="0" fontId="61" fillId="0" borderId="3" xfId="0" applyFont="1" applyBorder="1" applyAlignment="1">
      <alignment horizontal="center" vertical="center" wrapText="1" shrinkToFit="1"/>
    </xf>
    <xf numFmtId="0" fontId="77" fillId="0" borderId="0" xfId="0" applyFont="1" applyAlignment="1">
      <alignment vertical="center"/>
    </xf>
    <xf numFmtId="169" fontId="81" fillId="0" borderId="0" xfId="0" applyNumberFormat="1" applyFont="1" applyAlignment="1">
      <alignment horizontal="right" vertical="center" wrapText="1"/>
    </xf>
    <xf numFmtId="0" fontId="82" fillId="0" borderId="0" xfId="0" applyFont="1" applyAlignment="1">
      <alignment horizontal="left" vertical="center"/>
    </xf>
    <xf numFmtId="0" fontId="73" fillId="0" borderId="15" xfId="0" applyFont="1" applyBorder="1" applyAlignment="1">
      <alignment vertical="center"/>
    </xf>
    <xf numFmtId="0" fontId="73" fillId="0" borderId="15" xfId="0" applyFont="1" applyBorder="1" applyAlignment="1">
      <alignment horizontal="center" vertical="center"/>
    </xf>
    <xf numFmtId="0" fontId="77" fillId="0" borderId="0" xfId="0" applyFont="1" applyAlignment="1">
      <alignment horizontal="right" vertical="center"/>
    </xf>
    <xf numFmtId="0" fontId="73" fillId="0" borderId="3" xfId="0" applyFont="1" applyBorder="1" applyAlignment="1">
      <alignment horizontal="center" vertical="center" wrapText="1"/>
    </xf>
    <xf numFmtId="1" fontId="74" fillId="0" borderId="3" xfId="0" applyNumberFormat="1" applyFont="1" applyBorder="1" applyAlignment="1">
      <alignment vertical="top" wrapText="1"/>
    </xf>
    <xf numFmtId="0" fontId="73" fillId="0" borderId="3" xfId="0" applyFont="1" applyBorder="1" applyAlignment="1">
      <alignment vertical="top" wrapText="1"/>
    </xf>
    <xf numFmtId="4" fontId="74" fillId="0" borderId="3" xfId="0" applyNumberFormat="1" applyFont="1" applyBorder="1" applyAlignment="1">
      <alignment vertical="top" wrapText="1"/>
    </xf>
    <xf numFmtId="0" fontId="74" fillId="0" borderId="3" xfId="0" applyFont="1" applyBorder="1" applyAlignment="1">
      <alignment vertical="top" wrapText="1"/>
    </xf>
    <xf numFmtId="10" fontId="89" fillId="0" borderId="3" xfId="0" applyNumberFormat="1" applyFont="1" applyBorder="1" applyAlignment="1">
      <alignment vertical="top" wrapText="1"/>
    </xf>
    <xf numFmtId="1" fontId="77" fillId="0" borderId="3" xfId="0" applyNumberFormat="1" applyFont="1" applyBorder="1" applyAlignment="1" applyProtection="1">
      <alignment horizontal="center" vertical="top" wrapText="1"/>
      <protection locked="0"/>
    </xf>
    <xf numFmtId="10" fontId="74" fillId="0" borderId="3" xfId="0" applyNumberFormat="1" applyFont="1" applyBorder="1" applyAlignment="1">
      <alignment vertical="top" wrapText="1"/>
    </xf>
    <xf numFmtId="4" fontId="73" fillId="0" borderId="3" xfId="0" applyNumberFormat="1" applyFont="1" applyBorder="1" applyAlignment="1">
      <alignment horizontal="center" vertical="center" wrapText="1"/>
    </xf>
    <xf numFmtId="1" fontId="77" fillId="0" borderId="3" xfId="0" applyNumberFormat="1" applyFont="1" applyBorder="1" applyAlignment="1">
      <alignment horizontal="center" vertical="center" wrapText="1"/>
    </xf>
    <xf numFmtId="1" fontId="90" fillId="0" borderId="3" xfId="0" applyNumberFormat="1" applyFont="1" applyBorder="1" applyAlignment="1">
      <alignment horizontal="center" vertical="center" wrapText="1"/>
    </xf>
    <xf numFmtId="0" fontId="83" fillId="0" borderId="3" xfId="0" applyFont="1" applyBorder="1" applyAlignment="1">
      <alignment horizontal="center" vertical="center" wrapText="1"/>
    </xf>
    <xf numFmtId="0" fontId="77" fillId="0" borderId="3" xfId="0" applyFont="1" applyBorder="1" applyAlignment="1">
      <alignment horizontal="center" vertical="center" wrapText="1"/>
    </xf>
    <xf numFmtId="0" fontId="81" fillId="0" borderId="0" xfId="0" applyFont="1" applyAlignment="1">
      <alignment horizontal="right" vertical="center"/>
    </xf>
    <xf numFmtId="169" fontId="81" fillId="0" borderId="0" xfId="0" applyNumberFormat="1" applyFont="1" applyAlignment="1">
      <alignment horizontal="right"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4" fillId="0" borderId="0" xfId="0" applyFont="1"/>
    <xf numFmtId="0" fontId="84" fillId="0" borderId="0" xfId="0" applyFont="1" applyAlignment="1">
      <alignment horizontal="center" vertical="center"/>
    </xf>
    <xf numFmtId="0" fontId="73" fillId="0" borderId="3" xfId="0" applyFont="1" applyBorder="1" applyAlignment="1">
      <alignment horizontal="center" vertical="center"/>
    </xf>
    <xf numFmtId="169" fontId="74" fillId="0" borderId="3" xfId="0" applyNumberFormat="1" applyFont="1" applyBorder="1" applyAlignment="1">
      <alignment vertical="top" wrapText="1"/>
    </xf>
    <xf numFmtId="169" fontId="86" fillId="0" borderId="0" xfId="0" applyNumberFormat="1" applyFont="1" applyAlignment="1">
      <alignment horizontal="right" vertical="center"/>
    </xf>
    <xf numFmtId="0" fontId="73" fillId="0" borderId="0" xfId="0" applyFont="1" applyAlignment="1">
      <alignment vertical="center" wrapText="1"/>
    </xf>
    <xf numFmtId="0" fontId="81" fillId="0" borderId="15" xfId="0" applyFont="1" applyBorder="1" applyAlignment="1" applyProtection="1">
      <alignment vertical="center" wrapText="1"/>
      <protection locked="0"/>
    </xf>
    <xf numFmtId="170" fontId="73" fillId="0" borderId="0" xfId="0" applyNumberFormat="1" applyFont="1" applyAlignment="1" applyProtection="1">
      <alignment vertical="center" wrapText="1"/>
      <protection locked="0"/>
    </xf>
    <xf numFmtId="170" fontId="73" fillId="0" borderId="15" xfId="0" quotePrefix="1" applyNumberFormat="1" applyFont="1" applyBorder="1" applyAlignment="1" applyProtection="1">
      <alignment vertical="center" wrapText="1"/>
      <protection locked="0"/>
    </xf>
    <xf numFmtId="170" fontId="87" fillId="0" borderId="0" xfId="0" applyNumberFormat="1" applyFont="1" applyAlignment="1" applyProtection="1">
      <alignment vertical="center"/>
      <protection locked="0"/>
    </xf>
    <xf numFmtId="0" fontId="73" fillId="0" borderId="0" xfId="0" applyFont="1" applyAlignment="1" applyProtection="1">
      <alignment horizontal="center" vertical="center"/>
      <protection locked="0"/>
    </xf>
    <xf numFmtId="0" fontId="73" fillId="0" borderId="0" xfId="0" applyFont="1" applyAlignment="1" applyProtection="1">
      <alignment horizontal="left" vertical="center"/>
      <protection locked="0"/>
    </xf>
    <xf numFmtId="0" fontId="73" fillId="0" borderId="0" xfId="0" applyFont="1" applyAlignment="1">
      <alignment vertical="center" wrapText="1" shrinkToFit="1"/>
    </xf>
    <xf numFmtId="0" fontId="88" fillId="0" borderId="0" xfId="0" applyFont="1" applyAlignment="1">
      <alignment vertical="center"/>
    </xf>
    <xf numFmtId="170" fontId="78" fillId="0" borderId="3" xfId="0" quotePrefix="1" applyNumberFormat="1" applyFont="1" applyBorder="1" applyAlignment="1" applyProtection="1">
      <alignment horizontal="center" vertical="top" wrapText="1"/>
      <protection locked="0"/>
    </xf>
    <xf numFmtId="0" fontId="61" fillId="0" borderId="0" xfId="0" applyFont="1" applyAlignment="1">
      <alignment horizontal="left" vertical="top" wrapText="1"/>
    </xf>
    <xf numFmtId="0" fontId="61" fillId="0" borderId="0" xfId="0" applyFont="1" applyAlignment="1" applyProtection="1">
      <alignment horizontal="center" vertical="top"/>
      <protection locked="0"/>
    </xf>
    <xf numFmtId="0" fontId="61" fillId="0" borderId="0" xfId="0" applyFont="1" applyAlignment="1" applyProtection="1">
      <alignment horizontal="left" vertical="top" wrapText="1"/>
      <protection locked="0"/>
    </xf>
    <xf numFmtId="0" fontId="61" fillId="0" borderId="15" xfId="0" applyFont="1" applyBorder="1" applyAlignment="1" applyProtection="1">
      <alignment horizontal="left" vertical="top" wrapText="1"/>
      <protection locked="0"/>
    </xf>
    <xf numFmtId="0" fontId="66" fillId="0" borderId="14" xfId="0" applyFont="1" applyBorder="1" applyAlignment="1">
      <alignment horizontal="center" vertical="top" wrapText="1"/>
    </xf>
    <xf numFmtId="0" fontId="66" fillId="0" borderId="18" xfId="0" applyFont="1" applyBorder="1" applyAlignment="1">
      <alignment horizontal="center" vertical="top" wrapText="1"/>
    </xf>
    <xf numFmtId="0" fontId="66" fillId="0" borderId="17" xfId="0" applyFont="1" applyBorder="1" applyAlignment="1">
      <alignment horizontal="center" vertical="top" wrapText="1"/>
    </xf>
    <xf numFmtId="0" fontId="66" fillId="0" borderId="3" xfId="0" applyFont="1" applyBorder="1" applyAlignment="1">
      <alignment horizontal="center" vertical="top" wrapText="1"/>
    </xf>
    <xf numFmtId="0" fontId="61" fillId="0" borderId="3" xfId="0" applyFont="1" applyBorder="1" applyAlignment="1">
      <alignment horizontal="center" vertical="top" wrapText="1"/>
    </xf>
    <xf numFmtId="0" fontId="61" fillId="0" borderId="18" xfId="0" applyFont="1" applyBorder="1" applyAlignment="1" applyProtection="1">
      <alignment horizontal="left" vertical="top" wrapText="1"/>
      <protection locked="0"/>
    </xf>
    <xf numFmtId="0" fontId="66" fillId="0" borderId="3" xfId="237" applyFont="1" applyBorder="1" applyAlignment="1">
      <alignment horizontal="center" vertical="top" wrapText="1"/>
    </xf>
    <xf numFmtId="0" fontId="66" fillId="0" borderId="14" xfId="0" applyFont="1" applyBorder="1" applyAlignment="1" applyProtection="1">
      <alignment horizontal="center" vertical="top" wrapText="1"/>
      <protection locked="0"/>
    </xf>
    <xf numFmtId="0" fontId="66" fillId="0" borderId="18" xfId="0" applyFont="1" applyBorder="1" applyAlignment="1" applyProtection="1">
      <alignment horizontal="center" vertical="top" wrapText="1"/>
      <protection locked="0"/>
    </xf>
    <xf numFmtId="0" fontId="61" fillId="0" borderId="17" xfId="0" applyFont="1" applyBorder="1" applyAlignment="1" applyProtection="1">
      <alignment horizontal="left" vertical="top" wrapText="1"/>
      <protection locked="0"/>
    </xf>
    <xf numFmtId="0" fontId="61" fillId="0" borderId="3" xfId="245" applyFont="1" applyBorder="1" applyAlignment="1">
      <alignment horizontal="center" vertical="top"/>
    </xf>
    <xf numFmtId="0" fontId="63" fillId="0" borderId="17" xfId="0" applyFont="1" applyBorder="1" applyAlignment="1" applyProtection="1">
      <alignment horizontal="left" vertical="top" wrapText="1"/>
      <protection locked="0"/>
    </xf>
    <xf numFmtId="0" fontId="61" fillId="0" borderId="13" xfId="0" applyFont="1" applyBorder="1" applyAlignment="1">
      <alignment horizontal="center" vertical="top" wrapText="1"/>
    </xf>
    <xf numFmtId="0" fontId="61" fillId="0" borderId="19" xfId="0" applyFont="1" applyBorder="1" applyAlignment="1">
      <alignment horizontal="center" vertical="top" wrapText="1"/>
    </xf>
    <xf numFmtId="0" fontId="67" fillId="0" borderId="0" xfId="0" applyFont="1" applyAlignment="1" applyProtection="1">
      <alignment horizontal="center" vertical="top"/>
      <protection locked="0"/>
    </xf>
    <xf numFmtId="0" fontId="61" fillId="0" borderId="3" xfId="0" applyFont="1" applyBorder="1" applyAlignment="1">
      <alignment horizontal="center" vertical="top"/>
    </xf>
    <xf numFmtId="0" fontId="66" fillId="0" borderId="0" xfId="0" applyFont="1" applyAlignment="1" applyProtection="1">
      <alignment horizontal="center" vertical="top"/>
      <protection locked="0"/>
    </xf>
    <xf numFmtId="0" fontId="66" fillId="0" borderId="0" xfId="0" applyFont="1" applyAlignment="1">
      <alignment horizontal="center" vertical="top"/>
    </xf>
    <xf numFmtId="0" fontId="66" fillId="0" borderId="0" xfId="0" applyFont="1" applyAlignment="1">
      <alignment horizontal="center" vertical="top" wrapText="1"/>
    </xf>
    <xf numFmtId="0" fontId="66" fillId="0" borderId="14" xfId="0" applyFont="1" applyBorder="1" applyAlignment="1">
      <alignment horizontal="left" vertical="top" wrapText="1"/>
    </xf>
    <xf numFmtId="0" fontId="66" fillId="0" borderId="18" xfId="0" applyFont="1" applyBorder="1" applyAlignment="1">
      <alignment horizontal="left" vertical="top" wrapText="1"/>
    </xf>
    <xf numFmtId="0" fontId="66" fillId="0" borderId="17" xfId="0" applyFont="1" applyBorder="1" applyAlignment="1">
      <alignment horizontal="left" vertical="top" wrapText="1"/>
    </xf>
    <xf numFmtId="0" fontId="75" fillId="0" borderId="3" xfId="0" applyFont="1" applyBorder="1" applyAlignment="1">
      <alignment horizontal="center" vertical="top"/>
    </xf>
    <xf numFmtId="0" fontId="75" fillId="0" borderId="3" xfId="0" applyFont="1" applyBorder="1" applyAlignment="1">
      <alignment horizontal="center" vertical="top" wrapText="1"/>
    </xf>
    <xf numFmtId="0" fontId="75" fillId="0" borderId="13" xfId="0" applyFont="1" applyBorder="1" applyAlignment="1">
      <alignment horizontal="right" vertical="top" wrapText="1"/>
    </xf>
    <xf numFmtId="0" fontId="75" fillId="0" borderId="20" xfId="0" applyFont="1" applyBorder="1" applyAlignment="1">
      <alignment horizontal="right" vertical="top" wrapText="1"/>
    </xf>
    <xf numFmtId="0" fontId="66" fillId="0" borderId="14" xfId="0" applyFont="1" applyBorder="1" applyAlignment="1">
      <alignment horizontal="left" vertical="top"/>
    </xf>
    <xf numFmtId="0" fontId="66" fillId="0" borderId="18" xfId="0" applyFont="1" applyBorder="1" applyAlignment="1">
      <alignment horizontal="left" vertical="top"/>
    </xf>
    <xf numFmtId="0" fontId="66" fillId="0" borderId="17" xfId="0" applyFont="1" applyBorder="1" applyAlignment="1">
      <alignment horizontal="left" vertical="top"/>
    </xf>
    <xf numFmtId="0" fontId="66" fillId="0" borderId="14" xfId="245" applyFont="1" applyBorder="1" applyAlignment="1">
      <alignment horizontal="center" vertical="top" wrapText="1"/>
    </xf>
    <xf numFmtId="0" fontId="66" fillId="0" borderId="18" xfId="245" applyFont="1" applyBorder="1" applyAlignment="1">
      <alignment horizontal="center" vertical="top" wrapText="1"/>
    </xf>
    <xf numFmtId="0" fontId="66" fillId="0" borderId="17" xfId="245" applyFont="1" applyBorder="1" applyAlignment="1">
      <alignment horizontal="center" vertical="top" wrapText="1"/>
    </xf>
    <xf numFmtId="0" fontId="66" fillId="0" borderId="0" xfId="245" applyFont="1" applyAlignment="1">
      <alignment horizontal="center" vertical="top"/>
    </xf>
    <xf numFmtId="0" fontId="61" fillId="0" borderId="3" xfId="245" applyFont="1" applyBorder="1" applyAlignment="1">
      <alignment horizontal="center" vertical="top" wrapText="1"/>
    </xf>
    <xf numFmtId="0" fontId="61" fillId="0" borderId="20" xfId="0" applyFont="1" applyBorder="1" applyAlignment="1">
      <alignment horizontal="center" vertical="top" wrapText="1"/>
    </xf>
    <xf numFmtId="3" fontId="61" fillId="0" borderId="0" xfId="0" applyNumberFormat="1" applyFont="1" applyAlignment="1" applyProtection="1">
      <alignment vertical="top"/>
      <protection locked="0"/>
    </xf>
    <xf numFmtId="0" fontId="61" fillId="0" borderId="0" xfId="0" applyFont="1" applyAlignment="1" applyProtection="1">
      <alignment vertical="top"/>
      <protection locked="0"/>
    </xf>
    <xf numFmtId="0" fontId="61" fillId="0" borderId="3" xfId="0" applyFont="1" applyBorder="1" applyAlignment="1">
      <alignment horizontal="center" vertical="top" wrapText="1" shrinkToFit="1"/>
    </xf>
    <xf numFmtId="0" fontId="61" fillId="0" borderId="14" xfId="245" applyFont="1" applyBorder="1" applyAlignment="1">
      <alignment horizontal="center" vertical="top"/>
    </xf>
    <xf numFmtId="0" fontId="61" fillId="0" borderId="13" xfId="0" applyFont="1" applyBorder="1" applyAlignment="1">
      <alignment horizontal="center" vertical="top"/>
    </xf>
    <xf numFmtId="0" fontId="61" fillId="0" borderId="19" xfId="0" applyFont="1" applyBorder="1" applyAlignment="1">
      <alignment horizontal="center" vertical="top"/>
    </xf>
    <xf numFmtId="0" fontId="61" fillId="0" borderId="15" xfId="0" applyFont="1" applyBorder="1" applyAlignment="1">
      <alignment vertical="top"/>
    </xf>
    <xf numFmtId="0" fontId="61" fillId="0" borderId="18" xfId="245" applyFont="1" applyBorder="1" applyAlignment="1">
      <alignment horizontal="center" vertical="top"/>
    </xf>
    <xf numFmtId="0" fontId="61" fillId="0" borderId="17" xfId="245" applyFont="1" applyBorder="1" applyAlignment="1">
      <alignment horizontal="center" vertical="top"/>
    </xf>
    <xf numFmtId="0" fontId="66" fillId="0" borderId="14" xfId="237" applyFont="1" applyBorder="1" applyAlignment="1">
      <alignment horizontal="center" vertical="top"/>
    </xf>
    <xf numFmtId="0" fontId="66" fillId="0" borderId="18" xfId="237" applyFont="1" applyBorder="1" applyAlignment="1">
      <alignment horizontal="center" vertical="top"/>
    </xf>
    <xf numFmtId="0" fontId="66" fillId="0" borderId="17" xfId="237" applyFont="1" applyBorder="1" applyAlignment="1">
      <alignment horizontal="center" vertical="top"/>
    </xf>
    <xf numFmtId="0" fontId="66" fillId="0" borderId="0" xfId="237" applyFont="1" applyAlignment="1">
      <alignment horizontal="center" vertical="top" wrapText="1"/>
    </xf>
    <xf numFmtId="0" fontId="61" fillId="0" borderId="13" xfId="237" applyFont="1" applyBorder="1" applyAlignment="1">
      <alignment horizontal="center" vertical="top" wrapText="1"/>
    </xf>
    <xf numFmtId="0" fontId="61" fillId="0" borderId="19" xfId="237" applyFont="1" applyBorder="1" applyAlignment="1">
      <alignment horizontal="center" vertical="top" wrapText="1"/>
    </xf>
    <xf numFmtId="0" fontId="61" fillId="0" borderId="21" xfId="0" applyFont="1" applyBorder="1" applyAlignment="1">
      <alignment horizontal="center" vertical="top" wrapText="1"/>
    </xf>
    <xf numFmtId="0" fontId="61" fillId="0" borderId="22" xfId="0" applyFont="1" applyBorder="1" applyAlignment="1">
      <alignment horizontal="center" vertical="top" wrapText="1"/>
    </xf>
    <xf numFmtId="0" fontId="61" fillId="0" borderId="0" xfId="0" applyFont="1" applyAlignment="1">
      <alignment horizontal="center" vertical="top"/>
    </xf>
    <xf numFmtId="49" fontId="61" fillId="0" borderId="3" xfId="0" applyNumberFormat="1" applyFont="1" applyBorder="1" applyAlignment="1">
      <alignment horizontal="left" vertical="top" wrapText="1"/>
    </xf>
    <xf numFmtId="49" fontId="61" fillId="0" borderId="14" xfId="0" applyNumberFormat="1" applyFont="1" applyBorder="1" applyAlignment="1">
      <alignment horizontal="center" vertical="top" wrapText="1"/>
    </xf>
    <xf numFmtId="49" fontId="61" fillId="0" borderId="18" xfId="0" applyNumberFormat="1" applyFont="1" applyBorder="1" applyAlignment="1">
      <alignment horizontal="center" vertical="top" wrapText="1"/>
    </xf>
    <xf numFmtId="0" fontId="61" fillId="0" borderId="0" xfId="0" applyFont="1" applyAlignment="1">
      <alignment horizontal="justify" vertical="top" wrapText="1" shrinkToFit="1"/>
    </xf>
    <xf numFmtId="49" fontId="61" fillId="0" borderId="16" xfId="0" applyNumberFormat="1" applyFont="1" applyBorder="1" applyAlignment="1">
      <alignment horizontal="right" vertical="top" wrapText="1"/>
    </xf>
    <xf numFmtId="49" fontId="61" fillId="0" borderId="0" xfId="0" applyNumberFormat="1" applyFont="1" applyAlignment="1">
      <alignment horizontal="right" vertical="top" wrapText="1"/>
    </xf>
    <xf numFmtId="3" fontId="61" fillId="0" borderId="3" xfId="0" applyNumberFormat="1" applyFont="1" applyBorder="1" applyAlignment="1">
      <alignment horizontal="center" vertical="top" wrapText="1"/>
    </xf>
    <xf numFmtId="170" fontId="61" fillId="0" borderId="3" xfId="0" applyNumberFormat="1" applyFont="1" applyBorder="1" applyAlignment="1">
      <alignment horizontal="center" vertical="top" wrapText="1"/>
    </xf>
    <xf numFmtId="0" fontId="61" fillId="0" borderId="0" xfId="0" applyFont="1" applyAlignment="1">
      <alignment horizontal="right" vertical="top" wrapText="1"/>
    </xf>
    <xf numFmtId="0" fontId="61" fillId="0" borderId="0" xfId="0" applyFont="1" applyAlignment="1">
      <alignment vertical="top" wrapText="1"/>
    </xf>
    <xf numFmtId="0" fontId="61" fillId="0" borderId="0" xfId="0" applyFont="1" applyAlignment="1">
      <alignment vertical="top"/>
    </xf>
    <xf numFmtId="0" fontId="61" fillId="0" borderId="14" xfId="0" applyFont="1" applyBorder="1" applyAlignment="1">
      <alignment horizontal="center" vertical="top"/>
    </xf>
    <xf numFmtId="0" fontId="61" fillId="0" borderId="18" xfId="0" applyFont="1" applyBorder="1" applyAlignment="1">
      <alignment horizontal="center" vertical="top"/>
    </xf>
    <xf numFmtId="0" fontId="61" fillId="0" borderId="14" xfId="0" applyFont="1" applyBorder="1" applyAlignment="1">
      <alignment horizontal="center" vertical="top" wrapText="1"/>
    </xf>
    <xf numFmtId="0" fontId="61" fillId="0" borderId="18" xfId="0" applyFont="1" applyBorder="1" applyAlignment="1">
      <alignment horizontal="center" vertical="top" wrapText="1"/>
    </xf>
    <xf numFmtId="0" fontId="61" fillId="0" borderId="17" xfId="0" applyFont="1" applyBorder="1" applyAlignment="1">
      <alignment horizontal="center" vertical="top" wrapText="1"/>
    </xf>
    <xf numFmtId="0" fontId="66" fillId="0" borderId="15" xfId="0" applyFont="1" applyBorder="1" applyAlignment="1">
      <alignment horizontal="center" vertical="top"/>
    </xf>
    <xf numFmtId="49" fontId="61" fillId="0" borderId="17" xfId="0" applyNumberFormat="1" applyFont="1" applyBorder="1" applyAlignment="1">
      <alignment horizontal="center" vertical="top" wrapText="1"/>
    </xf>
    <xf numFmtId="3" fontId="61" fillId="0" borderId="14" xfId="0" applyNumberFormat="1" applyFont="1" applyBorder="1" applyAlignment="1">
      <alignment horizontal="center" vertical="top" wrapText="1"/>
    </xf>
    <xf numFmtId="3" fontId="61" fillId="0" borderId="17" xfId="0" applyNumberFormat="1" applyFont="1" applyBorder="1" applyAlignment="1">
      <alignment horizontal="center" vertical="top" wrapText="1"/>
    </xf>
    <xf numFmtId="170" fontId="61" fillId="0" borderId="14" xfId="0" applyNumberFormat="1" applyFont="1" applyBorder="1" applyAlignment="1">
      <alignment horizontal="center" vertical="top" wrapText="1"/>
    </xf>
    <xf numFmtId="170" fontId="61" fillId="0" borderId="17" xfId="0" applyNumberFormat="1" applyFont="1" applyBorder="1" applyAlignment="1">
      <alignment horizontal="center" vertical="top" wrapText="1"/>
    </xf>
    <xf numFmtId="0" fontId="61" fillId="0" borderId="3" xfId="0" applyFont="1" applyBorder="1" applyAlignment="1">
      <alignment horizontal="left" vertical="top" wrapText="1"/>
    </xf>
    <xf numFmtId="0" fontId="61" fillId="0" borderId="17" xfId="0" applyFont="1" applyBorder="1" applyAlignment="1">
      <alignment horizontal="center" vertical="top"/>
    </xf>
    <xf numFmtId="3" fontId="61" fillId="0" borderId="18" xfId="0" applyNumberFormat="1" applyFont="1" applyBorder="1" applyAlignment="1">
      <alignment horizontal="center" vertical="top" wrapText="1"/>
    </xf>
    <xf numFmtId="0" fontId="61" fillId="0" borderId="23" xfId="0" applyFont="1" applyBorder="1" applyAlignment="1">
      <alignment horizontal="center" vertical="top" wrapText="1"/>
    </xf>
    <xf numFmtId="0" fontId="61" fillId="0" borderId="16" xfId="0" applyFont="1" applyBorder="1" applyAlignment="1">
      <alignment horizontal="center" vertical="top" wrapText="1"/>
    </xf>
    <xf numFmtId="0" fontId="61" fillId="0" borderId="24" xfId="0" applyFont="1" applyBorder="1" applyAlignment="1">
      <alignment horizontal="center" vertical="top" wrapText="1"/>
    </xf>
    <xf numFmtId="0" fontId="61" fillId="0" borderId="15" xfId="0" applyFont="1" applyBorder="1" applyAlignment="1">
      <alignment horizontal="center" vertical="top" wrapText="1"/>
    </xf>
    <xf numFmtId="0" fontId="61" fillId="0" borderId="14" xfId="0" applyFont="1" applyBorder="1" applyAlignment="1" applyProtection="1">
      <alignment horizontal="left" vertical="top" wrapText="1"/>
      <protection locked="0"/>
    </xf>
    <xf numFmtId="0" fontId="61" fillId="0" borderId="14" xfId="0" applyFont="1" applyBorder="1" applyAlignment="1">
      <alignment horizontal="left" vertical="top"/>
    </xf>
    <xf numFmtId="0" fontId="61" fillId="0" borderId="18" xfId="0" applyFont="1" applyBorder="1" applyAlignment="1">
      <alignment horizontal="left" vertical="top"/>
    </xf>
    <xf numFmtId="0" fontId="61" fillId="0" borderId="17" xfId="0" applyFont="1" applyBorder="1" applyAlignment="1">
      <alignment horizontal="left" vertical="top"/>
    </xf>
    <xf numFmtId="49" fontId="61" fillId="0" borderId="14" xfId="0" applyNumberFormat="1" applyFont="1" applyBorder="1" applyAlignment="1">
      <alignment horizontal="left" vertical="top" wrapText="1"/>
    </xf>
    <xf numFmtId="49" fontId="61" fillId="0" borderId="17" xfId="0" applyNumberFormat="1" applyFont="1" applyBorder="1" applyAlignment="1">
      <alignment horizontal="left" vertical="top" wrapText="1"/>
    </xf>
    <xf numFmtId="0" fontId="73" fillId="0" borderId="14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0" xfId="0" applyFont="1" applyAlignment="1">
      <alignment horizontal="right" vertical="center" wrapText="1"/>
    </xf>
    <xf numFmtId="0" fontId="73" fillId="0" borderId="13" xfId="0" applyFont="1" applyBorder="1" applyAlignment="1">
      <alignment horizontal="center" vertical="center" wrapText="1" shrinkToFit="1"/>
    </xf>
    <xf numFmtId="0" fontId="73" fillId="0" borderId="19" xfId="0" applyFont="1" applyBorder="1" applyAlignment="1">
      <alignment horizontal="center" vertical="center" wrapText="1" shrinkToFit="1"/>
    </xf>
    <xf numFmtId="0" fontId="73" fillId="0" borderId="14" xfId="0" applyFont="1" applyBorder="1" applyAlignment="1">
      <alignment horizontal="center" vertical="center" wrapText="1" shrinkToFit="1"/>
    </xf>
    <xf numFmtId="0" fontId="73" fillId="0" borderId="17" xfId="0" applyFont="1" applyBorder="1" applyAlignment="1">
      <alignment horizontal="center" vertical="center" wrapText="1" shrinkToFit="1"/>
    </xf>
    <xf numFmtId="0" fontId="73" fillId="0" borderId="20" xfId="0" applyFont="1" applyBorder="1" applyAlignment="1">
      <alignment horizontal="center" vertical="center" wrapText="1" shrinkToFit="1"/>
    </xf>
    <xf numFmtId="0" fontId="82" fillId="0" borderId="15" xfId="0" applyFont="1" applyBorder="1" applyAlignment="1" applyProtection="1">
      <alignment horizontal="left" vertical="center"/>
      <protection locked="0"/>
    </xf>
    <xf numFmtId="0" fontId="73" fillId="0" borderId="0" xfId="0" applyFont="1" applyAlignment="1" applyProtection="1">
      <alignment horizontal="center" vertical="center"/>
      <protection locked="0"/>
    </xf>
    <xf numFmtId="0" fontId="73" fillId="0" borderId="16" xfId="0" applyFont="1" applyBorder="1" applyAlignment="1" applyProtection="1">
      <alignment horizontal="left" vertical="center"/>
      <protection locked="0"/>
    </xf>
    <xf numFmtId="0" fontId="73" fillId="0" borderId="14" xfId="0" applyFont="1" applyBorder="1" applyAlignment="1">
      <alignment horizontal="left" vertical="center" wrapText="1"/>
    </xf>
    <xf numFmtId="0" fontId="73" fillId="0" borderId="18" xfId="0" applyFont="1" applyBorder="1" applyAlignment="1">
      <alignment horizontal="left" vertical="center" wrapText="1"/>
    </xf>
    <xf numFmtId="0" fontId="73" fillId="0" borderId="17" xfId="0" applyFont="1" applyBorder="1" applyAlignment="1">
      <alignment horizontal="left" vertical="center" wrapText="1"/>
    </xf>
    <xf numFmtId="0" fontId="73" fillId="0" borderId="13" xfId="0" applyFont="1" applyBorder="1" applyAlignment="1">
      <alignment horizontal="center" vertical="center"/>
    </xf>
    <xf numFmtId="0" fontId="73" fillId="0" borderId="20" xfId="0" applyFont="1" applyBorder="1" applyAlignment="1">
      <alignment horizontal="center" vertical="center"/>
    </xf>
    <xf numFmtId="0" fontId="73" fillId="0" borderId="19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 wrapText="1"/>
    </xf>
    <xf numFmtId="0" fontId="73" fillId="0" borderId="21" xfId="0" applyFont="1" applyBorder="1" applyAlignment="1">
      <alignment horizontal="center" vertical="center" wrapText="1"/>
    </xf>
    <xf numFmtId="0" fontId="73" fillId="0" borderId="25" xfId="0" applyFont="1" applyBorder="1" applyAlignment="1">
      <alignment horizontal="center" vertical="center" wrapText="1"/>
    </xf>
    <xf numFmtId="0" fontId="73" fillId="0" borderId="26" xfId="0" applyFont="1" applyBorder="1" applyAlignment="1">
      <alignment horizontal="center" vertical="center" wrapText="1"/>
    </xf>
    <xf numFmtId="0" fontId="73" fillId="0" borderId="24" xfId="0" applyFont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177" fontId="68" fillId="0" borderId="3" xfId="323" applyNumberFormat="1" applyFont="1" applyFill="1" applyBorder="1" applyAlignment="1" applyProtection="1">
      <alignment horizontal="center" vertical="top" wrapText="1"/>
      <protection locked="0"/>
    </xf>
  </cellXfs>
  <cellStyles count="355">
    <cellStyle name="_Fakt_2" xfId="1" xr:uid="{00000000-0005-0000-0000-000000000000}"/>
    <cellStyle name="_rozhufrovka 2009" xfId="2" xr:uid="{00000000-0005-0000-0000-000001000000}"/>
    <cellStyle name="_АТиСТ 5а МТР липень 2008" xfId="3" xr:uid="{00000000-0005-0000-0000-000002000000}"/>
    <cellStyle name="_ПРГК сводний_" xfId="4" xr:uid="{00000000-0005-0000-0000-000003000000}"/>
    <cellStyle name="_УТГ" xfId="5" xr:uid="{00000000-0005-0000-0000-000004000000}"/>
    <cellStyle name="_Феодосия 5а МТР липень 2008" xfId="6" xr:uid="{00000000-0005-0000-0000-000005000000}"/>
    <cellStyle name="_ХТГ довідка." xfId="7" xr:uid="{00000000-0005-0000-0000-000006000000}"/>
    <cellStyle name="_Шебелинка 5а МТР липень 2008" xfId="8" xr:uid="{00000000-0005-0000-0000-000007000000}"/>
    <cellStyle name="20% - Accent1" xfId="9" xr:uid="{00000000-0005-0000-0000-000008000000}"/>
    <cellStyle name="20% - Accent2" xfId="10" xr:uid="{00000000-0005-0000-0000-000009000000}"/>
    <cellStyle name="20% - Accent3" xfId="11" xr:uid="{00000000-0005-0000-0000-00000A000000}"/>
    <cellStyle name="20% - Accent4" xfId="12" xr:uid="{00000000-0005-0000-0000-00000B000000}"/>
    <cellStyle name="20% - Accent5" xfId="13" xr:uid="{00000000-0005-0000-0000-00000C000000}"/>
    <cellStyle name="20% - Accent6" xfId="14" xr:uid="{00000000-0005-0000-0000-00000D000000}"/>
    <cellStyle name="20% - Акцент1 2" xfId="15" xr:uid="{00000000-0005-0000-0000-00000E000000}"/>
    <cellStyle name="20% - Акцент1 3" xfId="16" xr:uid="{00000000-0005-0000-0000-00000F000000}"/>
    <cellStyle name="20% - Акцент2 2" xfId="17" xr:uid="{00000000-0005-0000-0000-000010000000}"/>
    <cellStyle name="20% - Акцент2 3" xfId="18" xr:uid="{00000000-0005-0000-0000-000011000000}"/>
    <cellStyle name="20% - Акцент3 2" xfId="19" xr:uid="{00000000-0005-0000-0000-000012000000}"/>
    <cellStyle name="20% - Акцент3 3" xfId="20" xr:uid="{00000000-0005-0000-0000-000013000000}"/>
    <cellStyle name="20% - Акцент4 2" xfId="21" xr:uid="{00000000-0005-0000-0000-000014000000}"/>
    <cellStyle name="20% - Акцент4 3" xfId="22" xr:uid="{00000000-0005-0000-0000-000015000000}"/>
    <cellStyle name="20% - Акцент5 2" xfId="23" xr:uid="{00000000-0005-0000-0000-000016000000}"/>
    <cellStyle name="20% - Акцент5 3" xfId="24" xr:uid="{00000000-0005-0000-0000-000017000000}"/>
    <cellStyle name="20% - Акцент6 2" xfId="25" xr:uid="{00000000-0005-0000-0000-000018000000}"/>
    <cellStyle name="20% - Акцент6 3" xfId="26" xr:uid="{00000000-0005-0000-0000-000019000000}"/>
    <cellStyle name="40% - Accent1" xfId="27" xr:uid="{00000000-0005-0000-0000-00001A000000}"/>
    <cellStyle name="40% - Accent2" xfId="28" xr:uid="{00000000-0005-0000-0000-00001B000000}"/>
    <cellStyle name="40% - Accent3" xfId="29" xr:uid="{00000000-0005-0000-0000-00001C000000}"/>
    <cellStyle name="40% - Accent4" xfId="30" xr:uid="{00000000-0005-0000-0000-00001D000000}"/>
    <cellStyle name="40% - Accent5" xfId="31" xr:uid="{00000000-0005-0000-0000-00001E000000}"/>
    <cellStyle name="40% - Accent6" xfId="32" xr:uid="{00000000-0005-0000-0000-00001F000000}"/>
    <cellStyle name="40% - Акцент1 2" xfId="33" xr:uid="{00000000-0005-0000-0000-000020000000}"/>
    <cellStyle name="40% - Акцент1 3" xfId="34" xr:uid="{00000000-0005-0000-0000-000021000000}"/>
    <cellStyle name="40% - Акцент2 2" xfId="35" xr:uid="{00000000-0005-0000-0000-000022000000}"/>
    <cellStyle name="40% - Акцент2 3" xfId="36" xr:uid="{00000000-0005-0000-0000-000023000000}"/>
    <cellStyle name="40% - Акцент3 2" xfId="37" xr:uid="{00000000-0005-0000-0000-000024000000}"/>
    <cellStyle name="40% - Акцент3 3" xfId="38" xr:uid="{00000000-0005-0000-0000-000025000000}"/>
    <cellStyle name="40% - Акцент4 2" xfId="39" xr:uid="{00000000-0005-0000-0000-000026000000}"/>
    <cellStyle name="40% - Акцент4 3" xfId="40" xr:uid="{00000000-0005-0000-0000-000027000000}"/>
    <cellStyle name="40% - Акцент5 2" xfId="41" xr:uid="{00000000-0005-0000-0000-000028000000}"/>
    <cellStyle name="40% - Акцент5 3" xfId="42" xr:uid="{00000000-0005-0000-0000-000029000000}"/>
    <cellStyle name="40% - Акцент6 2" xfId="43" xr:uid="{00000000-0005-0000-0000-00002A000000}"/>
    <cellStyle name="40% - Акцент6 3" xfId="44" xr:uid="{00000000-0005-0000-0000-00002B000000}"/>
    <cellStyle name="60% - Accent1" xfId="45" xr:uid="{00000000-0005-0000-0000-00002C000000}"/>
    <cellStyle name="60% - Accent2" xfId="46" xr:uid="{00000000-0005-0000-0000-00002D000000}"/>
    <cellStyle name="60% - Accent3" xfId="47" xr:uid="{00000000-0005-0000-0000-00002E000000}"/>
    <cellStyle name="60% - Accent4" xfId="48" xr:uid="{00000000-0005-0000-0000-00002F000000}"/>
    <cellStyle name="60% - Accent5" xfId="49" xr:uid="{00000000-0005-0000-0000-000030000000}"/>
    <cellStyle name="60% - Accent6" xfId="50" xr:uid="{00000000-0005-0000-0000-000031000000}"/>
    <cellStyle name="60% - Акцент1 2" xfId="51" xr:uid="{00000000-0005-0000-0000-000032000000}"/>
    <cellStyle name="60% - Акцент1 3" xfId="52" xr:uid="{00000000-0005-0000-0000-000033000000}"/>
    <cellStyle name="60% - Акцент2 2" xfId="53" xr:uid="{00000000-0005-0000-0000-000034000000}"/>
    <cellStyle name="60% - Акцент2 3" xfId="54" xr:uid="{00000000-0005-0000-0000-000035000000}"/>
    <cellStyle name="60% - Акцент3 2" xfId="55" xr:uid="{00000000-0005-0000-0000-000036000000}"/>
    <cellStyle name="60% - Акцент3 3" xfId="56" xr:uid="{00000000-0005-0000-0000-000037000000}"/>
    <cellStyle name="60% - Акцент4 2" xfId="57" xr:uid="{00000000-0005-0000-0000-000038000000}"/>
    <cellStyle name="60% - Акцент4 3" xfId="58" xr:uid="{00000000-0005-0000-0000-000039000000}"/>
    <cellStyle name="60% - Акцент5 2" xfId="59" xr:uid="{00000000-0005-0000-0000-00003A000000}"/>
    <cellStyle name="60% - Акцент5 3" xfId="60" xr:uid="{00000000-0005-0000-0000-00003B000000}"/>
    <cellStyle name="60% - Акцент6 2" xfId="61" xr:uid="{00000000-0005-0000-0000-00003C000000}"/>
    <cellStyle name="60% - Акцент6 3" xfId="62" xr:uid="{00000000-0005-0000-0000-00003D000000}"/>
    <cellStyle name="Accent1" xfId="63" xr:uid="{00000000-0005-0000-0000-00003E000000}"/>
    <cellStyle name="Accent2" xfId="64" xr:uid="{00000000-0005-0000-0000-00003F000000}"/>
    <cellStyle name="Accent3" xfId="65" xr:uid="{00000000-0005-0000-0000-000040000000}"/>
    <cellStyle name="Accent4" xfId="66" xr:uid="{00000000-0005-0000-0000-000041000000}"/>
    <cellStyle name="Accent5" xfId="67" xr:uid="{00000000-0005-0000-0000-000042000000}"/>
    <cellStyle name="Accent6" xfId="68" xr:uid="{00000000-0005-0000-0000-000043000000}"/>
    <cellStyle name="Bad" xfId="69" xr:uid="{00000000-0005-0000-0000-000044000000}"/>
    <cellStyle name="Calculation" xfId="70" xr:uid="{00000000-0005-0000-0000-000045000000}"/>
    <cellStyle name="Check Cell" xfId="71" xr:uid="{00000000-0005-0000-0000-000046000000}"/>
    <cellStyle name="Column-Header" xfId="72" xr:uid="{00000000-0005-0000-0000-000047000000}"/>
    <cellStyle name="Column-Header 2" xfId="73" xr:uid="{00000000-0005-0000-0000-000048000000}"/>
    <cellStyle name="Column-Header 3" xfId="74" xr:uid="{00000000-0005-0000-0000-000049000000}"/>
    <cellStyle name="Column-Header 4" xfId="75" xr:uid="{00000000-0005-0000-0000-00004A000000}"/>
    <cellStyle name="Column-Header 5" xfId="76" xr:uid="{00000000-0005-0000-0000-00004B000000}"/>
    <cellStyle name="Column-Header 6" xfId="77" xr:uid="{00000000-0005-0000-0000-00004C000000}"/>
    <cellStyle name="Column-Header 7" xfId="78" xr:uid="{00000000-0005-0000-0000-00004D000000}"/>
    <cellStyle name="Column-Header 7 2" xfId="79" xr:uid="{00000000-0005-0000-0000-00004E000000}"/>
    <cellStyle name="Column-Header 8" xfId="80" xr:uid="{00000000-0005-0000-0000-00004F000000}"/>
    <cellStyle name="Column-Header 8 2" xfId="81" xr:uid="{00000000-0005-0000-0000-000050000000}"/>
    <cellStyle name="Column-Header 9" xfId="82" xr:uid="{00000000-0005-0000-0000-000051000000}"/>
    <cellStyle name="Column-Header 9 2" xfId="83" xr:uid="{00000000-0005-0000-0000-000052000000}"/>
    <cellStyle name="Column-Header_Zvit rux-koshtiv 2010 Департамент " xfId="84" xr:uid="{00000000-0005-0000-0000-000053000000}"/>
    <cellStyle name="Comma_2005_03_15-Финансовый_БГ" xfId="85" xr:uid="{00000000-0005-0000-0000-000054000000}"/>
    <cellStyle name="Define-Column" xfId="86" xr:uid="{00000000-0005-0000-0000-000055000000}"/>
    <cellStyle name="Define-Column 10" xfId="87" xr:uid="{00000000-0005-0000-0000-000056000000}"/>
    <cellStyle name="Define-Column 2" xfId="88" xr:uid="{00000000-0005-0000-0000-000057000000}"/>
    <cellStyle name="Define-Column 3" xfId="89" xr:uid="{00000000-0005-0000-0000-000058000000}"/>
    <cellStyle name="Define-Column 4" xfId="90" xr:uid="{00000000-0005-0000-0000-000059000000}"/>
    <cellStyle name="Define-Column 5" xfId="91" xr:uid="{00000000-0005-0000-0000-00005A000000}"/>
    <cellStyle name="Define-Column 6" xfId="92" xr:uid="{00000000-0005-0000-0000-00005B000000}"/>
    <cellStyle name="Define-Column 7" xfId="93" xr:uid="{00000000-0005-0000-0000-00005C000000}"/>
    <cellStyle name="Define-Column 7 2" xfId="94" xr:uid="{00000000-0005-0000-0000-00005D000000}"/>
    <cellStyle name="Define-Column 7 3" xfId="95" xr:uid="{00000000-0005-0000-0000-00005E000000}"/>
    <cellStyle name="Define-Column 8" xfId="96" xr:uid="{00000000-0005-0000-0000-00005F000000}"/>
    <cellStyle name="Define-Column 8 2" xfId="97" xr:uid="{00000000-0005-0000-0000-000060000000}"/>
    <cellStyle name="Define-Column 8 3" xfId="98" xr:uid="{00000000-0005-0000-0000-000061000000}"/>
    <cellStyle name="Define-Column 9" xfId="99" xr:uid="{00000000-0005-0000-0000-000062000000}"/>
    <cellStyle name="Define-Column 9 2" xfId="100" xr:uid="{00000000-0005-0000-0000-000063000000}"/>
    <cellStyle name="Define-Column 9 3" xfId="101" xr:uid="{00000000-0005-0000-0000-000064000000}"/>
    <cellStyle name="Define-Column_Zvit rux-koshtiv 2010 Департамент " xfId="102" xr:uid="{00000000-0005-0000-0000-000065000000}"/>
    <cellStyle name="Explanatory Text" xfId="103" xr:uid="{00000000-0005-0000-0000-000066000000}"/>
    <cellStyle name="FS10" xfId="104" xr:uid="{00000000-0005-0000-0000-000067000000}"/>
    <cellStyle name="Good" xfId="105" xr:uid="{00000000-0005-0000-0000-000068000000}"/>
    <cellStyle name="Heading 1" xfId="106" xr:uid="{00000000-0005-0000-0000-000069000000}"/>
    <cellStyle name="Heading 2" xfId="107" xr:uid="{00000000-0005-0000-0000-00006A000000}"/>
    <cellStyle name="Heading 3" xfId="108" xr:uid="{00000000-0005-0000-0000-00006B000000}"/>
    <cellStyle name="Heading 4" xfId="109" xr:uid="{00000000-0005-0000-0000-00006C000000}"/>
    <cellStyle name="Hyperlink 2" xfId="110" xr:uid="{00000000-0005-0000-0000-00006D000000}"/>
    <cellStyle name="Input" xfId="111" xr:uid="{00000000-0005-0000-0000-00006E000000}"/>
    <cellStyle name="Level0" xfId="112" xr:uid="{00000000-0005-0000-0000-00006F000000}"/>
    <cellStyle name="Level0 10" xfId="113" xr:uid="{00000000-0005-0000-0000-000070000000}"/>
    <cellStyle name="Level0 2" xfId="114" xr:uid="{00000000-0005-0000-0000-000071000000}"/>
    <cellStyle name="Level0 2 2" xfId="115" xr:uid="{00000000-0005-0000-0000-000072000000}"/>
    <cellStyle name="Level0 3" xfId="116" xr:uid="{00000000-0005-0000-0000-000073000000}"/>
    <cellStyle name="Level0 3 2" xfId="117" xr:uid="{00000000-0005-0000-0000-000074000000}"/>
    <cellStyle name="Level0 4" xfId="118" xr:uid="{00000000-0005-0000-0000-000075000000}"/>
    <cellStyle name="Level0 4 2" xfId="119" xr:uid="{00000000-0005-0000-0000-000076000000}"/>
    <cellStyle name="Level0 5" xfId="120" xr:uid="{00000000-0005-0000-0000-000077000000}"/>
    <cellStyle name="Level0 6" xfId="121" xr:uid="{00000000-0005-0000-0000-000078000000}"/>
    <cellStyle name="Level0 7" xfId="122" xr:uid="{00000000-0005-0000-0000-000079000000}"/>
    <cellStyle name="Level0 7 2" xfId="123" xr:uid="{00000000-0005-0000-0000-00007A000000}"/>
    <cellStyle name="Level0 7 3" xfId="124" xr:uid="{00000000-0005-0000-0000-00007B000000}"/>
    <cellStyle name="Level0 8" xfId="125" xr:uid="{00000000-0005-0000-0000-00007C000000}"/>
    <cellStyle name="Level0 8 2" xfId="126" xr:uid="{00000000-0005-0000-0000-00007D000000}"/>
    <cellStyle name="Level0 8 3" xfId="127" xr:uid="{00000000-0005-0000-0000-00007E000000}"/>
    <cellStyle name="Level0 9" xfId="128" xr:uid="{00000000-0005-0000-0000-00007F000000}"/>
    <cellStyle name="Level0 9 2" xfId="129" xr:uid="{00000000-0005-0000-0000-000080000000}"/>
    <cellStyle name="Level0 9 3" xfId="130" xr:uid="{00000000-0005-0000-0000-000081000000}"/>
    <cellStyle name="Level0_Zvit rux-koshtiv 2010 Департамент " xfId="131" xr:uid="{00000000-0005-0000-0000-000082000000}"/>
    <cellStyle name="Level1" xfId="132" xr:uid="{00000000-0005-0000-0000-000083000000}"/>
    <cellStyle name="Level1 2" xfId="133" xr:uid="{00000000-0005-0000-0000-000084000000}"/>
    <cellStyle name="Level1-Numbers" xfId="134" xr:uid="{00000000-0005-0000-0000-000085000000}"/>
    <cellStyle name="Level1-Numbers 2" xfId="135" xr:uid="{00000000-0005-0000-0000-000086000000}"/>
    <cellStyle name="Level1-Numbers-Hide" xfId="136" xr:uid="{00000000-0005-0000-0000-000087000000}"/>
    <cellStyle name="Level2" xfId="137" xr:uid="{00000000-0005-0000-0000-000088000000}"/>
    <cellStyle name="Level2 2" xfId="138" xr:uid="{00000000-0005-0000-0000-000089000000}"/>
    <cellStyle name="Level2-Hide" xfId="139" xr:uid="{00000000-0005-0000-0000-00008A000000}"/>
    <cellStyle name="Level2-Hide 2" xfId="140" xr:uid="{00000000-0005-0000-0000-00008B000000}"/>
    <cellStyle name="Level2-Numbers" xfId="141" xr:uid="{00000000-0005-0000-0000-00008C000000}"/>
    <cellStyle name="Level2-Numbers 2" xfId="142" xr:uid="{00000000-0005-0000-0000-00008D000000}"/>
    <cellStyle name="Level2-Numbers-Hide" xfId="143" xr:uid="{00000000-0005-0000-0000-00008E000000}"/>
    <cellStyle name="Level3" xfId="144" xr:uid="{00000000-0005-0000-0000-00008F000000}"/>
    <cellStyle name="Level3 2" xfId="145" xr:uid="{00000000-0005-0000-0000-000090000000}"/>
    <cellStyle name="Level3 3" xfId="146" xr:uid="{00000000-0005-0000-0000-000091000000}"/>
    <cellStyle name="Level3_План департамент_2010_1207" xfId="147" xr:uid="{00000000-0005-0000-0000-000092000000}"/>
    <cellStyle name="Level3-Hide" xfId="148" xr:uid="{00000000-0005-0000-0000-000093000000}"/>
    <cellStyle name="Level3-Hide 2" xfId="149" xr:uid="{00000000-0005-0000-0000-000094000000}"/>
    <cellStyle name="Level3-Numbers" xfId="150" xr:uid="{00000000-0005-0000-0000-000095000000}"/>
    <cellStyle name="Level3-Numbers 2" xfId="151" xr:uid="{00000000-0005-0000-0000-000096000000}"/>
    <cellStyle name="Level3-Numbers 3" xfId="152" xr:uid="{00000000-0005-0000-0000-000097000000}"/>
    <cellStyle name="Level3-Numbers_План департамент_2010_1207" xfId="153" xr:uid="{00000000-0005-0000-0000-000098000000}"/>
    <cellStyle name="Level3-Numbers-Hide" xfId="154" xr:uid="{00000000-0005-0000-0000-000099000000}"/>
    <cellStyle name="Level4" xfId="155" xr:uid="{00000000-0005-0000-0000-00009A000000}"/>
    <cellStyle name="Level4 2" xfId="156" xr:uid="{00000000-0005-0000-0000-00009B000000}"/>
    <cellStyle name="Level4-Hide" xfId="157" xr:uid="{00000000-0005-0000-0000-00009C000000}"/>
    <cellStyle name="Level4-Hide 2" xfId="158" xr:uid="{00000000-0005-0000-0000-00009D000000}"/>
    <cellStyle name="Level4-Numbers" xfId="159" xr:uid="{00000000-0005-0000-0000-00009E000000}"/>
    <cellStyle name="Level4-Numbers 2" xfId="160" xr:uid="{00000000-0005-0000-0000-00009F000000}"/>
    <cellStyle name="Level4-Numbers-Hide" xfId="161" xr:uid="{00000000-0005-0000-0000-0000A0000000}"/>
    <cellStyle name="Level5" xfId="162" xr:uid="{00000000-0005-0000-0000-0000A1000000}"/>
    <cellStyle name="Level5 2" xfId="163" xr:uid="{00000000-0005-0000-0000-0000A2000000}"/>
    <cellStyle name="Level5-Hide" xfId="164" xr:uid="{00000000-0005-0000-0000-0000A3000000}"/>
    <cellStyle name="Level5-Hide 2" xfId="165" xr:uid="{00000000-0005-0000-0000-0000A4000000}"/>
    <cellStyle name="Level5-Numbers" xfId="166" xr:uid="{00000000-0005-0000-0000-0000A5000000}"/>
    <cellStyle name="Level5-Numbers 2" xfId="167" xr:uid="{00000000-0005-0000-0000-0000A6000000}"/>
    <cellStyle name="Level5-Numbers-Hide" xfId="168" xr:uid="{00000000-0005-0000-0000-0000A7000000}"/>
    <cellStyle name="Level6" xfId="169" xr:uid="{00000000-0005-0000-0000-0000A8000000}"/>
    <cellStyle name="Level6 2" xfId="170" xr:uid="{00000000-0005-0000-0000-0000A9000000}"/>
    <cellStyle name="Level6-Hide" xfId="171" xr:uid="{00000000-0005-0000-0000-0000AA000000}"/>
    <cellStyle name="Level6-Hide 2" xfId="172" xr:uid="{00000000-0005-0000-0000-0000AB000000}"/>
    <cellStyle name="Level6-Numbers" xfId="173" xr:uid="{00000000-0005-0000-0000-0000AC000000}"/>
    <cellStyle name="Level6-Numbers 2" xfId="174" xr:uid="{00000000-0005-0000-0000-0000AD000000}"/>
    <cellStyle name="Level7" xfId="175" xr:uid="{00000000-0005-0000-0000-0000AE000000}"/>
    <cellStyle name="Level7-Hide" xfId="176" xr:uid="{00000000-0005-0000-0000-0000AF000000}"/>
    <cellStyle name="Level7-Numbers" xfId="177" xr:uid="{00000000-0005-0000-0000-0000B0000000}"/>
    <cellStyle name="Linked Cell" xfId="178" xr:uid="{00000000-0005-0000-0000-0000B1000000}"/>
    <cellStyle name="Neutral" xfId="179" xr:uid="{00000000-0005-0000-0000-0000B2000000}"/>
    <cellStyle name="Normal 2" xfId="180" xr:uid="{00000000-0005-0000-0000-0000B3000000}"/>
    <cellStyle name="Normal_2005_03_15-Финансовый_БГ" xfId="181" xr:uid="{00000000-0005-0000-0000-0000B4000000}"/>
    <cellStyle name="Normal_GSE DCF_Model_31_07_09 final" xfId="182" xr:uid="{00000000-0005-0000-0000-0000B5000000}"/>
    <cellStyle name="Note" xfId="183" xr:uid="{00000000-0005-0000-0000-0000B6000000}"/>
    <cellStyle name="Number-Cells" xfId="184" xr:uid="{00000000-0005-0000-0000-0000B7000000}"/>
    <cellStyle name="Number-Cells-Column2" xfId="185" xr:uid="{00000000-0005-0000-0000-0000B8000000}"/>
    <cellStyle name="Number-Cells-Column5" xfId="186" xr:uid="{00000000-0005-0000-0000-0000B9000000}"/>
    <cellStyle name="Output" xfId="187" xr:uid="{00000000-0005-0000-0000-0000BA000000}"/>
    <cellStyle name="Row-Header" xfId="188" xr:uid="{00000000-0005-0000-0000-0000BB000000}"/>
    <cellStyle name="Row-Header 2" xfId="189" xr:uid="{00000000-0005-0000-0000-0000BC000000}"/>
    <cellStyle name="Title" xfId="190" xr:uid="{00000000-0005-0000-0000-0000BD000000}"/>
    <cellStyle name="Total" xfId="191" xr:uid="{00000000-0005-0000-0000-0000BE000000}"/>
    <cellStyle name="Warning Text" xfId="192" xr:uid="{00000000-0005-0000-0000-0000BF000000}"/>
    <cellStyle name="Акцент1 2" xfId="193" xr:uid="{00000000-0005-0000-0000-0000C0000000}"/>
    <cellStyle name="Акцент1 3" xfId="194" xr:uid="{00000000-0005-0000-0000-0000C1000000}"/>
    <cellStyle name="Акцент2 2" xfId="195" xr:uid="{00000000-0005-0000-0000-0000C2000000}"/>
    <cellStyle name="Акцент2 3" xfId="196" xr:uid="{00000000-0005-0000-0000-0000C3000000}"/>
    <cellStyle name="Акцент3 2" xfId="197" xr:uid="{00000000-0005-0000-0000-0000C4000000}"/>
    <cellStyle name="Акцент3 3" xfId="198" xr:uid="{00000000-0005-0000-0000-0000C5000000}"/>
    <cellStyle name="Акцент4 2" xfId="199" xr:uid="{00000000-0005-0000-0000-0000C6000000}"/>
    <cellStyle name="Акцент4 3" xfId="200" xr:uid="{00000000-0005-0000-0000-0000C7000000}"/>
    <cellStyle name="Акцент5 2" xfId="201" xr:uid="{00000000-0005-0000-0000-0000C8000000}"/>
    <cellStyle name="Акцент5 3" xfId="202" xr:uid="{00000000-0005-0000-0000-0000C9000000}"/>
    <cellStyle name="Акцент6 2" xfId="203" xr:uid="{00000000-0005-0000-0000-0000CA000000}"/>
    <cellStyle name="Акцент6 3" xfId="204" xr:uid="{00000000-0005-0000-0000-0000CB000000}"/>
    <cellStyle name="Ввод  2" xfId="205" xr:uid="{00000000-0005-0000-0000-0000CC000000}"/>
    <cellStyle name="Ввод  3" xfId="206" xr:uid="{00000000-0005-0000-0000-0000CD000000}"/>
    <cellStyle name="Вывод 2" xfId="207" xr:uid="{00000000-0005-0000-0000-0000CE000000}"/>
    <cellStyle name="Вывод 3" xfId="208" xr:uid="{00000000-0005-0000-0000-0000CF000000}"/>
    <cellStyle name="Вычисление 2" xfId="209" xr:uid="{00000000-0005-0000-0000-0000D0000000}"/>
    <cellStyle name="Вычисление 3" xfId="210" xr:uid="{00000000-0005-0000-0000-0000D1000000}"/>
    <cellStyle name="Денежный 2" xfId="211" xr:uid="{00000000-0005-0000-0000-0000D2000000}"/>
    <cellStyle name="Заголовок 1 2" xfId="212" xr:uid="{00000000-0005-0000-0000-0000D3000000}"/>
    <cellStyle name="Заголовок 1 3" xfId="213" xr:uid="{00000000-0005-0000-0000-0000D4000000}"/>
    <cellStyle name="Заголовок 2 2" xfId="214" xr:uid="{00000000-0005-0000-0000-0000D5000000}"/>
    <cellStyle name="Заголовок 2 3" xfId="215" xr:uid="{00000000-0005-0000-0000-0000D6000000}"/>
    <cellStyle name="Заголовок 3 2" xfId="216" xr:uid="{00000000-0005-0000-0000-0000D7000000}"/>
    <cellStyle name="Заголовок 3 3" xfId="217" xr:uid="{00000000-0005-0000-0000-0000D8000000}"/>
    <cellStyle name="Заголовок 4 2" xfId="218" xr:uid="{00000000-0005-0000-0000-0000D9000000}"/>
    <cellStyle name="Заголовок 4 3" xfId="219" xr:uid="{00000000-0005-0000-0000-0000DA000000}"/>
    <cellStyle name="Итог 2" xfId="220" xr:uid="{00000000-0005-0000-0000-0000DB000000}"/>
    <cellStyle name="Итог 3" xfId="221" xr:uid="{00000000-0005-0000-0000-0000DC000000}"/>
    <cellStyle name="Контрольная ячейка 2" xfId="222" xr:uid="{00000000-0005-0000-0000-0000DD000000}"/>
    <cellStyle name="Контрольная ячейка 3" xfId="223" xr:uid="{00000000-0005-0000-0000-0000DE000000}"/>
    <cellStyle name="Название 2" xfId="224" xr:uid="{00000000-0005-0000-0000-0000DF000000}"/>
    <cellStyle name="Название 3" xfId="225" xr:uid="{00000000-0005-0000-0000-0000E0000000}"/>
    <cellStyle name="Нейтральный 2" xfId="226" xr:uid="{00000000-0005-0000-0000-0000E1000000}"/>
    <cellStyle name="Нейтральный 3" xfId="227" xr:uid="{00000000-0005-0000-0000-0000E2000000}"/>
    <cellStyle name="Обычный" xfId="0" builtinId="0"/>
    <cellStyle name="Обычный 10" xfId="228" xr:uid="{00000000-0005-0000-0000-0000E4000000}"/>
    <cellStyle name="Обычный 11" xfId="229" xr:uid="{00000000-0005-0000-0000-0000E5000000}"/>
    <cellStyle name="Обычный 12" xfId="230" xr:uid="{00000000-0005-0000-0000-0000E6000000}"/>
    <cellStyle name="Обычный 13" xfId="231" xr:uid="{00000000-0005-0000-0000-0000E7000000}"/>
    <cellStyle name="Обычный 14" xfId="232" xr:uid="{00000000-0005-0000-0000-0000E8000000}"/>
    <cellStyle name="Обычный 15" xfId="233" xr:uid="{00000000-0005-0000-0000-0000E9000000}"/>
    <cellStyle name="Обычный 16" xfId="234" xr:uid="{00000000-0005-0000-0000-0000EA000000}"/>
    <cellStyle name="Обычный 17" xfId="235" xr:uid="{00000000-0005-0000-0000-0000EB000000}"/>
    <cellStyle name="Обычный 18" xfId="236" xr:uid="{00000000-0005-0000-0000-0000EC000000}"/>
    <cellStyle name="Обычный 2" xfId="237" xr:uid="{00000000-0005-0000-0000-0000ED000000}"/>
    <cellStyle name="Обычный 2 10" xfId="238" xr:uid="{00000000-0005-0000-0000-0000EE000000}"/>
    <cellStyle name="Обычный 2 11" xfId="239" xr:uid="{00000000-0005-0000-0000-0000EF000000}"/>
    <cellStyle name="Обычный 2 12" xfId="240" xr:uid="{00000000-0005-0000-0000-0000F0000000}"/>
    <cellStyle name="Обычный 2 13" xfId="241" xr:uid="{00000000-0005-0000-0000-0000F1000000}"/>
    <cellStyle name="Обычный 2 14" xfId="242" xr:uid="{00000000-0005-0000-0000-0000F2000000}"/>
    <cellStyle name="Обычный 2 15" xfId="243" xr:uid="{00000000-0005-0000-0000-0000F3000000}"/>
    <cellStyle name="Обычный 2 16" xfId="244" xr:uid="{00000000-0005-0000-0000-0000F4000000}"/>
    <cellStyle name="Обычный 2 2" xfId="245" xr:uid="{00000000-0005-0000-0000-0000F5000000}"/>
    <cellStyle name="Обычный 2 2 2" xfId="246" xr:uid="{00000000-0005-0000-0000-0000F6000000}"/>
    <cellStyle name="Обычный 2 2 3" xfId="247" xr:uid="{00000000-0005-0000-0000-0000F7000000}"/>
    <cellStyle name="Обычный 2 2_Расшифровка прочих" xfId="248" xr:uid="{00000000-0005-0000-0000-0000F8000000}"/>
    <cellStyle name="Обычный 2 3" xfId="249" xr:uid="{00000000-0005-0000-0000-0000F9000000}"/>
    <cellStyle name="Обычный 2 4" xfId="250" xr:uid="{00000000-0005-0000-0000-0000FA000000}"/>
    <cellStyle name="Обычный 2 5" xfId="251" xr:uid="{00000000-0005-0000-0000-0000FB000000}"/>
    <cellStyle name="Обычный 2 6" xfId="252" xr:uid="{00000000-0005-0000-0000-0000FC000000}"/>
    <cellStyle name="Обычный 2 7" xfId="253" xr:uid="{00000000-0005-0000-0000-0000FD000000}"/>
    <cellStyle name="Обычный 2 8" xfId="254" xr:uid="{00000000-0005-0000-0000-0000FE000000}"/>
    <cellStyle name="Обычный 2 9" xfId="255" xr:uid="{00000000-0005-0000-0000-0000FF000000}"/>
    <cellStyle name="Обычный 2_2604-2010" xfId="256" xr:uid="{00000000-0005-0000-0000-000000010000}"/>
    <cellStyle name="Обычный 3" xfId="257" xr:uid="{00000000-0005-0000-0000-000001010000}"/>
    <cellStyle name="Обычный 3 10" xfId="258" xr:uid="{00000000-0005-0000-0000-000002010000}"/>
    <cellStyle name="Обычный 3 11" xfId="259" xr:uid="{00000000-0005-0000-0000-000003010000}"/>
    <cellStyle name="Обычный 3 12" xfId="260" xr:uid="{00000000-0005-0000-0000-000004010000}"/>
    <cellStyle name="Обычный 3 13" xfId="261" xr:uid="{00000000-0005-0000-0000-000005010000}"/>
    <cellStyle name="Обычный 3 14" xfId="262" xr:uid="{00000000-0005-0000-0000-000006010000}"/>
    <cellStyle name="Обычный 3 2" xfId="263" xr:uid="{00000000-0005-0000-0000-000007010000}"/>
    <cellStyle name="Обычный 3 3" xfId="264" xr:uid="{00000000-0005-0000-0000-000008010000}"/>
    <cellStyle name="Обычный 3 4" xfId="265" xr:uid="{00000000-0005-0000-0000-000009010000}"/>
    <cellStyle name="Обычный 3 5" xfId="266" xr:uid="{00000000-0005-0000-0000-00000A010000}"/>
    <cellStyle name="Обычный 3 6" xfId="267" xr:uid="{00000000-0005-0000-0000-00000B010000}"/>
    <cellStyle name="Обычный 3 7" xfId="268" xr:uid="{00000000-0005-0000-0000-00000C010000}"/>
    <cellStyle name="Обычный 3 8" xfId="269" xr:uid="{00000000-0005-0000-0000-00000D010000}"/>
    <cellStyle name="Обычный 3 9" xfId="270" xr:uid="{00000000-0005-0000-0000-00000E010000}"/>
    <cellStyle name="Обычный 3_Дефицит_7 млрд_0608_бс" xfId="271" xr:uid="{00000000-0005-0000-0000-00000F010000}"/>
    <cellStyle name="Обычный 4" xfId="272" xr:uid="{00000000-0005-0000-0000-000010010000}"/>
    <cellStyle name="Обычный 5" xfId="273" xr:uid="{00000000-0005-0000-0000-000011010000}"/>
    <cellStyle name="Обычный 5 2" xfId="274" xr:uid="{00000000-0005-0000-0000-000012010000}"/>
    <cellStyle name="Обычный 6" xfId="275" xr:uid="{00000000-0005-0000-0000-000013010000}"/>
    <cellStyle name="Обычный 6 2" xfId="276" xr:uid="{00000000-0005-0000-0000-000014010000}"/>
    <cellStyle name="Обычный 6 3" xfId="277" xr:uid="{00000000-0005-0000-0000-000015010000}"/>
    <cellStyle name="Обычный 6 4" xfId="278" xr:uid="{00000000-0005-0000-0000-000016010000}"/>
    <cellStyle name="Обычный 6_Дефицит_7 млрд_0608_бс" xfId="279" xr:uid="{00000000-0005-0000-0000-000017010000}"/>
    <cellStyle name="Обычный 7" xfId="280" xr:uid="{00000000-0005-0000-0000-000018010000}"/>
    <cellStyle name="Обычный 7 2" xfId="281" xr:uid="{00000000-0005-0000-0000-000019010000}"/>
    <cellStyle name="Обычный 8" xfId="282" xr:uid="{00000000-0005-0000-0000-00001A010000}"/>
    <cellStyle name="Обычный 9" xfId="283" xr:uid="{00000000-0005-0000-0000-00001B010000}"/>
    <cellStyle name="Обычный 9 2" xfId="284" xr:uid="{00000000-0005-0000-0000-00001C010000}"/>
    <cellStyle name="Обычный_касса" xfId="354" xr:uid="{00000000-0005-0000-0000-00001D010000}"/>
    <cellStyle name="Плохой 2" xfId="285" xr:uid="{00000000-0005-0000-0000-00001E010000}"/>
    <cellStyle name="Плохой 3" xfId="286" xr:uid="{00000000-0005-0000-0000-00001F010000}"/>
    <cellStyle name="Пояснение 2" xfId="287" xr:uid="{00000000-0005-0000-0000-000020010000}"/>
    <cellStyle name="Пояснение 3" xfId="288" xr:uid="{00000000-0005-0000-0000-000021010000}"/>
    <cellStyle name="Примечание 2" xfId="289" xr:uid="{00000000-0005-0000-0000-000022010000}"/>
    <cellStyle name="Примечание 3" xfId="290" xr:uid="{00000000-0005-0000-0000-000023010000}"/>
    <cellStyle name="Процентный 2" xfId="291" xr:uid="{00000000-0005-0000-0000-000024010000}"/>
    <cellStyle name="Процентный 2 10" xfId="292" xr:uid="{00000000-0005-0000-0000-000025010000}"/>
    <cellStyle name="Процентный 2 11" xfId="293" xr:uid="{00000000-0005-0000-0000-000026010000}"/>
    <cellStyle name="Процентный 2 12" xfId="294" xr:uid="{00000000-0005-0000-0000-000027010000}"/>
    <cellStyle name="Процентный 2 13" xfId="295" xr:uid="{00000000-0005-0000-0000-000028010000}"/>
    <cellStyle name="Процентный 2 14" xfId="296" xr:uid="{00000000-0005-0000-0000-000029010000}"/>
    <cellStyle name="Процентный 2 15" xfId="297" xr:uid="{00000000-0005-0000-0000-00002A010000}"/>
    <cellStyle name="Процентный 2 16" xfId="298" xr:uid="{00000000-0005-0000-0000-00002B010000}"/>
    <cellStyle name="Процентный 2 2" xfId="299" xr:uid="{00000000-0005-0000-0000-00002C010000}"/>
    <cellStyle name="Процентный 2 3" xfId="300" xr:uid="{00000000-0005-0000-0000-00002D010000}"/>
    <cellStyle name="Процентный 2 4" xfId="301" xr:uid="{00000000-0005-0000-0000-00002E010000}"/>
    <cellStyle name="Процентный 2 5" xfId="302" xr:uid="{00000000-0005-0000-0000-00002F010000}"/>
    <cellStyle name="Процентный 2 6" xfId="303" xr:uid="{00000000-0005-0000-0000-000030010000}"/>
    <cellStyle name="Процентный 2 7" xfId="304" xr:uid="{00000000-0005-0000-0000-000031010000}"/>
    <cellStyle name="Процентный 2 8" xfId="305" xr:uid="{00000000-0005-0000-0000-000032010000}"/>
    <cellStyle name="Процентный 2 9" xfId="306" xr:uid="{00000000-0005-0000-0000-000033010000}"/>
    <cellStyle name="Процентный 3" xfId="307" xr:uid="{00000000-0005-0000-0000-000034010000}"/>
    <cellStyle name="Процентный 4" xfId="308" xr:uid="{00000000-0005-0000-0000-000035010000}"/>
    <cellStyle name="Процентный 4 2" xfId="309" xr:uid="{00000000-0005-0000-0000-000036010000}"/>
    <cellStyle name="Связанная ячейка 2" xfId="310" xr:uid="{00000000-0005-0000-0000-000037010000}"/>
    <cellStyle name="Связанная ячейка 3" xfId="311" xr:uid="{00000000-0005-0000-0000-000038010000}"/>
    <cellStyle name="Стиль 1" xfId="312" xr:uid="{00000000-0005-0000-0000-000039010000}"/>
    <cellStyle name="Стиль 1 2" xfId="313" xr:uid="{00000000-0005-0000-0000-00003A010000}"/>
    <cellStyle name="Стиль 1 3" xfId="314" xr:uid="{00000000-0005-0000-0000-00003B010000}"/>
    <cellStyle name="Стиль 1 4" xfId="315" xr:uid="{00000000-0005-0000-0000-00003C010000}"/>
    <cellStyle name="Стиль 1 5" xfId="316" xr:uid="{00000000-0005-0000-0000-00003D010000}"/>
    <cellStyle name="Стиль 1 6" xfId="317" xr:uid="{00000000-0005-0000-0000-00003E010000}"/>
    <cellStyle name="Стиль 1 7" xfId="318" xr:uid="{00000000-0005-0000-0000-00003F010000}"/>
    <cellStyle name="Текст предупреждения 2" xfId="319" xr:uid="{00000000-0005-0000-0000-000040010000}"/>
    <cellStyle name="Текст предупреждения 3" xfId="320" xr:uid="{00000000-0005-0000-0000-000041010000}"/>
    <cellStyle name="Тысячи [0]_1.62" xfId="321" xr:uid="{00000000-0005-0000-0000-000042010000}"/>
    <cellStyle name="Тысячи_1.62" xfId="322" xr:uid="{00000000-0005-0000-0000-000043010000}"/>
    <cellStyle name="Финансовый" xfId="323" builtinId="3"/>
    <cellStyle name="Финансовый 2" xfId="324" xr:uid="{00000000-0005-0000-0000-000045010000}"/>
    <cellStyle name="Финансовый 2 10" xfId="325" xr:uid="{00000000-0005-0000-0000-000046010000}"/>
    <cellStyle name="Финансовый 2 11" xfId="326" xr:uid="{00000000-0005-0000-0000-000047010000}"/>
    <cellStyle name="Финансовый 2 12" xfId="327" xr:uid="{00000000-0005-0000-0000-000048010000}"/>
    <cellStyle name="Финансовый 2 13" xfId="328" xr:uid="{00000000-0005-0000-0000-000049010000}"/>
    <cellStyle name="Финансовый 2 14" xfId="329" xr:uid="{00000000-0005-0000-0000-00004A010000}"/>
    <cellStyle name="Финансовый 2 15" xfId="330" xr:uid="{00000000-0005-0000-0000-00004B010000}"/>
    <cellStyle name="Финансовый 2 16" xfId="331" xr:uid="{00000000-0005-0000-0000-00004C010000}"/>
    <cellStyle name="Финансовый 2 17" xfId="332" xr:uid="{00000000-0005-0000-0000-00004D010000}"/>
    <cellStyle name="Финансовый 2 2" xfId="333" xr:uid="{00000000-0005-0000-0000-00004E010000}"/>
    <cellStyle name="Финансовый 2 3" xfId="334" xr:uid="{00000000-0005-0000-0000-00004F010000}"/>
    <cellStyle name="Финансовый 2 4" xfId="335" xr:uid="{00000000-0005-0000-0000-000050010000}"/>
    <cellStyle name="Финансовый 2 5" xfId="336" xr:uid="{00000000-0005-0000-0000-000051010000}"/>
    <cellStyle name="Финансовый 2 6" xfId="337" xr:uid="{00000000-0005-0000-0000-000052010000}"/>
    <cellStyle name="Финансовый 2 7" xfId="338" xr:uid="{00000000-0005-0000-0000-000053010000}"/>
    <cellStyle name="Финансовый 2 8" xfId="339" xr:uid="{00000000-0005-0000-0000-000054010000}"/>
    <cellStyle name="Финансовый 2 9" xfId="340" xr:uid="{00000000-0005-0000-0000-000055010000}"/>
    <cellStyle name="Финансовый 3" xfId="341" xr:uid="{00000000-0005-0000-0000-000056010000}"/>
    <cellStyle name="Финансовый 3 2" xfId="342" xr:uid="{00000000-0005-0000-0000-000057010000}"/>
    <cellStyle name="Финансовый 4" xfId="343" xr:uid="{00000000-0005-0000-0000-000058010000}"/>
    <cellStyle name="Финансовый 4 2" xfId="344" xr:uid="{00000000-0005-0000-0000-000059010000}"/>
    <cellStyle name="Финансовый 4 3" xfId="345" xr:uid="{00000000-0005-0000-0000-00005A010000}"/>
    <cellStyle name="Финансовый 5" xfId="346" xr:uid="{00000000-0005-0000-0000-00005B010000}"/>
    <cellStyle name="Финансовый 6" xfId="347" xr:uid="{00000000-0005-0000-0000-00005C010000}"/>
    <cellStyle name="Финансовый 7" xfId="348" xr:uid="{00000000-0005-0000-0000-00005D010000}"/>
    <cellStyle name="Хороший 2" xfId="349" xr:uid="{00000000-0005-0000-0000-00005E010000}"/>
    <cellStyle name="Хороший 3" xfId="350" xr:uid="{00000000-0005-0000-0000-00005F010000}"/>
    <cellStyle name="числовой" xfId="351" xr:uid="{00000000-0005-0000-0000-000060010000}"/>
    <cellStyle name="Ю" xfId="352" xr:uid="{00000000-0005-0000-0000-000061010000}"/>
    <cellStyle name="Ю-FreeSet_10" xfId="353" xr:uid="{00000000-0005-0000-0000-000062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styles" Target="styles.xml"/><Relationship Id="rId20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78</xdr:row>
      <xdr:rowOff>0</xdr:rowOff>
    </xdr:from>
    <xdr:to>
      <xdr:col>0</xdr:col>
      <xdr:colOff>4743450</xdr:colOff>
      <xdr:row>78</xdr:row>
      <xdr:rowOff>0</xdr:rowOff>
    </xdr:to>
    <xdr:sp macro="" textlink="">
      <xdr:nvSpPr>
        <xdr:cNvPr id="3223" name="Line 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>
          <a:spLocks noChangeShapeType="1"/>
        </xdr:cNvSpPr>
      </xdr:nvSpPr>
      <xdr:spPr bwMode="auto">
        <a:xfrm>
          <a:off x="1352550" y="29308425"/>
          <a:ext cx="3390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78</xdr:row>
      <xdr:rowOff>0</xdr:rowOff>
    </xdr:from>
    <xdr:to>
      <xdr:col>3</xdr:col>
      <xdr:colOff>1619250</xdr:colOff>
      <xdr:row>78</xdr:row>
      <xdr:rowOff>0</xdr:rowOff>
    </xdr:to>
    <xdr:sp macro="" textlink="">
      <xdr:nvSpPr>
        <xdr:cNvPr id="3224" name="Line 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>
          <a:spLocks noChangeShapeType="1"/>
        </xdr:cNvSpPr>
      </xdr:nvSpPr>
      <xdr:spPr bwMode="auto">
        <a:xfrm>
          <a:off x="6096000" y="29308425"/>
          <a:ext cx="3190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78</xdr:row>
      <xdr:rowOff>0</xdr:rowOff>
    </xdr:from>
    <xdr:to>
      <xdr:col>6</xdr:col>
      <xdr:colOff>1447800</xdr:colOff>
      <xdr:row>78</xdr:row>
      <xdr:rowOff>0</xdr:rowOff>
    </xdr:to>
    <xdr:sp macro="" textlink="">
      <xdr:nvSpPr>
        <xdr:cNvPr id="3225" name="Line 3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>
          <a:spLocks noChangeShapeType="1"/>
        </xdr:cNvSpPr>
      </xdr:nvSpPr>
      <xdr:spPr bwMode="auto">
        <a:xfrm>
          <a:off x="10915650" y="29308425"/>
          <a:ext cx="3038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1295400</xdr:colOff>
      <xdr:row>146</xdr:row>
      <xdr:rowOff>0</xdr:rowOff>
    </xdr:from>
    <xdr:to>
      <xdr:col>0</xdr:col>
      <xdr:colOff>4972050</xdr:colOff>
      <xdr:row>146</xdr:row>
      <xdr:rowOff>0</xdr:rowOff>
    </xdr:to>
    <xdr:sp macro="" textlink="">
      <xdr:nvSpPr>
        <xdr:cNvPr id="1187" name="Line 1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>
          <a:spLocks noChangeShapeType="1"/>
        </xdr:cNvSpPr>
      </xdr:nvSpPr>
      <xdr:spPr bwMode="auto">
        <a:xfrm>
          <a:off x="1295400" y="49329975"/>
          <a:ext cx="3676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781050</xdr:colOff>
      <xdr:row>146</xdr:row>
      <xdr:rowOff>0</xdr:rowOff>
    </xdr:from>
    <xdr:to>
      <xdr:col>4</xdr:col>
      <xdr:colOff>552450</xdr:colOff>
      <xdr:row>146</xdr:row>
      <xdr:rowOff>0</xdr:rowOff>
    </xdr:to>
    <xdr:sp macro="" textlink="">
      <xdr:nvSpPr>
        <xdr:cNvPr id="1188" name="Line 2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>
          <a:spLocks noChangeShapeType="1"/>
        </xdr:cNvSpPr>
      </xdr:nvSpPr>
      <xdr:spPr bwMode="auto">
        <a:xfrm>
          <a:off x="5810250" y="49329975"/>
          <a:ext cx="255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146</xdr:row>
      <xdr:rowOff>0</xdr:rowOff>
    </xdr:from>
    <xdr:to>
      <xdr:col>7</xdr:col>
      <xdr:colOff>1619250</xdr:colOff>
      <xdr:row>146</xdr:row>
      <xdr:rowOff>0</xdr:rowOff>
    </xdr:to>
    <xdr:sp macro="" textlink="">
      <xdr:nvSpPr>
        <xdr:cNvPr id="1189" name="Line 3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>
          <a:spLocks noChangeShapeType="1"/>
        </xdr:cNvSpPr>
      </xdr:nvSpPr>
      <xdr:spPr bwMode="auto">
        <a:xfrm>
          <a:off x="9610725" y="49329975"/>
          <a:ext cx="2790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1352550</xdr:colOff>
      <xdr:row>146</xdr:row>
      <xdr:rowOff>0</xdr:rowOff>
    </xdr:from>
    <xdr:to>
      <xdr:col>0</xdr:col>
      <xdr:colOff>4743450</xdr:colOff>
      <xdr:row>146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8DC9BB90-5567-41BA-9D2F-58E3C7CB5487}"/>
            </a:ext>
          </a:extLst>
        </xdr:cNvPr>
        <xdr:cNvSpPr>
          <a:spLocks noChangeShapeType="1"/>
        </xdr:cNvSpPr>
      </xdr:nvSpPr>
      <xdr:spPr bwMode="auto">
        <a:xfrm>
          <a:off x="1352550" y="17627600"/>
          <a:ext cx="278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146</xdr:row>
      <xdr:rowOff>0</xdr:rowOff>
    </xdr:from>
    <xdr:to>
      <xdr:col>3</xdr:col>
      <xdr:colOff>1619250</xdr:colOff>
      <xdr:row>146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BC513F52-2525-4A67-8F39-21FF2A7109E0}"/>
            </a:ext>
          </a:extLst>
        </xdr:cNvPr>
        <xdr:cNvSpPr>
          <a:spLocks noChangeShapeType="1"/>
        </xdr:cNvSpPr>
      </xdr:nvSpPr>
      <xdr:spPr bwMode="auto">
        <a:xfrm>
          <a:off x="4965700" y="17627600"/>
          <a:ext cx="205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146</xdr:row>
      <xdr:rowOff>0</xdr:rowOff>
    </xdr:from>
    <xdr:to>
      <xdr:col>6</xdr:col>
      <xdr:colOff>1447800</xdr:colOff>
      <xdr:row>146</xdr:row>
      <xdr:rowOff>0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AD552E3C-365C-4B3E-81AA-79F9A762B61D}"/>
            </a:ext>
          </a:extLst>
        </xdr:cNvPr>
        <xdr:cNvSpPr>
          <a:spLocks noChangeShapeType="1"/>
        </xdr:cNvSpPr>
      </xdr:nvSpPr>
      <xdr:spPr bwMode="auto">
        <a:xfrm>
          <a:off x="8045450" y="17627600"/>
          <a:ext cx="233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1228725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304" name="Line 1">
          <a:extLst>
            <a:ext uri="{FF2B5EF4-FFF2-40B4-BE49-F238E27FC236}">
              <a16:creationId xmlns:a16="http://schemas.microsoft.com/office/drawing/2014/main" id="{00000000-0008-0000-0200-000000090000}"/>
            </a:ext>
          </a:extLst>
        </xdr:cNvPr>
        <xdr:cNvSpPr>
          <a:spLocks noChangeShapeType="1"/>
        </xdr:cNvSpPr>
      </xdr:nvSpPr>
      <xdr:spPr bwMode="auto">
        <a:xfrm>
          <a:off x="1228725" y="1733550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43</xdr:row>
      <xdr:rowOff>0</xdr:rowOff>
    </xdr:from>
    <xdr:to>
      <xdr:col>4</xdr:col>
      <xdr:colOff>66675</xdr:colOff>
      <xdr:row>43</xdr:row>
      <xdr:rowOff>0</xdr:rowOff>
    </xdr:to>
    <xdr:sp macro="" textlink="">
      <xdr:nvSpPr>
        <xdr:cNvPr id="2305" name="Line 2">
          <a:extLst>
            <a:ext uri="{FF2B5EF4-FFF2-40B4-BE49-F238E27FC236}">
              <a16:creationId xmlns:a16="http://schemas.microsoft.com/office/drawing/2014/main" id="{00000000-0008-0000-0200-000001090000}"/>
            </a:ext>
          </a:extLst>
        </xdr:cNvPr>
        <xdr:cNvSpPr>
          <a:spLocks noChangeShapeType="1"/>
        </xdr:cNvSpPr>
      </xdr:nvSpPr>
      <xdr:spPr bwMode="auto">
        <a:xfrm>
          <a:off x="5295900" y="17335500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923925</xdr:colOff>
      <xdr:row>43</xdr:row>
      <xdr:rowOff>0</xdr:rowOff>
    </xdr:from>
    <xdr:to>
      <xdr:col>6</xdr:col>
      <xdr:colOff>962025</xdr:colOff>
      <xdr:row>43</xdr:row>
      <xdr:rowOff>0</xdr:rowOff>
    </xdr:to>
    <xdr:sp macro="" textlink="">
      <xdr:nvSpPr>
        <xdr:cNvPr id="2306" name="Line 3">
          <a:extLst>
            <a:ext uri="{FF2B5EF4-FFF2-40B4-BE49-F238E27FC236}">
              <a16:creationId xmlns:a16="http://schemas.microsoft.com/office/drawing/2014/main" id="{00000000-0008-0000-0200-000002090000}"/>
            </a:ext>
          </a:extLst>
        </xdr:cNvPr>
        <xdr:cNvSpPr>
          <a:spLocks noChangeShapeType="1"/>
        </xdr:cNvSpPr>
      </xdr:nvSpPr>
      <xdr:spPr bwMode="auto">
        <a:xfrm>
          <a:off x="8439150" y="17335500"/>
          <a:ext cx="2219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1295400</xdr:colOff>
      <xdr:row>43</xdr:row>
      <xdr:rowOff>0</xdr:rowOff>
    </xdr:from>
    <xdr:to>
      <xdr:col>0</xdr:col>
      <xdr:colOff>4276725</xdr:colOff>
      <xdr:row>43</xdr:row>
      <xdr:rowOff>0</xdr:rowOff>
    </xdr:to>
    <xdr:sp macro="" textlink="">
      <xdr:nvSpPr>
        <xdr:cNvPr id="2307" name="Line 1">
          <a:extLst>
            <a:ext uri="{FF2B5EF4-FFF2-40B4-BE49-F238E27FC236}">
              <a16:creationId xmlns:a16="http://schemas.microsoft.com/office/drawing/2014/main" id="{00000000-0008-0000-0200-000003090000}"/>
            </a:ext>
          </a:extLst>
        </xdr:cNvPr>
        <xdr:cNvSpPr>
          <a:spLocks noChangeShapeType="1"/>
        </xdr:cNvSpPr>
      </xdr:nvSpPr>
      <xdr:spPr bwMode="auto">
        <a:xfrm>
          <a:off x="1295400" y="17335500"/>
          <a:ext cx="2981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781050</xdr:colOff>
      <xdr:row>43</xdr:row>
      <xdr:rowOff>0</xdr:rowOff>
    </xdr:from>
    <xdr:to>
      <xdr:col>4</xdr:col>
      <xdr:colOff>552450</xdr:colOff>
      <xdr:row>43</xdr:row>
      <xdr:rowOff>0</xdr:rowOff>
    </xdr:to>
    <xdr:sp macro="" textlink="">
      <xdr:nvSpPr>
        <xdr:cNvPr id="2308" name="Line 2">
          <a:extLst>
            <a:ext uri="{FF2B5EF4-FFF2-40B4-BE49-F238E27FC236}">
              <a16:creationId xmlns:a16="http://schemas.microsoft.com/office/drawing/2014/main" id="{00000000-0008-0000-0200-000004090000}"/>
            </a:ext>
          </a:extLst>
        </xdr:cNvPr>
        <xdr:cNvSpPr>
          <a:spLocks noChangeShapeType="1"/>
        </xdr:cNvSpPr>
      </xdr:nvSpPr>
      <xdr:spPr bwMode="auto">
        <a:xfrm>
          <a:off x="5057775" y="17335500"/>
          <a:ext cx="3009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771525</xdr:colOff>
      <xdr:row>42</xdr:row>
      <xdr:rowOff>981075</xdr:rowOff>
    </xdr:from>
    <xdr:to>
      <xdr:col>6</xdr:col>
      <xdr:colOff>200025</xdr:colOff>
      <xdr:row>42</xdr:row>
      <xdr:rowOff>981075</xdr:rowOff>
    </xdr:to>
    <xdr:sp macro="" textlink="">
      <xdr:nvSpPr>
        <xdr:cNvPr id="2309" name="Line 3">
          <a:extLst>
            <a:ext uri="{FF2B5EF4-FFF2-40B4-BE49-F238E27FC236}">
              <a16:creationId xmlns:a16="http://schemas.microsoft.com/office/drawing/2014/main" id="{00000000-0008-0000-0200-000005090000}"/>
            </a:ext>
          </a:extLst>
        </xdr:cNvPr>
        <xdr:cNvSpPr>
          <a:spLocks noChangeShapeType="1"/>
        </xdr:cNvSpPr>
      </xdr:nvSpPr>
      <xdr:spPr bwMode="auto">
        <a:xfrm>
          <a:off x="8286750" y="173259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1352550</xdr:colOff>
      <xdr:row>43</xdr:row>
      <xdr:rowOff>0</xdr:rowOff>
    </xdr:from>
    <xdr:to>
      <xdr:col>0</xdr:col>
      <xdr:colOff>4743450</xdr:colOff>
      <xdr:row>43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625C1F40-218B-41AB-8285-B2F5F614C627}"/>
            </a:ext>
          </a:extLst>
        </xdr:cNvPr>
        <xdr:cNvSpPr>
          <a:spLocks noChangeShapeType="1"/>
        </xdr:cNvSpPr>
      </xdr:nvSpPr>
      <xdr:spPr bwMode="auto">
        <a:xfrm>
          <a:off x="1352550" y="17627600"/>
          <a:ext cx="278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43</xdr:row>
      <xdr:rowOff>0</xdr:rowOff>
    </xdr:from>
    <xdr:to>
      <xdr:col>3</xdr:col>
      <xdr:colOff>1619250</xdr:colOff>
      <xdr:row>43</xdr:row>
      <xdr:rowOff>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4EEA3289-6A65-4749-A059-E64D3403BEA8}"/>
            </a:ext>
          </a:extLst>
        </xdr:cNvPr>
        <xdr:cNvSpPr>
          <a:spLocks noChangeShapeType="1"/>
        </xdr:cNvSpPr>
      </xdr:nvSpPr>
      <xdr:spPr bwMode="auto">
        <a:xfrm>
          <a:off x="4965700" y="17627600"/>
          <a:ext cx="205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43</xdr:row>
      <xdr:rowOff>0</xdr:rowOff>
    </xdr:from>
    <xdr:to>
      <xdr:col>6</xdr:col>
      <xdr:colOff>1447800</xdr:colOff>
      <xdr:row>43</xdr:row>
      <xdr:rowOff>0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F63D03D7-F563-4AD8-B313-71F9C1E84989}"/>
            </a:ext>
          </a:extLst>
        </xdr:cNvPr>
        <xdr:cNvSpPr>
          <a:spLocks noChangeShapeType="1"/>
        </xdr:cNvSpPr>
      </xdr:nvSpPr>
      <xdr:spPr bwMode="auto">
        <a:xfrm>
          <a:off x="8045450" y="17627600"/>
          <a:ext cx="233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90</xdr:row>
      <xdr:rowOff>0</xdr:rowOff>
    </xdr:from>
    <xdr:to>
      <xdr:col>0</xdr:col>
      <xdr:colOff>3971925</xdr:colOff>
      <xdr:row>90</xdr:row>
      <xdr:rowOff>0</xdr:rowOff>
    </xdr:to>
    <xdr:sp macro="" textlink="">
      <xdr:nvSpPr>
        <xdr:cNvPr id="4282" name="Line 1">
          <a:extLst>
            <a:ext uri="{FF2B5EF4-FFF2-40B4-BE49-F238E27FC236}">
              <a16:creationId xmlns:a16="http://schemas.microsoft.com/office/drawing/2014/main" id="{00000000-0008-0000-0300-0000BA100000}"/>
            </a:ext>
          </a:extLst>
        </xdr:cNvPr>
        <xdr:cNvSpPr>
          <a:spLocks noChangeShapeType="1"/>
        </xdr:cNvSpPr>
      </xdr:nvSpPr>
      <xdr:spPr bwMode="auto">
        <a:xfrm>
          <a:off x="1019175" y="24917400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90</xdr:row>
      <xdr:rowOff>0</xdr:rowOff>
    </xdr:from>
    <xdr:to>
      <xdr:col>3</xdr:col>
      <xdr:colOff>723900</xdr:colOff>
      <xdr:row>90</xdr:row>
      <xdr:rowOff>0</xdr:rowOff>
    </xdr:to>
    <xdr:sp macro="" textlink="">
      <xdr:nvSpPr>
        <xdr:cNvPr id="4283" name="Line 2">
          <a:extLst>
            <a:ext uri="{FF2B5EF4-FFF2-40B4-BE49-F238E27FC236}">
              <a16:creationId xmlns:a16="http://schemas.microsoft.com/office/drawing/2014/main" id="{00000000-0008-0000-0300-0000BB100000}"/>
            </a:ext>
          </a:extLst>
        </xdr:cNvPr>
        <xdr:cNvSpPr>
          <a:spLocks noChangeShapeType="1"/>
        </xdr:cNvSpPr>
      </xdr:nvSpPr>
      <xdr:spPr bwMode="auto">
        <a:xfrm>
          <a:off x="4810125" y="2491740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90</xdr:row>
      <xdr:rowOff>0</xdr:rowOff>
    </xdr:from>
    <xdr:to>
      <xdr:col>7</xdr:col>
      <xdr:colOff>0</xdr:colOff>
      <xdr:row>90</xdr:row>
      <xdr:rowOff>0</xdr:rowOff>
    </xdr:to>
    <xdr:sp macro="" textlink="">
      <xdr:nvSpPr>
        <xdr:cNvPr id="4284" name="Line 3">
          <a:extLst>
            <a:ext uri="{FF2B5EF4-FFF2-40B4-BE49-F238E27FC236}">
              <a16:creationId xmlns:a16="http://schemas.microsoft.com/office/drawing/2014/main" id="{00000000-0008-0000-0300-0000BC100000}"/>
            </a:ext>
          </a:extLst>
        </xdr:cNvPr>
        <xdr:cNvSpPr>
          <a:spLocks noChangeShapeType="1"/>
        </xdr:cNvSpPr>
      </xdr:nvSpPr>
      <xdr:spPr bwMode="auto">
        <a:xfrm>
          <a:off x="7477125" y="24917400"/>
          <a:ext cx="2133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1352550</xdr:colOff>
      <xdr:row>90</xdr:row>
      <xdr:rowOff>0</xdr:rowOff>
    </xdr:from>
    <xdr:to>
      <xdr:col>0</xdr:col>
      <xdr:colOff>4743450</xdr:colOff>
      <xdr:row>90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4B17D1F4-1719-4F41-B382-836F59F2CDAD}"/>
            </a:ext>
          </a:extLst>
        </xdr:cNvPr>
        <xdr:cNvSpPr>
          <a:spLocks noChangeShapeType="1"/>
        </xdr:cNvSpPr>
      </xdr:nvSpPr>
      <xdr:spPr bwMode="auto">
        <a:xfrm>
          <a:off x="1352550" y="17627600"/>
          <a:ext cx="278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90</xdr:row>
      <xdr:rowOff>0</xdr:rowOff>
    </xdr:from>
    <xdr:to>
      <xdr:col>3</xdr:col>
      <xdr:colOff>1619250</xdr:colOff>
      <xdr:row>90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B9B5B7F8-B793-4B2F-A064-58C010B69CC0}"/>
            </a:ext>
          </a:extLst>
        </xdr:cNvPr>
        <xdr:cNvSpPr>
          <a:spLocks noChangeShapeType="1"/>
        </xdr:cNvSpPr>
      </xdr:nvSpPr>
      <xdr:spPr bwMode="auto">
        <a:xfrm>
          <a:off x="4965700" y="17627600"/>
          <a:ext cx="205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90</xdr:row>
      <xdr:rowOff>0</xdr:rowOff>
    </xdr:from>
    <xdr:to>
      <xdr:col>6</xdr:col>
      <xdr:colOff>1447800</xdr:colOff>
      <xdr:row>90</xdr:row>
      <xdr:rowOff>0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92EFD478-D6E1-426B-9A7B-7E0D6A9A1B07}"/>
            </a:ext>
          </a:extLst>
        </xdr:cNvPr>
        <xdr:cNvSpPr>
          <a:spLocks noChangeShapeType="1"/>
        </xdr:cNvSpPr>
      </xdr:nvSpPr>
      <xdr:spPr bwMode="auto">
        <a:xfrm>
          <a:off x="8045450" y="17627600"/>
          <a:ext cx="233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15</xdr:row>
      <xdr:rowOff>0</xdr:rowOff>
    </xdr:from>
    <xdr:to>
      <xdr:col>0</xdr:col>
      <xdr:colOff>3971925</xdr:colOff>
      <xdr:row>15</xdr:row>
      <xdr:rowOff>0</xdr:rowOff>
    </xdr:to>
    <xdr:sp macro="" textlink="">
      <xdr:nvSpPr>
        <xdr:cNvPr id="5306" name="Line 1">
          <a:extLst>
            <a:ext uri="{FF2B5EF4-FFF2-40B4-BE49-F238E27FC236}">
              <a16:creationId xmlns:a16="http://schemas.microsoft.com/office/drawing/2014/main" id="{00000000-0008-0000-0400-0000BA140000}"/>
            </a:ext>
          </a:extLst>
        </xdr:cNvPr>
        <xdr:cNvSpPr>
          <a:spLocks noChangeShapeType="1"/>
        </xdr:cNvSpPr>
      </xdr:nvSpPr>
      <xdr:spPr bwMode="auto">
        <a:xfrm>
          <a:off x="1019175" y="8020050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723900</xdr:colOff>
      <xdr:row>15</xdr:row>
      <xdr:rowOff>0</xdr:rowOff>
    </xdr:to>
    <xdr:sp macro="" textlink="">
      <xdr:nvSpPr>
        <xdr:cNvPr id="5307" name="Line 2">
          <a:extLst>
            <a:ext uri="{FF2B5EF4-FFF2-40B4-BE49-F238E27FC236}">
              <a16:creationId xmlns:a16="http://schemas.microsoft.com/office/drawing/2014/main" id="{00000000-0008-0000-0400-0000BB140000}"/>
            </a:ext>
          </a:extLst>
        </xdr:cNvPr>
        <xdr:cNvSpPr>
          <a:spLocks noChangeShapeType="1"/>
        </xdr:cNvSpPr>
      </xdr:nvSpPr>
      <xdr:spPr bwMode="auto">
        <a:xfrm>
          <a:off x="5172075" y="8020050"/>
          <a:ext cx="2085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15</xdr:row>
      <xdr:rowOff>0</xdr:rowOff>
    </xdr:from>
    <xdr:to>
      <xdr:col>7</xdr:col>
      <xdr:colOff>38100</xdr:colOff>
      <xdr:row>15</xdr:row>
      <xdr:rowOff>0</xdr:rowOff>
    </xdr:to>
    <xdr:sp macro="" textlink="">
      <xdr:nvSpPr>
        <xdr:cNvPr id="5308" name="Line 3">
          <a:extLst>
            <a:ext uri="{FF2B5EF4-FFF2-40B4-BE49-F238E27FC236}">
              <a16:creationId xmlns:a16="http://schemas.microsoft.com/office/drawing/2014/main" id="{00000000-0008-0000-0400-0000BC140000}"/>
            </a:ext>
          </a:extLst>
        </xdr:cNvPr>
        <xdr:cNvSpPr>
          <a:spLocks noChangeShapeType="1"/>
        </xdr:cNvSpPr>
      </xdr:nvSpPr>
      <xdr:spPr bwMode="auto">
        <a:xfrm>
          <a:off x="8391525" y="8020050"/>
          <a:ext cx="3086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1352550</xdr:colOff>
      <xdr:row>15</xdr:row>
      <xdr:rowOff>0</xdr:rowOff>
    </xdr:from>
    <xdr:to>
      <xdr:col>0</xdr:col>
      <xdr:colOff>4743450</xdr:colOff>
      <xdr:row>15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43F20F19-C03F-4C2A-93AC-01D95672991F}"/>
            </a:ext>
          </a:extLst>
        </xdr:cNvPr>
        <xdr:cNvSpPr>
          <a:spLocks noChangeShapeType="1"/>
        </xdr:cNvSpPr>
      </xdr:nvSpPr>
      <xdr:spPr bwMode="auto">
        <a:xfrm>
          <a:off x="1352550" y="17627600"/>
          <a:ext cx="278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15</xdr:row>
      <xdr:rowOff>0</xdr:rowOff>
    </xdr:from>
    <xdr:to>
      <xdr:col>3</xdr:col>
      <xdr:colOff>1619250</xdr:colOff>
      <xdr:row>15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458696A2-9950-4C04-8A60-6477AE1072A8}"/>
            </a:ext>
          </a:extLst>
        </xdr:cNvPr>
        <xdr:cNvSpPr>
          <a:spLocks noChangeShapeType="1"/>
        </xdr:cNvSpPr>
      </xdr:nvSpPr>
      <xdr:spPr bwMode="auto">
        <a:xfrm>
          <a:off x="4965700" y="17627600"/>
          <a:ext cx="205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1447800</xdr:colOff>
      <xdr:row>15</xdr:row>
      <xdr:rowOff>0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5D27148E-D773-417D-A484-7CE2CE306522}"/>
            </a:ext>
          </a:extLst>
        </xdr:cNvPr>
        <xdr:cNvSpPr>
          <a:spLocks noChangeShapeType="1"/>
        </xdr:cNvSpPr>
      </xdr:nvSpPr>
      <xdr:spPr bwMode="auto">
        <a:xfrm>
          <a:off x="8045450" y="17627600"/>
          <a:ext cx="233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23</xdr:row>
      <xdr:rowOff>0</xdr:rowOff>
    </xdr:from>
    <xdr:to>
      <xdr:col>0</xdr:col>
      <xdr:colOff>5810250</xdr:colOff>
      <xdr:row>23</xdr:row>
      <xdr:rowOff>0</xdr:rowOff>
    </xdr:to>
    <xdr:sp macro="" textlink="">
      <xdr:nvSpPr>
        <xdr:cNvPr id="6405" name="Line 1">
          <a:extLst>
            <a:ext uri="{FF2B5EF4-FFF2-40B4-BE49-F238E27FC236}">
              <a16:creationId xmlns:a16="http://schemas.microsoft.com/office/drawing/2014/main" id="{00000000-0008-0000-0500-000005190000}"/>
            </a:ext>
          </a:extLst>
        </xdr:cNvPr>
        <xdr:cNvSpPr>
          <a:spLocks noChangeShapeType="1"/>
        </xdr:cNvSpPr>
      </xdr:nvSpPr>
      <xdr:spPr bwMode="auto">
        <a:xfrm>
          <a:off x="1485900" y="16735425"/>
          <a:ext cx="432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876300</xdr:colOff>
      <xdr:row>23</xdr:row>
      <xdr:rowOff>0</xdr:rowOff>
    </xdr:from>
    <xdr:to>
      <xdr:col>3</xdr:col>
      <xdr:colOff>704850</xdr:colOff>
      <xdr:row>23</xdr:row>
      <xdr:rowOff>0</xdr:rowOff>
    </xdr:to>
    <xdr:sp macro="" textlink="">
      <xdr:nvSpPr>
        <xdr:cNvPr id="6406" name="Line 2">
          <a:extLst>
            <a:ext uri="{FF2B5EF4-FFF2-40B4-BE49-F238E27FC236}">
              <a16:creationId xmlns:a16="http://schemas.microsoft.com/office/drawing/2014/main" id="{00000000-0008-0000-0500-000006190000}"/>
            </a:ext>
          </a:extLst>
        </xdr:cNvPr>
        <xdr:cNvSpPr>
          <a:spLocks noChangeShapeType="1"/>
        </xdr:cNvSpPr>
      </xdr:nvSpPr>
      <xdr:spPr bwMode="auto">
        <a:xfrm>
          <a:off x="6696075" y="16735425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23</xdr:row>
      <xdr:rowOff>0</xdr:rowOff>
    </xdr:from>
    <xdr:to>
      <xdr:col>5</xdr:col>
      <xdr:colOff>2305050</xdr:colOff>
      <xdr:row>23</xdr:row>
      <xdr:rowOff>0</xdr:rowOff>
    </xdr:to>
    <xdr:sp macro="" textlink="">
      <xdr:nvSpPr>
        <xdr:cNvPr id="6407" name="Line 3">
          <a:extLst>
            <a:ext uri="{FF2B5EF4-FFF2-40B4-BE49-F238E27FC236}">
              <a16:creationId xmlns:a16="http://schemas.microsoft.com/office/drawing/2014/main" id="{00000000-0008-0000-0500-000007190000}"/>
            </a:ext>
          </a:extLst>
        </xdr:cNvPr>
        <xdr:cNvSpPr>
          <a:spLocks noChangeShapeType="1"/>
        </xdr:cNvSpPr>
      </xdr:nvSpPr>
      <xdr:spPr bwMode="auto">
        <a:xfrm>
          <a:off x="9858375" y="16735425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1485900</xdr:colOff>
      <xdr:row>23</xdr:row>
      <xdr:rowOff>0</xdr:rowOff>
    </xdr:from>
    <xdr:to>
      <xdr:col>0</xdr:col>
      <xdr:colOff>5810250</xdr:colOff>
      <xdr:row>23</xdr:row>
      <xdr:rowOff>0</xdr:rowOff>
    </xdr:to>
    <xdr:sp macro="" textlink="">
      <xdr:nvSpPr>
        <xdr:cNvPr id="6409" name="Line 1">
          <a:extLst>
            <a:ext uri="{FF2B5EF4-FFF2-40B4-BE49-F238E27FC236}">
              <a16:creationId xmlns:a16="http://schemas.microsoft.com/office/drawing/2014/main" id="{00000000-0008-0000-0500-000009190000}"/>
            </a:ext>
          </a:extLst>
        </xdr:cNvPr>
        <xdr:cNvSpPr>
          <a:spLocks noChangeShapeType="1"/>
        </xdr:cNvSpPr>
      </xdr:nvSpPr>
      <xdr:spPr bwMode="auto">
        <a:xfrm>
          <a:off x="1485900" y="16735425"/>
          <a:ext cx="432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876300</xdr:colOff>
      <xdr:row>23</xdr:row>
      <xdr:rowOff>0</xdr:rowOff>
    </xdr:from>
    <xdr:to>
      <xdr:col>3</xdr:col>
      <xdr:colOff>704850</xdr:colOff>
      <xdr:row>23</xdr:row>
      <xdr:rowOff>0</xdr:rowOff>
    </xdr:to>
    <xdr:sp macro="" textlink="">
      <xdr:nvSpPr>
        <xdr:cNvPr id="6410" name="Line 2">
          <a:extLst>
            <a:ext uri="{FF2B5EF4-FFF2-40B4-BE49-F238E27FC236}">
              <a16:creationId xmlns:a16="http://schemas.microsoft.com/office/drawing/2014/main" id="{00000000-0008-0000-0500-00000A190000}"/>
            </a:ext>
          </a:extLst>
        </xdr:cNvPr>
        <xdr:cNvSpPr>
          <a:spLocks noChangeShapeType="1"/>
        </xdr:cNvSpPr>
      </xdr:nvSpPr>
      <xdr:spPr bwMode="auto">
        <a:xfrm>
          <a:off x="6696075" y="16735425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23</xdr:row>
      <xdr:rowOff>0</xdr:rowOff>
    </xdr:from>
    <xdr:to>
      <xdr:col>5</xdr:col>
      <xdr:colOff>2305050</xdr:colOff>
      <xdr:row>23</xdr:row>
      <xdr:rowOff>0</xdr:rowOff>
    </xdr:to>
    <xdr:sp macro="" textlink="">
      <xdr:nvSpPr>
        <xdr:cNvPr id="6411" name="Line 3">
          <a:extLst>
            <a:ext uri="{FF2B5EF4-FFF2-40B4-BE49-F238E27FC236}">
              <a16:creationId xmlns:a16="http://schemas.microsoft.com/office/drawing/2014/main" id="{00000000-0008-0000-0500-00000B190000}"/>
            </a:ext>
          </a:extLst>
        </xdr:cNvPr>
        <xdr:cNvSpPr>
          <a:spLocks noChangeShapeType="1"/>
        </xdr:cNvSpPr>
      </xdr:nvSpPr>
      <xdr:spPr bwMode="auto">
        <a:xfrm>
          <a:off x="9858375" y="16735425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1352550</xdr:colOff>
      <xdr:row>23</xdr:row>
      <xdr:rowOff>0</xdr:rowOff>
    </xdr:from>
    <xdr:to>
      <xdr:col>0</xdr:col>
      <xdr:colOff>4743450</xdr:colOff>
      <xdr:row>23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589D3E39-7270-46F4-8D5B-0D922DE6FAFE}"/>
            </a:ext>
          </a:extLst>
        </xdr:cNvPr>
        <xdr:cNvSpPr>
          <a:spLocks noChangeShapeType="1"/>
        </xdr:cNvSpPr>
      </xdr:nvSpPr>
      <xdr:spPr bwMode="auto">
        <a:xfrm>
          <a:off x="1352550" y="17627600"/>
          <a:ext cx="278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23</xdr:row>
      <xdr:rowOff>0</xdr:rowOff>
    </xdr:from>
    <xdr:to>
      <xdr:col>3</xdr:col>
      <xdr:colOff>1619250</xdr:colOff>
      <xdr:row>23</xdr:row>
      <xdr:rowOff>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A1DE5525-FD2F-4610-A28C-0458528042EA}"/>
            </a:ext>
          </a:extLst>
        </xdr:cNvPr>
        <xdr:cNvSpPr>
          <a:spLocks noChangeShapeType="1"/>
        </xdr:cNvSpPr>
      </xdr:nvSpPr>
      <xdr:spPr bwMode="auto">
        <a:xfrm>
          <a:off x="4965700" y="17627600"/>
          <a:ext cx="205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1447800</xdr:colOff>
      <xdr:row>23</xdr:row>
      <xdr:rowOff>0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5536DD1A-7C41-4FD1-B18B-A245648F212E}"/>
            </a:ext>
          </a:extLst>
        </xdr:cNvPr>
        <xdr:cNvSpPr>
          <a:spLocks noChangeShapeType="1"/>
        </xdr:cNvSpPr>
      </xdr:nvSpPr>
      <xdr:spPr bwMode="auto">
        <a:xfrm>
          <a:off x="8045450" y="17627600"/>
          <a:ext cx="233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7  інші витрат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1"/>
      <sheetName val="consolidation hq formatted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  <sheetName val="МТР Газ Україн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1993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indexed="43"/>
    <pageSetUpPr fitToPage="1"/>
  </sheetPr>
  <dimension ref="A1:Q248"/>
  <sheetViews>
    <sheetView view="pageBreakPreview" topLeftCell="A58" zoomScale="60" zoomScaleNormal="60" workbookViewId="0">
      <selection activeCell="A22" sqref="A22:G22"/>
    </sheetView>
  </sheetViews>
  <sheetFormatPr defaultColWidth="9.1796875" defaultRowHeight="15.5"/>
  <cols>
    <col min="1" max="1" width="59.26953125" style="9" customWidth="1"/>
    <col min="2" max="2" width="10.1796875" style="50" customWidth="1"/>
    <col min="3" max="3" width="15.453125" style="50" customWidth="1"/>
    <col min="4" max="4" width="15.54296875" style="50" customWidth="1"/>
    <col min="5" max="5" width="14.7265625" style="50" customWidth="1"/>
    <col min="6" max="6" width="16.26953125" style="50" customWidth="1"/>
    <col min="7" max="7" width="17.1796875" style="50" customWidth="1"/>
    <col min="8" max="8" width="10" style="9" customWidth="1"/>
    <col min="9" max="9" width="9.54296875" style="9" customWidth="1"/>
    <col min="10" max="16384" width="9.1796875" style="9"/>
  </cols>
  <sheetData>
    <row r="1" spans="1:11">
      <c r="A1" s="5"/>
      <c r="B1" s="6"/>
      <c r="C1" s="7"/>
      <c r="D1" s="5"/>
      <c r="E1" s="5" t="s">
        <v>235</v>
      </c>
      <c r="F1" s="5"/>
      <c r="G1" s="5"/>
      <c r="H1" s="8"/>
      <c r="I1" s="8"/>
      <c r="J1" s="8"/>
      <c r="K1" s="8"/>
    </row>
    <row r="2" spans="1:11">
      <c r="A2" s="10"/>
      <c r="B2" s="7"/>
      <c r="C2" s="7"/>
      <c r="D2" s="11"/>
      <c r="E2" s="225" t="s">
        <v>572</v>
      </c>
      <c r="F2" s="225"/>
      <c r="G2" s="225"/>
      <c r="H2" s="8"/>
      <c r="I2" s="8"/>
      <c r="J2" s="8"/>
      <c r="K2" s="8"/>
    </row>
    <row r="3" spans="1:11">
      <c r="A3" s="7"/>
      <c r="B3" s="7"/>
      <c r="C3" s="11"/>
      <c r="D3" s="11"/>
      <c r="E3" s="225"/>
      <c r="F3" s="225"/>
      <c r="G3" s="225"/>
      <c r="H3" s="8"/>
      <c r="I3" s="8"/>
      <c r="J3" s="8"/>
      <c r="K3" s="8"/>
    </row>
    <row r="4" spans="1:11">
      <c r="A4" s="7"/>
      <c r="B4" s="7"/>
      <c r="C4" s="11"/>
      <c r="D4" s="11"/>
      <c r="E4" s="225"/>
      <c r="F4" s="225"/>
      <c r="G4" s="225"/>
      <c r="H4" s="8"/>
      <c r="I4" s="8"/>
      <c r="J4" s="8"/>
      <c r="K4" s="8"/>
    </row>
    <row r="5" spans="1:11">
      <c r="A5" s="5"/>
      <c r="B5" s="7"/>
      <c r="C5" s="7"/>
      <c r="D5" s="7"/>
      <c r="E5" s="226"/>
      <c r="F5" s="226"/>
      <c r="G5" s="226"/>
    </row>
    <row r="6" spans="1:11">
      <c r="A6" s="13"/>
      <c r="B6" s="232"/>
      <c r="C6" s="232"/>
      <c r="D6" s="232"/>
      <c r="E6" s="14"/>
      <c r="F6" s="15" t="s">
        <v>560</v>
      </c>
      <c r="G6" s="16" t="s">
        <v>256</v>
      </c>
    </row>
    <row r="7" spans="1:11" ht="55.5" customHeight="1">
      <c r="A7" s="17" t="s">
        <v>14</v>
      </c>
      <c r="B7" s="232" t="s">
        <v>464</v>
      </c>
      <c r="C7" s="232"/>
      <c r="D7" s="232"/>
      <c r="E7" s="18"/>
      <c r="F7" s="19" t="s">
        <v>130</v>
      </c>
      <c r="G7" s="16">
        <v>21926724</v>
      </c>
    </row>
    <row r="8" spans="1:11">
      <c r="A8" s="13" t="s">
        <v>15</v>
      </c>
      <c r="B8" s="232" t="s">
        <v>370</v>
      </c>
      <c r="C8" s="232"/>
      <c r="D8" s="232"/>
      <c r="E8" s="14"/>
      <c r="F8" s="19" t="s">
        <v>129</v>
      </c>
      <c r="G8" s="16">
        <v>150</v>
      </c>
    </row>
    <row r="9" spans="1:11">
      <c r="A9" s="13" t="s">
        <v>19</v>
      </c>
      <c r="B9" s="232" t="s">
        <v>371</v>
      </c>
      <c r="C9" s="232"/>
      <c r="D9" s="232"/>
      <c r="E9" s="14"/>
      <c r="F9" s="19" t="s">
        <v>128</v>
      </c>
      <c r="G9" s="16">
        <v>1210136600</v>
      </c>
    </row>
    <row r="10" spans="1:11" ht="30.75" customHeight="1">
      <c r="A10" s="17" t="s">
        <v>465</v>
      </c>
      <c r="B10" s="232" t="s">
        <v>372</v>
      </c>
      <c r="C10" s="232"/>
      <c r="D10" s="232"/>
      <c r="E10" s="18"/>
      <c r="F10" s="19" t="s">
        <v>9</v>
      </c>
      <c r="G10" s="16">
        <v>1009</v>
      </c>
    </row>
    <row r="11" spans="1:11" ht="35.25" customHeight="1">
      <c r="A11" s="17" t="s">
        <v>17</v>
      </c>
      <c r="B11" s="232" t="s">
        <v>374</v>
      </c>
      <c r="C11" s="232"/>
      <c r="D11" s="232"/>
      <c r="E11" s="18"/>
      <c r="F11" s="19" t="s">
        <v>8</v>
      </c>
      <c r="G11" s="16">
        <v>90310</v>
      </c>
    </row>
    <row r="12" spans="1:11" ht="33.75" customHeight="1">
      <c r="A12" s="17" t="s">
        <v>16</v>
      </c>
      <c r="B12" s="232" t="s">
        <v>373</v>
      </c>
      <c r="C12" s="232"/>
      <c r="D12" s="232"/>
      <c r="E12" s="18"/>
      <c r="F12" s="19" t="s">
        <v>10</v>
      </c>
      <c r="G12" s="16" t="s">
        <v>378</v>
      </c>
    </row>
    <row r="13" spans="1:11">
      <c r="A13" s="17" t="s">
        <v>375</v>
      </c>
      <c r="B13" s="232"/>
      <c r="C13" s="232"/>
      <c r="D13" s="232"/>
      <c r="E13" s="232" t="s">
        <v>189</v>
      </c>
      <c r="F13" s="236"/>
      <c r="G13" s="20"/>
    </row>
    <row r="14" spans="1:11">
      <c r="A14" s="17" t="s">
        <v>20</v>
      </c>
      <c r="B14" s="232" t="s">
        <v>376</v>
      </c>
      <c r="C14" s="232"/>
      <c r="D14" s="232"/>
      <c r="E14" s="232" t="s">
        <v>190</v>
      </c>
      <c r="F14" s="238"/>
      <c r="G14" s="20"/>
    </row>
    <row r="15" spans="1:11">
      <c r="A15" s="17" t="s">
        <v>106</v>
      </c>
      <c r="B15" s="232">
        <v>145</v>
      </c>
      <c r="C15" s="232"/>
      <c r="D15" s="232"/>
      <c r="E15" s="21"/>
      <c r="F15" s="21"/>
      <c r="G15" s="21"/>
    </row>
    <row r="16" spans="1:11">
      <c r="A16" s="13" t="s">
        <v>11</v>
      </c>
      <c r="B16" s="232" t="s">
        <v>377</v>
      </c>
      <c r="C16" s="232"/>
      <c r="D16" s="232"/>
      <c r="E16" s="22"/>
      <c r="F16" s="22"/>
      <c r="G16" s="22"/>
    </row>
    <row r="17" spans="1:17">
      <c r="A17" s="17" t="s">
        <v>12</v>
      </c>
      <c r="B17" s="232"/>
      <c r="C17" s="232"/>
      <c r="D17" s="232"/>
      <c r="E17" s="21"/>
      <c r="F17" s="21"/>
      <c r="G17" s="21"/>
    </row>
    <row r="18" spans="1:17">
      <c r="A18" s="13" t="s">
        <v>13</v>
      </c>
      <c r="B18" s="232" t="s">
        <v>528</v>
      </c>
      <c r="C18" s="232"/>
      <c r="D18" s="232"/>
      <c r="E18" s="22"/>
      <c r="F18" s="22"/>
      <c r="G18" s="22"/>
    </row>
    <row r="19" spans="1:17">
      <c r="A19" s="23"/>
      <c r="B19" s="5"/>
      <c r="C19" s="5"/>
      <c r="D19" s="5"/>
      <c r="E19" s="5"/>
      <c r="F19" s="5"/>
      <c r="G19" s="5"/>
    </row>
    <row r="20" spans="1:17">
      <c r="A20" s="243" t="s">
        <v>236</v>
      </c>
      <c r="B20" s="243"/>
      <c r="C20" s="243"/>
      <c r="D20" s="243"/>
      <c r="E20" s="243"/>
      <c r="F20" s="243"/>
      <c r="G20" s="243"/>
    </row>
    <row r="21" spans="1:17">
      <c r="A21" s="243" t="s">
        <v>362</v>
      </c>
      <c r="B21" s="243"/>
      <c r="C21" s="243"/>
      <c r="D21" s="243"/>
      <c r="E21" s="243"/>
      <c r="F21" s="243"/>
      <c r="G21" s="243"/>
    </row>
    <row r="22" spans="1:17">
      <c r="A22" s="241" t="s">
        <v>527</v>
      </c>
      <c r="B22" s="241"/>
      <c r="C22" s="241"/>
      <c r="D22" s="241"/>
      <c r="E22" s="241"/>
      <c r="F22" s="241"/>
      <c r="G22" s="241"/>
    </row>
    <row r="23" spans="1:17">
      <c r="A23" s="224" t="s">
        <v>345</v>
      </c>
      <c r="B23" s="224"/>
      <c r="C23" s="224"/>
      <c r="D23" s="224"/>
      <c r="E23" s="224"/>
      <c r="F23" s="224"/>
      <c r="G23" s="224"/>
    </row>
    <row r="24" spans="1:17">
      <c r="A24" s="24"/>
      <c r="B24" s="24"/>
      <c r="C24" s="24"/>
      <c r="D24" s="24"/>
      <c r="E24" s="24"/>
      <c r="F24" s="24"/>
      <c r="G24" s="24"/>
    </row>
    <row r="25" spans="1:17">
      <c r="A25" s="244" t="s">
        <v>202</v>
      </c>
      <c r="B25" s="244"/>
      <c r="C25" s="244"/>
      <c r="D25" s="244"/>
      <c r="E25" s="244"/>
      <c r="F25" s="244"/>
      <c r="G25" s="244"/>
    </row>
    <row r="26" spans="1:17">
      <c r="B26" s="25"/>
      <c r="C26" s="25"/>
      <c r="D26" s="25"/>
      <c r="E26" s="25"/>
      <c r="F26" s="25"/>
      <c r="G26" s="25"/>
    </row>
    <row r="27" spans="1:17">
      <c r="A27" s="242" t="s">
        <v>283</v>
      </c>
      <c r="B27" s="231" t="s">
        <v>18</v>
      </c>
      <c r="C27" s="239" t="s">
        <v>346</v>
      </c>
      <c r="D27" s="237" t="s">
        <v>344</v>
      </c>
      <c r="E27" s="237"/>
      <c r="F27" s="237"/>
      <c r="G27" s="237"/>
      <c r="Q27" s="9" t="s">
        <v>355</v>
      </c>
    </row>
    <row r="28" spans="1:17">
      <c r="A28" s="242"/>
      <c r="B28" s="231"/>
      <c r="C28" s="240"/>
      <c r="D28" s="28" t="s">
        <v>261</v>
      </c>
      <c r="E28" s="28" t="s">
        <v>244</v>
      </c>
      <c r="F28" s="28" t="s">
        <v>271</v>
      </c>
      <c r="G28" s="28" t="s">
        <v>272</v>
      </c>
    </row>
    <row r="29" spans="1:17">
      <c r="A29" s="26">
        <v>1</v>
      </c>
      <c r="B29" s="27">
        <v>2</v>
      </c>
      <c r="C29" s="26">
        <v>3</v>
      </c>
      <c r="D29" s="26">
        <v>4</v>
      </c>
      <c r="E29" s="27">
        <v>5</v>
      </c>
      <c r="F29" s="26">
        <v>6</v>
      </c>
      <c r="G29" s="27">
        <v>7</v>
      </c>
    </row>
    <row r="30" spans="1:17">
      <c r="A30" s="230" t="s">
        <v>99</v>
      </c>
      <c r="B30" s="230"/>
      <c r="C30" s="230"/>
      <c r="D30" s="230"/>
      <c r="E30" s="230"/>
      <c r="F30" s="230"/>
      <c r="G30" s="230"/>
    </row>
    <row r="31" spans="1:17">
      <c r="A31" s="1" t="s">
        <v>203</v>
      </c>
      <c r="B31" s="27">
        <f>'1. Фін результат'!B9</f>
        <v>1000</v>
      </c>
      <c r="C31" s="30">
        <f>'1. Фін результат'!C9</f>
        <v>9612</v>
      </c>
      <c r="D31" s="30">
        <f>'1. Фін результат'!D9</f>
        <v>8457</v>
      </c>
      <c r="E31" s="30">
        <f>'1. Фін результат'!E9</f>
        <v>5834.4</v>
      </c>
      <c r="F31" s="30">
        <f>E31-D31</f>
        <v>-2622.6000000000004</v>
      </c>
      <c r="G31" s="31">
        <f>E31/D31*100</f>
        <v>68.989003192621496</v>
      </c>
    </row>
    <row r="32" spans="1:17">
      <c r="A32" s="1" t="s">
        <v>173</v>
      </c>
      <c r="B32" s="27">
        <f>'1. Фін результат'!B11</f>
        <v>1010</v>
      </c>
      <c r="C32" s="30">
        <f>'1. Фін результат'!C11</f>
        <v>7235</v>
      </c>
      <c r="D32" s="30">
        <f>'1. Фін результат'!D11</f>
        <v>12110</v>
      </c>
      <c r="E32" s="30">
        <f>'1. Фін результат'!E11</f>
        <v>8782.2000000000007</v>
      </c>
      <c r="F32" s="30">
        <f t="shared" ref="F32:F45" si="0">E32-D32</f>
        <v>-3327.7999999999993</v>
      </c>
      <c r="G32" s="31">
        <f t="shared" ref="G32:G45" si="1">E32/D32*100</f>
        <v>72.520231213872847</v>
      </c>
    </row>
    <row r="33" spans="1:7">
      <c r="A33" s="2" t="s">
        <v>262</v>
      </c>
      <c r="B33" s="27">
        <f>'1. Фін результат'!B31</f>
        <v>1020</v>
      </c>
      <c r="C33" s="30">
        <f>'1. Фін результат'!C31</f>
        <v>2377</v>
      </c>
      <c r="D33" s="30">
        <f>'1. Фін результат'!D31</f>
        <v>-3653</v>
      </c>
      <c r="E33" s="30">
        <f>'1. Фін результат'!E31</f>
        <v>-2947.8000000000011</v>
      </c>
      <c r="F33" s="30">
        <f t="shared" si="0"/>
        <v>705.19999999999891</v>
      </c>
      <c r="G33" s="31">
        <f t="shared" si="1"/>
        <v>80.695318915959518</v>
      </c>
    </row>
    <row r="34" spans="1:7">
      <c r="A34" s="1" t="s">
        <v>140</v>
      </c>
      <c r="B34" s="27">
        <f>'1. Фін результат'!B35</f>
        <v>1040</v>
      </c>
      <c r="C34" s="30">
        <f>'1. Фін результат'!C35</f>
        <v>1454</v>
      </c>
      <c r="D34" s="30">
        <f>'1. Фін результат'!D35</f>
        <v>2086</v>
      </c>
      <c r="E34" s="30">
        <f>'1. Фін результат'!E35</f>
        <v>1670.6</v>
      </c>
      <c r="F34" s="30">
        <f t="shared" si="0"/>
        <v>-415.40000000000009</v>
      </c>
      <c r="G34" s="31">
        <f t="shared" si="1"/>
        <v>80.086289549376787</v>
      </c>
    </row>
    <row r="35" spans="1:7">
      <c r="A35" s="1" t="s">
        <v>137</v>
      </c>
      <c r="B35" s="27">
        <f>'1. Фін результат'!B67</f>
        <v>1070</v>
      </c>
      <c r="C35" s="30">
        <f>'1. Фін результат'!C67</f>
        <v>666</v>
      </c>
      <c r="D35" s="30">
        <f>'1. Фін результат'!D67</f>
        <v>1260</v>
      </c>
      <c r="E35" s="30">
        <f>'1. Фін результат'!E67</f>
        <v>827.5</v>
      </c>
      <c r="F35" s="30">
        <f t="shared" si="0"/>
        <v>-432.5</v>
      </c>
      <c r="G35" s="31">
        <f t="shared" si="1"/>
        <v>65.674603174603178</v>
      </c>
    </row>
    <row r="36" spans="1:7">
      <c r="A36" s="1" t="s">
        <v>141</v>
      </c>
      <c r="B36" s="27">
        <f>'1. Фін результат'!B124</f>
        <v>1300</v>
      </c>
      <c r="C36" s="30">
        <f>'1. Фін результат'!C32-'1. Фін результат'!C88</f>
        <v>-244</v>
      </c>
      <c r="D36" s="30">
        <f>'1. Фін результат'!D32-'1. Фін результат'!D88</f>
        <v>7354</v>
      </c>
      <c r="E36" s="30">
        <f>'1. Фін результат'!E32-'1. Фін результат'!E88</f>
        <v>5281.6</v>
      </c>
      <c r="F36" s="30">
        <f t="shared" si="0"/>
        <v>-2072.3999999999996</v>
      </c>
      <c r="G36" s="32">
        <f t="shared" si="1"/>
        <v>71.819418003807456</v>
      </c>
    </row>
    <row r="37" spans="1:7">
      <c r="A37" s="33" t="s">
        <v>4</v>
      </c>
      <c r="B37" s="27">
        <f>'1. Фін результат'!B100</f>
        <v>1100</v>
      </c>
      <c r="C37" s="30">
        <f>'1. Фін результат'!C100</f>
        <v>13</v>
      </c>
      <c r="D37" s="30">
        <f>'1. Фін результат'!D100</f>
        <v>355</v>
      </c>
      <c r="E37" s="30">
        <f>'1. Фін результат'!E100</f>
        <v>-164.30000000000098</v>
      </c>
      <c r="F37" s="30">
        <f t="shared" si="0"/>
        <v>-519.30000000000098</v>
      </c>
      <c r="G37" s="31">
        <f t="shared" si="1"/>
        <v>-46.281690140845342</v>
      </c>
    </row>
    <row r="38" spans="1:7">
      <c r="A38" s="34" t="s">
        <v>142</v>
      </c>
      <c r="B38" s="27">
        <f>'1. Фін результат'!B135</f>
        <v>1410</v>
      </c>
      <c r="C38" s="30">
        <f>'1. Фін результат'!C135</f>
        <v>231</v>
      </c>
      <c r="D38" s="30">
        <f>'1. Фін результат'!D135</f>
        <v>638</v>
      </c>
      <c r="E38" s="30">
        <f>'1. Фін результат'!E135</f>
        <v>160.19999999999902</v>
      </c>
      <c r="F38" s="30">
        <f t="shared" si="0"/>
        <v>-477.80000000000098</v>
      </c>
      <c r="G38" s="31">
        <f t="shared" si="1"/>
        <v>25.109717868338404</v>
      </c>
    </row>
    <row r="39" spans="1:7">
      <c r="A39" s="35" t="s">
        <v>226</v>
      </c>
      <c r="B39" s="27">
        <f>' 5. Коефіцієнти'!B8</f>
        <v>5010</v>
      </c>
      <c r="C39" s="30">
        <f>'фінплан - зведені показники'!C38/'фінплан - зведені показники'!C31</f>
        <v>2.4032459425717852E-2</v>
      </c>
      <c r="D39" s="36">
        <f>'фінплан - зведені показники'!D38/'фінплан - зведені показники'!D31</f>
        <v>7.544046352134326E-2</v>
      </c>
      <c r="E39" s="36">
        <f>'фінплан - зведені показники'!E38/'фінплан - зведені показники'!E31</f>
        <v>2.7457836281365527E-2</v>
      </c>
      <c r="F39" s="30">
        <f t="shared" si="0"/>
        <v>-4.7982627239977732E-2</v>
      </c>
      <c r="G39" s="31">
        <f t="shared" si="1"/>
        <v>36.396696149139231</v>
      </c>
    </row>
    <row r="40" spans="1:7">
      <c r="A40" s="35" t="s">
        <v>143</v>
      </c>
      <c r="B40" s="27">
        <f>'1. Фін результат'!B125</f>
        <v>1310</v>
      </c>
      <c r="C40" s="30">
        <f>'1. Фін результат'!C125</f>
        <v>1</v>
      </c>
      <c r="D40" s="30">
        <f>'1. Фін результат'!D125</f>
        <v>0</v>
      </c>
      <c r="E40" s="30">
        <f>'1. Фін результат'!E125</f>
        <v>0</v>
      </c>
      <c r="F40" s="30">
        <f t="shared" si="0"/>
        <v>0</v>
      </c>
      <c r="G40" s="32" t="e">
        <f t="shared" si="1"/>
        <v>#DIV/0!</v>
      </c>
    </row>
    <row r="41" spans="1:7">
      <c r="A41" s="1" t="s">
        <v>230</v>
      </c>
      <c r="B41" s="27">
        <f>'1. Фін результат'!B126</f>
        <v>1320</v>
      </c>
      <c r="C41" s="30">
        <f>'1. Фін результат'!C106-'1. Фін результат'!C112</f>
        <v>44</v>
      </c>
      <c r="D41" s="30">
        <f>'1. Фін результат'!D106-'1. Фін результат'!D112</f>
        <v>283</v>
      </c>
      <c r="E41" s="30">
        <f>'1. Фін результат'!E106-'1. Фін результат'!E112</f>
        <v>246.8</v>
      </c>
      <c r="F41" s="30">
        <f t="shared" si="0"/>
        <v>-36.199999999999989</v>
      </c>
      <c r="G41" s="31">
        <f t="shared" si="1"/>
        <v>87.208480565371033</v>
      </c>
    </row>
    <row r="42" spans="1:7">
      <c r="A42" s="34" t="s">
        <v>97</v>
      </c>
      <c r="B42" s="27">
        <f>'1. Фін результат'!B116</f>
        <v>1170</v>
      </c>
      <c r="C42" s="30">
        <f>'1. Фін результат'!C116</f>
        <v>58</v>
      </c>
      <c r="D42" s="30">
        <f>'1. Фін результат'!D116</f>
        <v>638</v>
      </c>
      <c r="E42" s="30">
        <f>'1. Фін результат'!E116</f>
        <v>82.499999999999034</v>
      </c>
      <c r="F42" s="30">
        <f t="shared" si="0"/>
        <v>-555.50000000000091</v>
      </c>
      <c r="G42" s="31">
        <f t="shared" si="1"/>
        <v>12.931034482758468</v>
      </c>
    </row>
    <row r="43" spans="1:7">
      <c r="A43" s="37" t="s">
        <v>138</v>
      </c>
      <c r="B43" s="27">
        <f>'1. Фін результат'!B117</f>
        <v>1180</v>
      </c>
      <c r="C43" s="30">
        <f>'1. Фін результат'!C117</f>
        <v>0</v>
      </c>
      <c r="D43" s="30">
        <f>'1. Фін результат'!D117</f>
        <v>0</v>
      </c>
      <c r="E43" s="30">
        <f>'1. Фін результат'!E117</f>
        <v>0</v>
      </c>
      <c r="F43" s="30">
        <f t="shared" si="0"/>
        <v>0</v>
      </c>
      <c r="G43" s="32" t="e">
        <f t="shared" si="1"/>
        <v>#DIV/0!</v>
      </c>
    </row>
    <row r="44" spans="1:7">
      <c r="A44" s="33" t="s">
        <v>227</v>
      </c>
      <c r="B44" s="27">
        <f>'1. Фін результат'!B119</f>
        <v>1200</v>
      </c>
      <c r="C44" s="30">
        <f>'1. Фін результат'!C119</f>
        <v>58</v>
      </c>
      <c r="D44" s="30">
        <f>'1. Фін результат'!D119</f>
        <v>638</v>
      </c>
      <c r="E44" s="30">
        <f>'1. Фін результат'!E119</f>
        <v>82.499999999999034</v>
      </c>
      <c r="F44" s="30">
        <f t="shared" si="0"/>
        <v>-555.50000000000091</v>
      </c>
      <c r="G44" s="31">
        <f t="shared" si="1"/>
        <v>12.931034482758468</v>
      </c>
    </row>
    <row r="45" spans="1:7">
      <c r="A45" s="35" t="s">
        <v>228</v>
      </c>
      <c r="B45" s="27">
        <f>' 5. Коефіцієнти'!B11</f>
        <v>5040</v>
      </c>
      <c r="C45" s="30">
        <f>C44/C31</f>
        <v>6.0341240116521012E-3</v>
      </c>
      <c r="D45" s="30">
        <f>D44/D31</f>
        <v>7.544046352134326E-2</v>
      </c>
      <c r="E45" s="30">
        <f>E44/E31</f>
        <v>1.4140271493212505E-2</v>
      </c>
      <c r="F45" s="30">
        <f t="shared" si="0"/>
        <v>-6.1300192028130751E-2</v>
      </c>
      <c r="G45" s="31">
        <f t="shared" si="1"/>
        <v>18.74361693073639</v>
      </c>
    </row>
    <row r="46" spans="1:7">
      <c r="A46" s="227" t="s">
        <v>155</v>
      </c>
      <c r="B46" s="228"/>
      <c r="C46" s="228"/>
      <c r="D46" s="228"/>
      <c r="E46" s="228"/>
      <c r="F46" s="228"/>
      <c r="G46" s="229"/>
    </row>
    <row r="47" spans="1:7">
      <c r="A47" s="35" t="s">
        <v>347</v>
      </c>
      <c r="B47" s="27">
        <f>'2. Розрахунки з бюджетом'!B21</f>
        <v>2100</v>
      </c>
      <c r="C47" s="30">
        <f>'2. Розрахунки з бюджетом'!C9</f>
        <v>0</v>
      </c>
      <c r="D47" s="30">
        <f>'2. Розрахунки з бюджетом'!D9</f>
        <v>421</v>
      </c>
      <c r="E47" s="30">
        <f>'2. Розрахунки з бюджетом'!E9</f>
        <v>61</v>
      </c>
      <c r="F47" s="30">
        <f t="shared" ref="F47:F52" si="2">E47-D47</f>
        <v>-360</v>
      </c>
      <c r="G47" s="31">
        <f t="shared" ref="G47:G52" si="3">E47/D47*100</f>
        <v>14.489311163895488</v>
      </c>
    </row>
    <row r="48" spans="1:7">
      <c r="A48" s="38" t="s">
        <v>154</v>
      </c>
      <c r="B48" s="27">
        <f>'2. Розрахунки з бюджетом'!B24</f>
        <v>2110</v>
      </c>
      <c r="C48" s="30">
        <f>'2. Розрахунки з бюджетом'!C24</f>
        <v>0</v>
      </c>
      <c r="D48" s="30">
        <f>'2. Розрахунки з бюджетом'!D24</f>
        <v>0</v>
      </c>
      <c r="E48" s="30">
        <f>'2. Розрахунки з бюджетом'!E24</f>
        <v>0</v>
      </c>
      <c r="F48" s="30">
        <f t="shared" si="2"/>
        <v>0</v>
      </c>
      <c r="G48" s="32" t="e">
        <f t="shared" si="3"/>
        <v>#DIV/0!</v>
      </c>
    </row>
    <row r="49" spans="1:7" ht="31">
      <c r="A49" s="38" t="s">
        <v>339</v>
      </c>
      <c r="B49" s="27" t="s">
        <v>315</v>
      </c>
      <c r="C49" s="30">
        <f>'2. Розрахунки з бюджетом'!C25+'2. Розрахунки з бюджетом'!C26</f>
        <v>447</v>
      </c>
      <c r="D49" s="30">
        <f>'2. Розрахунки з бюджетом'!D25+'2. Розрахунки з бюджетом'!D26</f>
        <v>187</v>
      </c>
      <c r="E49" s="30">
        <f>'2. Розрахунки з бюджетом'!E25+'2. Розрахунки з бюджетом'!E26</f>
        <v>0</v>
      </c>
      <c r="F49" s="30">
        <f t="shared" si="2"/>
        <v>-187</v>
      </c>
      <c r="G49" s="31">
        <f t="shared" si="3"/>
        <v>0</v>
      </c>
    </row>
    <row r="50" spans="1:7" ht="31">
      <c r="A50" s="35" t="s">
        <v>254</v>
      </c>
      <c r="B50" s="27">
        <f>'2. Розрахунки з бюджетом'!B27</f>
        <v>2140</v>
      </c>
      <c r="C50" s="30">
        <f>'2. Розрахунки з бюджетом'!C27</f>
        <v>1138</v>
      </c>
      <c r="D50" s="30">
        <f>'2. Розрахунки з бюджетом'!D27</f>
        <v>1746</v>
      </c>
      <c r="E50" s="30">
        <f>'2. Розрахунки з бюджетом'!E27</f>
        <v>1246.7000000000003</v>
      </c>
      <c r="F50" s="30">
        <f t="shared" si="2"/>
        <v>-499.29999999999973</v>
      </c>
      <c r="G50" s="31">
        <f t="shared" si="3"/>
        <v>71.403207331042395</v>
      </c>
    </row>
    <row r="51" spans="1:7" ht="31">
      <c r="A51" s="35" t="s">
        <v>84</v>
      </c>
      <c r="B51" s="27">
        <f>'2. Розрахунки з бюджетом'!B40</f>
        <v>2150</v>
      </c>
      <c r="C51" s="30">
        <f>'2. Розрахунки з бюджетом'!C40</f>
        <v>1235</v>
      </c>
      <c r="D51" s="30">
        <f>'2. Розрахунки з бюджетом'!D40</f>
        <v>1924</v>
      </c>
      <c r="E51" s="30">
        <f>'2. Розрахунки з бюджетом'!E40</f>
        <v>1312.6</v>
      </c>
      <c r="F51" s="30">
        <f t="shared" si="2"/>
        <v>-611.40000000000009</v>
      </c>
      <c r="G51" s="31">
        <f t="shared" si="3"/>
        <v>68.222453222453211</v>
      </c>
    </row>
    <row r="52" spans="1:7">
      <c r="A52" s="34" t="s">
        <v>263</v>
      </c>
      <c r="B52" s="27">
        <f>'2. Розрахунки з бюджетом'!B41</f>
        <v>2200</v>
      </c>
      <c r="C52" s="30">
        <f>'2. Розрахунки з бюджетом'!C41</f>
        <v>2820</v>
      </c>
      <c r="D52" s="30">
        <f>'2. Розрахунки з бюджетом'!D41</f>
        <v>4278</v>
      </c>
      <c r="E52" s="30">
        <f>'2. Розрахунки з бюджетом'!E41</f>
        <v>2620.3000000000002</v>
      </c>
      <c r="F52" s="30">
        <f t="shared" si="2"/>
        <v>-1657.6999999999998</v>
      </c>
      <c r="G52" s="31">
        <f t="shared" si="3"/>
        <v>61.250584385226745</v>
      </c>
    </row>
    <row r="53" spans="1:7">
      <c r="A53" s="227" t="s">
        <v>153</v>
      </c>
      <c r="B53" s="228"/>
      <c r="C53" s="228"/>
      <c r="D53" s="228"/>
      <c r="E53" s="228"/>
      <c r="F53" s="228"/>
      <c r="G53" s="229"/>
    </row>
    <row r="54" spans="1:7">
      <c r="A54" s="34" t="s">
        <v>144</v>
      </c>
      <c r="B54" s="27">
        <f>'3. Рух грошових коштів'!B84</f>
        <v>3600</v>
      </c>
      <c r="C54" s="30">
        <f>'3. Рух грошових коштів'!C84</f>
        <v>5915</v>
      </c>
      <c r="D54" s="30">
        <f>'3. Рух грошових коштів'!D84</f>
        <v>7588</v>
      </c>
      <c r="E54" s="30">
        <f>'3. Рух грошових коштів'!E84</f>
        <v>3582.3</v>
      </c>
      <c r="F54" s="30">
        <f t="shared" ref="F54:F59" si="4">E54-D54</f>
        <v>-4005.7</v>
      </c>
      <c r="G54" s="31">
        <f t="shared" ref="G54:G59" si="5">E54/D54*100</f>
        <v>47.210068529256723</v>
      </c>
    </row>
    <row r="55" spans="1:7">
      <c r="A55" s="35" t="s">
        <v>145</v>
      </c>
      <c r="B55" s="27">
        <f>'3. Рух грошових коштів'!B30</f>
        <v>3090</v>
      </c>
      <c r="C55" s="30">
        <f>'3. Рух грошових коштів'!C30</f>
        <v>719.09999999999991</v>
      </c>
      <c r="D55" s="30">
        <f>'3. Рух грошових коштів'!D30</f>
        <v>638</v>
      </c>
      <c r="E55" s="30">
        <f>'3. Рух грошових коштів'!E30</f>
        <v>1085.0000000000005</v>
      </c>
      <c r="F55" s="30">
        <f t="shared" si="4"/>
        <v>447.00000000000045</v>
      </c>
      <c r="G55" s="31">
        <f t="shared" si="5"/>
        <v>170.06269592476494</v>
      </c>
    </row>
    <row r="56" spans="1:7">
      <c r="A56" s="35" t="s">
        <v>231</v>
      </c>
      <c r="B56" s="27">
        <f>'3. Рух грошових коштів'!B51</f>
        <v>3320</v>
      </c>
      <c r="C56" s="30">
        <f>'3. Рух грошових коштів'!C51</f>
        <v>-458</v>
      </c>
      <c r="D56" s="30">
        <f>'3. Рух грошових коштів'!D51</f>
        <v>-136</v>
      </c>
      <c r="E56" s="30">
        <f>'3. Рух грошових коштів'!E51</f>
        <v>-717.6</v>
      </c>
      <c r="F56" s="30">
        <f t="shared" si="4"/>
        <v>-581.6</v>
      </c>
      <c r="G56" s="31">
        <f t="shared" si="5"/>
        <v>527.64705882352939</v>
      </c>
    </row>
    <row r="57" spans="1:7">
      <c r="A57" s="35" t="s">
        <v>146</v>
      </c>
      <c r="B57" s="27">
        <f>'3. Рух грошових коштів'!B82</f>
        <v>3580</v>
      </c>
      <c r="C57" s="30">
        <f>'3. Рух грошових коштів'!C82</f>
        <v>815</v>
      </c>
      <c r="D57" s="30">
        <f>'3. Рух грошових коштів'!D82</f>
        <v>-421.07999999999993</v>
      </c>
      <c r="E57" s="30">
        <f>'3. Рух грошових коштів'!E82</f>
        <v>34.400000000000006</v>
      </c>
      <c r="F57" s="30">
        <f t="shared" si="4"/>
        <v>455.4799999999999</v>
      </c>
      <c r="G57" s="31">
        <f t="shared" si="5"/>
        <v>-8.1694689845160102</v>
      </c>
    </row>
    <row r="58" spans="1:7">
      <c r="A58" s="35" t="s">
        <v>168</v>
      </c>
      <c r="B58" s="27">
        <f>'3. Рух грошових коштів'!B85</f>
        <v>3610</v>
      </c>
      <c r="C58" s="30"/>
      <c r="D58" s="30"/>
      <c r="E58" s="30"/>
      <c r="F58" s="30">
        <f t="shared" si="4"/>
        <v>0</v>
      </c>
      <c r="G58" s="32" t="e">
        <f t="shared" si="5"/>
        <v>#DIV/0!</v>
      </c>
    </row>
    <row r="59" spans="1:7">
      <c r="A59" s="34" t="s">
        <v>147</v>
      </c>
      <c r="B59" s="27">
        <f>'3. Рух грошових коштів'!B86</f>
        <v>3620</v>
      </c>
      <c r="C59" s="30">
        <f>'3. Рух грошових коштів'!C86</f>
        <v>6991.1</v>
      </c>
      <c r="D59" s="30">
        <f>'3. Рух грошових коштів'!D86</f>
        <v>7670</v>
      </c>
      <c r="E59" s="30">
        <f>'3. Рух грошових коштів'!E86</f>
        <v>3984.1000000000013</v>
      </c>
      <c r="F59" s="30">
        <f t="shared" si="4"/>
        <v>-3685.8999999999987</v>
      </c>
      <c r="G59" s="31">
        <f t="shared" si="5"/>
        <v>51.943937418513705</v>
      </c>
    </row>
    <row r="60" spans="1:7">
      <c r="A60" s="234" t="s">
        <v>210</v>
      </c>
      <c r="B60" s="235"/>
      <c r="C60" s="235"/>
      <c r="D60" s="235"/>
      <c r="E60" s="235"/>
      <c r="F60" s="235"/>
      <c r="G60" s="235"/>
    </row>
    <row r="61" spans="1:7">
      <c r="A61" s="35" t="s">
        <v>209</v>
      </c>
      <c r="B61" s="26">
        <f>'4. Кап. інвестиції'!B6</f>
        <v>4000</v>
      </c>
      <c r="C61" s="30">
        <f>'4. Кап. інвестиції'!C6</f>
        <v>458</v>
      </c>
      <c r="D61" s="30">
        <f>'4. Кап. інвестиції'!D6</f>
        <v>113</v>
      </c>
      <c r="E61" s="30" t="e">
        <f>'4. Кап. інвестиції'!E6</f>
        <v>#REF!</v>
      </c>
      <c r="F61" s="30" t="e">
        <f>E61-D61</f>
        <v>#REF!</v>
      </c>
      <c r="G61" s="31" t="e">
        <f>E61/D61*100</f>
        <v>#REF!</v>
      </c>
    </row>
    <row r="62" spans="1:7">
      <c r="A62" s="233" t="s">
        <v>212</v>
      </c>
      <c r="B62" s="233"/>
      <c r="C62" s="233"/>
      <c r="D62" s="233"/>
      <c r="E62" s="233"/>
      <c r="F62" s="233"/>
      <c r="G62" s="233"/>
    </row>
    <row r="63" spans="1:7">
      <c r="A63" s="35" t="s">
        <v>171</v>
      </c>
      <c r="B63" s="26">
        <f>' 5. Коефіцієнти'!B9</f>
        <v>5020</v>
      </c>
      <c r="C63" s="30">
        <f>' 5. Коефіцієнти'!D9</f>
        <v>4.608294930875576E-3</v>
      </c>
      <c r="D63" s="30">
        <f>D44/D70</f>
        <v>2.6335342194336663E-2</v>
      </c>
      <c r="E63" s="30">
        <f>' 5. Коефіцієнти'!E9</f>
        <v>4.1490437082894894E-3</v>
      </c>
      <c r="F63" s="30" t="s">
        <v>369</v>
      </c>
      <c r="G63" s="31" t="s">
        <v>369</v>
      </c>
    </row>
    <row r="64" spans="1:7">
      <c r="A64" s="35" t="s">
        <v>167</v>
      </c>
      <c r="B64" s="26">
        <f>' 5. Коефіцієнти'!B10</f>
        <v>5030</v>
      </c>
      <c r="C64" s="30">
        <f>' 5. Коефіцієнти'!D10</f>
        <v>5.8550373511003428E-3</v>
      </c>
      <c r="D64" s="30">
        <f>D44/D76</f>
        <v>2.9026387625113739E-2</v>
      </c>
      <c r="E64" s="30">
        <f>' 5. Коефіцієнти'!E10</f>
        <v>7.9041158887099561E-3</v>
      </c>
      <c r="F64" s="30" t="s">
        <v>369</v>
      </c>
      <c r="G64" s="31" t="s">
        <v>369</v>
      </c>
    </row>
    <row r="65" spans="1:7">
      <c r="A65" s="35" t="s">
        <v>229</v>
      </c>
      <c r="B65" s="26">
        <f>' 5. Коефіцієнти'!B14</f>
        <v>5110</v>
      </c>
      <c r="C65" s="30">
        <f>' 5. Коефіцієнти'!D14</f>
        <v>3.696268656716418</v>
      </c>
      <c r="D65" s="30">
        <f>D76/D73</f>
        <v>9.7862867319679427</v>
      </c>
      <c r="E65" s="30">
        <f>' 5. Коефіцієнти'!E14</f>
        <v>1.1049171650875984</v>
      </c>
      <c r="F65" s="30" t="s">
        <v>369</v>
      </c>
      <c r="G65" s="31" t="s">
        <v>369</v>
      </c>
    </row>
    <row r="66" spans="1:7">
      <c r="A66" s="227" t="s">
        <v>211</v>
      </c>
      <c r="B66" s="228"/>
      <c r="C66" s="228"/>
      <c r="D66" s="228"/>
      <c r="E66" s="228"/>
      <c r="F66" s="228"/>
      <c r="G66" s="229"/>
    </row>
    <row r="67" spans="1:7" ht="18">
      <c r="A67" s="35" t="s">
        <v>148</v>
      </c>
      <c r="B67" s="26">
        <v>6000</v>
      </c>
      <c r="C67" s="39">
        <v>5060</v>
      </c>
      <c r="D67" s="40">
        <v>6477</v>
      </c>
      <c r="E67" s="39">
        <v>7710.5</v>
      </c>
      <c r="F67" s="30">
        <f>E67-D67</f>
        <v>1233.5</v>
      </c>
      <c r="G67" s="31">
        <f>E67/D67*100</f>
        <v>119.04431063764089</v>
      </c>
    </row>
    <row r="68" spans="1:7" ht="18">
      <c r="A68" s="35" t="s">
        <v>149</v>
      </c>
      <c r="B68" s="26">
        <v>6010</v>
      </c>
      <c r="C68" s="39">
        <v>11560.8</v>
      </c>
      <c r="D68" s="41">
        <v>17749</v>
      </c>
      <c r="E68" s="39">
        <v>12173.6</v>
      </c>
      <c r="F68" s="30">
        <f t="shared" ref="F68:F76" si="6">E68-D68</f>
        <v>-5575.4</v>
      </c>
      <c r="G68" s="31">
        <f t="shared" ref="G68:G76" si="7">E68/D68*100</f>
        <v>68.587526057806087</v>
      </c>
    </row>
    <row r="69" spans="1:7" ht="18">
      <c r="A69" s="35" t="s">
        <v>266</v>
      </c>
      <c r="B69" s="26">
        <v>6020</v>
      </c>
      <c r="C69" s="39">
        <v>6990.6</v>
      </c>
      <c r="D69" s="40">
        <v>7608</v>
      </c>
      <c r="E69" s="39">
        <v>3984.1</v>
      </c>
      <c r="F69" s="30">
        <f t="shared" si="6"/>
        <v>-3623.9</v>
      </c>
      <c r="G69" s="31">
        <f t="shared" si="7"/>
        <v>52.367245005257622</v>
      </c>
    </row>
    <row r="70" spans="1:7" s="42" customFormat="1" ht="18">
      <c r="A70" s="34" t="s">
        <v>264</v>
      </c>
      <c r="B70" s="26">
        <v>6030</v>
      </c>
      <c r="C70" s="40">
        <f>C68+C67</f>
        <v>16620.8</v>
      </c>
      <c r="D70" s="40">
        <v>24226</v>
      </c>
      <c r="E70" s="39">
        <f>E67+E68</f>
        <v>19884.099999999999</v>
      </c>
      <c r="F70" s="30">
        <f t="shared" si="6"/>
        <v>-4341.9000000000015</v>
      </c>
      <c r="G70" s="31">
        <f t="shared" si="7"/>
        <v>82.07752001981342</v>
      </c>
    </row>
    <row r="71" spans="1:7" ht="18">
      <c r="A71" s="35" t="s">
        <v>169</v>
      </c>
      <c r="B71" s="26">
        <v>6040</v>
      </c>
      <c r="C71" s="39">
        <v>2572.4</v>
      </c>
      <c r="D71" s="41">
        <v>0</v>
      </c>
      <c r="E71" s="43">
        <v>4606.3999999999996</v>
      </c>
      <c r="F71" s="30">
        <f t="shared" si="6"/>
        <v>4606.3999999999996</v>
      </c>
      <c r="G71" s="32" t="e">
        <f t="shared" si="7"/>
        <v>#DIV/0!</v>
      </c>
    </row>
    <row r="72" spans="1:7" ht="18">
      <c r="A72" s="35" t="s">
        <v>170</v>
      </c>
      <c r="B72" s="26">
        <v>6050</v>
      </c>
      <c r="C72" s="39">
        <v>3269.6</v>
      </c>
      <c r="D72" s="40">
        <v>2246</v>
      </c>
      <c r="E72" s="39">
        <v>4840.1000000000004</v>
      </c>
      <c r="F72" s="30">
        <f t="shared" si="6"/>
        <v>2594.1000000000004</v>
      </c>
      <c r="G72" s="31">
        <f t="shared" si="7"/>
        <v>215.49866429207484</v>
      </c>
    </row>
    <row r="73" spans="1:7" s="42" customFormat="1" ht="18">
      <c r="A73" s="34" t="s">
        <v>265</v>
      </c>
      <c r="B73" s="26">
        <v>6060</v>
      </c>
      <c r="C73" s="40">
        <f>SUM(C71:C72)</f>
        <v>5842</v>
      </c>
      <c r="D73" s="40">
        <v>2246</v>
      </c>
      <c r="E73" s="39">
        <f>E71+E72</f>
        <v>9446.5</v>
      </c>
      <c r="F73" s="30">
        <f t="shared" si="6"/>
        <v>7200.5</v>
      </c>
      <c r="G73" s="31">
        <f t="shared" si="7"/>
        <v>420.59216384683884</v>
      </c>
    </row>
    <row r="74" spans="1:7" ht="18">
      <c r="A74" s="35" t="s">
        <v>267</v>
      </c>
      <c r="B74" s="26">
        <v>6070</v>
      </c>
      <c r="C74" s="39"/>
      <c r="D74" s="41">
        <v>0</v>
      </c>
      <c r="E74" s="39"/>
      <c r="F74" s="30">
        <f t="shared" si="6"/>
        <v>0</v>
      </c>
      <c r="G74" s="32" t="e">
        <f t="shared" si="7"/>
        <v>#DIV/0!</v>
      </c>
    </row>
    <row r="75" spans="1:7" ht="18">
      <c r="A75" s="35" t="s">
        <v>268</v>
      </c>
      <c r="B75" s="26">
        <v>6080</v>
      </c>
      <c r="C75" s="39"/>
      <c r="D75" s="41">
        <v>0</v>
      </c>
      <c r="E75" s="39"/>
      <c r="F75" s="30">
        <f t="shared" si="6"/>
        <v>0</v>
      </c>
      <c r="G75" s="32" t="e">
        <f t="shared" si="7"/>
        <v>#DIV/0!</v>
      </c>
    </row>
    <row r="76" spans="1:7" s="42" customFormat="1" ht="18">
      <c r="A76" s="34" t="s">
        <v>150</v>
      </c>
      <c r="B76" s="26">
        <v>6090</v>
      </c>
      <c r="C76" s="40">
        <f>C70-C73</f>
        <v>10778.8</v>
      </c>
      <c r="D76" s="40">
        <v>21980</v>
      </c>
      <c r="E76" s="39">
        <f>E70-E73</f>
        <v>10437.599999999999</v>
      </c>
      <c r="F76" s="30">
        <f t="shared" si="6"/>
        <v>-11542.400000000001</v>
      </c>
      <c r="G76" s="31">
        <f t="shared" si="7"/>
        <v>47.486806187443129</v>
      </c>
    </row>
    <row r="77" spans="1:7">
      <c r="A77" s="12"/>
      <c r="B77" s="7"/>
      <c r="C77" s="7"/>
      <c r="D77" s="44"/>
      <c r="E77" s="7"/>
      <c r="F77" s="7"/>
      <c r="G77" s="7"/>
    </row>
    <row r="78" spans="1:7" ht="30.5">
      <c r="A78" s="45" t="s">
        <v>529</v>
      </c>
      <c r="B78" s="46"/>
      <c r="C78" s="5"/>
      <c r="D78" s="5"/>
      <c r="E78" s="11"/>
      <c r="F78" s="47" t="s">
        <v>528</v>
      </c>
      <c r="G78" s="5"/>
    </row>
    <row r="79" spans="1:7">
      <c r="A79" s="23" t="s">
        <v>367</v>
      </c>
      <c r="B79" s="5"/>
      <c r="C79" s="224" t="s">
        <v>79</v>
      </c>
      <c r="D79" s="224"/>
      <c r="E79" s="5"/>
      <c r="F79" s="5" t="s">
        <v>103</v>
      </c>
      <c r="G79" s="5"/>
    </row>
    <row r="80" spans="1:7">
      <c r="A80" s="5"/>
      <c r="B80" s="7"/>
      <c r="C80" s="7"/>
      <c r="D80" s="7"/>
      <c r="E80" s="7"/>
      <c r="F80" s="7"/>
      <c r="G80" s="7"/>
    </row>
    <row r="81" spans="1:7">
      <c r="A81" s="11"/>
      <c r="B81" s="7"/>
      <c r="C81" s="7"/>
      <c r="D81" s="7"/>
      <c r="E81" s="7"/>
      <c r="F81" s="7"/>
      <c r="G81" s="7"/>
    </row>
    <row r="82" spans="1:7">
      <c r="A82" s="223"/>
      <c r="B82" s="223"/>
      <c r="C82" s="223"/>
      <c r="D82" s="223"/>
      <c r="E82" s="223"/>
      <c r="F82" s="223"/>
      <c r="G82" s="223"/>
    </row>
    <row r="83" spans="1:7">
      <c r="A83" s="49"/>
    </row>
    <row r="84" spans="1:7">
      <c r="A84" s="49"/>
    </row>
    <row r="85" spans="1:7">
      <c r="A85" s="49"/>
    </row>
    <row r="86" spans="1:7">
      <c r="A86" s="49"/>
    </row>
    <row r="87" spans="1:7">
      <c r="A87" s="49"/>
    </row>
    <row r="88" spans="1:7">
      <c r="A88" s="49"/>
    </row>
    <row r="89" spans="1:7">
      <c r="A89" s="49"/>
    </row>
    <row r="90" spans="1:7">
      <c r="A90" s="49"/>
    </row>
    <row r="91" spans="1:7">
      <c r="A91" s="49"/>
    </row>
    <row r="92" spans="1:7">
      <c r="A92" s="49"/>
    </row>
    <row r="93" spans="1:7">
      <c r="A93" s="49"/>
    </row>
    <row r="94" spans="1:7">
      <c r="A94" s="49"/>
    </row>
    <row r="95" spans="1:7">
      <c r="A95" s="49"/>
    </row>
    <row r="96" spans="1:7">
      <c r="A96" s="49"/>
    </row>
    <row r="97" spans="1:1">
      <c r="A97" s="49"/>
    </row>
    <row r="98" spans="1:1">
      <c r="A98" s="49"/>
    </row>
    <row r="99" spans="1:1">
      <c r="A99" s="49"/>
    </row>
    <row r="100" spans="1:1">
      <c r="A100" s="49"/>
    </row>
    <row r="101" spans="1:1">
      <c r="A101" s="49"/>
    </row>
    <row r="102" spans="1:1">
      <c r="A102" s="49"/>
    </row>
    <row r="103" spans="1:1">
      <c r="A103" s="49"/>
    </row>
    <row r="104" spans="1:1">
      <c r="A104" s="49"/>
    </row>
    <row r="105" spans="1:1">
      <c r="A105" s="49"/>
    </row>
    <row r="106" spans="1:1">
      <c r="A106" s="49"/>
    </row>
    <row r="107" spans="1:1">
      <c r="A107" s="49"/>
    </row>
    <row r="108" spans="1:1">
      <c r="A108" s="49"/>
    </row>
    <row r="109" spans="1:1">
      <c r="A109" s="49"/>
    </row>
    <row r="110" spans="1:1">
      <c r="A110" s="49"/>
    </row>
    <row r="111" spans="1:1">
      <c r="A111" s="49"/>
    </row>
    <row r="112" spans="1:1">
      <c r="A112" s="49"/>
    </row>
    <row r="113" spans="1:1">
      <c r="A113" s="49"/>
    </row>
    <row r="114" spans="1:1">
      <c r="A114" s="49"/>
    </row>
    <row r="115" spans="1:1">
      <c r="A115" s="49"/>
    </row>
    <row r="116" spans="1:1">
      <c r="A116" s="49"/>
    </row>
    <row r="117" spans="1:1">
      <c r="A117" s="49"/>
    </row>
    <row r="118" spans="1:1">
      <c r="A118" s="49"/>
    </row>
    <row r="119" spans="1:1">
      <c r="A119" s="49"/>
    </row>
    <row r="120" spans="1:1">
      <c r="A120" s="49"/>
    </row>
    <row r="121" spans="1:1">
      <c r="A121" s="49"/>
    </row>
    <row r="122" spans="1:1">
      <c r="A122" s="49"/>
    </row>
    <row r="123" spans="1:1">
      <c r="A123" s="49"/>
    </row>
    <row r="124" spans="1:1">
      <c r="A124" s="49"/>
    </row>
    <row r="125" spans="1:1">
      <c r="A125" s="49"/>
    </row>
    <row r="126" spans="1:1">
      <c r="A126" s="49"/>
    </row>
    <row r="127" spans="1:1">
      <c r="A127" s="49"/>
    </row>
    <row r="128" spans="1:1">
      <c r="A128" s="49"/>
    </row>
    <row r="129" spans="1:1">
      <c r="A129" s="49"/>
    </row>
    <row r="130" spans="1:1">
      <c r="A130" s="49"/>
    </row>
    <row r="131" spans="1:1">
      <c r="A131" s="49"/>
    </row>
    <row r="132" spans="1:1">
      <c r="A132" s="49"/>
    </row>
    <row r="133" spans="1:1">
      <c r="A133" s="49"/>
    </row>
    <row r="134" spans="1:1">
      <c r="A134" s="49"/>
    </row>
    <row r="135" spans="1:1">
      <c r="A135" s="49"/>
    </row>
    <row r="136" spans="1:1">
      <c r="A136" s="49"/>
    </row>
    <row r="137" spans="1:1">
      <c r="A137" s="49"/>
    </row>
    <row r="138" spans="1:1">
      <c r="A138" s="49"/>
    </row>
    <row r="139" spans="1:1">
      <c r="A139" s="49"/>
    </row>
    <row r="140" spans="1:1">
      <c r="A140" s="49"/>
    </row>
    <row r="141" spans="1:1">
      <c r="A141" s="49"/>
    </row>
    <row r="142" spans="1:1">
      <c r="A142" s="49"/>
    </row>
    <row r="143" spans="1:1">
      <c r="A143" s="49"/>
    </row>
    <row r="144" spans="1:1">
      <c r="A144" s="49"/>
    </row>
    <row r="145" spans="1:1">
      <c r="A145" s="49"/>
    </row>
    <row r="146" spans="1:1">
      <c r="A146" s="49"/>
    </row>
    <row r="147" spans="1:1">
      <c r="A147" s="49"/>
    </row>
    <row r="148" spans="1:1">
      <c r="A148" s="49"/>
    </row>
    <row r="149" spans="1:1">
      <c r="A149" s="49"/>
    </row>
    <row r="150" spans="1:1">
      <c r="A150" s="49"/>
    </row>
    <row r="151" spans="1:1">
      <c r="A151" s="49"/>
    </row>
    <row r="152" spans="1:1">
      <c r="A152" s="49"/>
    </row>
    <row r="153" spans="1:1">
      <c r="A153" s="49"/>
    </row>
    <row r="154" spans="1:1">
      <c r="A154" s="49"/>
    </row>
    <row r="155" spans="1:1">
      <c r="A155" s="49"/>
    </row>
    <row r="156" spans="1:1">
      <c r="A156" s="49"/>
    </row>
    <row r="157" spans="1:1">
      <c r="A157" s="49"/>
    </row>
    <row r="158" spans="1:1">
      <c r="A158" s="49"/>
    </row>
    <row r="159" spans="1:1">
      <c r="A159" s="49"/>
    </row>
    <row r="160" spans="1:1">
      <c r="A160" s="49"/>
    </row>
    <row r="161" spans="1:1">
      <c r="A161" s="49"/>
    </row>
    <row r="162" spans="1:1">
      <c r="A162" s="49"/>
    </row>
    <row r="163" spans="1:1">
      <c r="A163" s="49"/>
    </row>
    <row r="164" spans="1:1">
      <c r="A164" s="49"/>
    </row>
    <row r="165" spans="1:1">
      <c r="A165" s="49"/>
    </row>
    <row r="166" spans="1:1">
      <c r="A166" s="49"/>
    </row>
    <row r="167" spans="1:1">
      <c r="A167" s="49"/>
    </row>
    <row r="168" spans="1:1">
      <c r="A168" s="49"/>
    </row>
    <row r="169" spans="1:1">
      <c r="A169" s="49"/>
    </row>
    <row r="170" spans="1:1">
      <c r="A170" s="49"/>
    </row>
    <row r="171" spans="1:1">
      <c r="A171" s="49"/>
    </row>
    <row r="172" spans="1:1">
      <c r="A172" s="49"/>
    </row>
    <row r="173" spans="1:1">
      <c r="A173" s="49"/>
    </row>
    <row r="174" spans="1:1">
      <c r="A174" s="49"/>
    </row>
    <row r="175" spans="1:1">
      <c r="A175" s="49"/>
    </row>
    <row r="176" spans="1:1">
      <c r="A176" s="49"/>
    </row>
    <row r="177" spans="1:1">
      <c r="A177" s="49"/>
    </row>
    <row r="178" spans="1:1">
      <c r="A178" s="49"/>
    </row>
    <row r="179" spans="1:1">
      <c r="A179" s="49"/>
    </row>
    <row r="180" spans="1:1">
      <c r="A180" s="49"/>
    </row>
    <row r="181" spans="1:1">
      <c r="A181" s="49"/>
    </row>
    <row r="182" spans="1:1">
      <c r="A182" s="49"/>
    </row>
    <row r="183" spans="1:1">
      <c r="A183" s="49"/>
    </row>
    <row r="184" spans="1:1">
      <c r="A184" s="49"/>
    </row>
    <row r="185" spans="1:1">
      <c r="A185" s="49"/>
    </row>
    <row r="186" spans="1:1">
      <c r="A186" s="49"/>
    </row>
    <row r="187" spans="1:1">
      <c r="A187" s="49"/>
    </row>
    <row r="188" spans="1:1">
      <c r="A188" s="49"/>
    </row>
    <row r="189" spans="1:1">
      <c r="A189" s="49"/>
    </row>
    <row r="190" spans="1:1">
      <c r="A190" s="49"/>
    </row>
    <row r="191" spans="1:1">
      <c r="A191" s="49"/>
    </row>
    <row r="192" spans="1:1">
      <c r="A192" s="49"/>
    </row>
    <row r="193" spans="1:1">
      <c r="A193" s="49"/>
    </row>
    <row r="194" spans="1:1">
      <c r="A194" s="49"/>
    </row>
    <row r="195" spans="1:1">
      <c r="A195" s="49"/>
    </row>
    <row r="196" spans="1:1">
      <c r="A196" s="49"/>
    </row>
    <row r="197" spans="1:1">
      <c r="A197" s="49"/>
    </row>
    <row r="198" spans="1:1">
      <c r="A198" s="49"/>
    </row>
    <row r="199" spans="1:1">
      <c r="A199" s="49"/>
    </row>
    <row r="200" spans="1:1">
      <c r="A200" s="49"/>
    </row>
    <row r="201" spans="1:1">
      <c r="A201" s="49"/>
    </row>
    <row r="202" spans="1:1">
      <c r="A202" s="49"/>
    </row>
    <row r="203" spans="1:1">
      <c r="A203" s="49"/>
    </row>
    <row r="204" spans="1:1">
      <c r="A204" s="49"/>
    </row>
    <row r="205" spans="1:1">
      <c r="A205" s="49"/>
    </row>
    <row r="206" spans="1:1">
      <c r="A206" s="49"/>
    </row>
    <row r="207" spans="1:1">
      <c r="A207" s="49"/>
    </row>
    <row r="208" spans="1:1">
      <c r="A208" s="49"/>
    </row>
    <row r="209" spans="1:1">
      <c r="A209" s="49"/>
    </row>
    <row r="210" spans="1:1">
      <c r="A210" s="49"/>
    </row>
    <row r="211" spans="1:1">
      <c r="A211" s="49"/>
    </row>
    <row r="212" spans="1:1">
      <c r="A212" s="49"/>
    </row>
    <row r="213" spans="1:1">
      <c r="A213" s="49"/>
    </row>
    <row r="214" spans="1:1">
      <c r="A214" s="49"/>
    </row>
    <row r="215" spans="1:1">
      <c r="A215" s="49"/>
    </row>
    <row r="216" spans="1:1">
      <c r="A216" s="49"/>
    </row>
    <row r="217" spans="1:1">
      <c r="A217" s="49"/>
    </row>
    <row r="218" spans="1:1">
      <c r="A218" s="49"/>
    </row>
    <row r="219" spans="1:1">
      <c r="A219" s="49"/>
    </row>
    <row r="220" spans="1:1">
      <c r="A220" s="49"/>
    </row>
    <row r="221" spans="1:1">
      <c r="A221" s="49"/>
    </row>
    <row r="222" spans="1:1">
      <c r="A222" s="49"/>
    </row>
    <row r="223" spans="1:1">
      <c r="A223" s="49"/>
    </row>
    <row r="224" spans="1:1">
      <c r="A224" s="49"/>
    </row>
    <row r="225" spans="1:1">
      <c r="A225" s="49"/>
    </row>
    <row r="226" spans="1:1">
      <c r="A226" s="49"/>
    </row>
    <row r="227" spans="1:1">
      <c r="A227" s="49"/>
    </row>
    <row r="228" spans="1:1">
      <c r="A228" s="49"/>
    </row>
    <row r="229" spans="1:1">
      <c r="A229" s="49"/>
    </row>
    <row r="230" spans="1:1">
      <c r="A230" s="49"/>
    </row>
    <row r="231" spans="1:1">
      <c r="A231" s="49"/>
    </row>
    <row r="232" spans="1:1">
      <c r="A232" s="49"/>
    </row>
    <row r="233" spans="1:1">
      <c r="A233" s="49"/>
    </row>
    <row r="234" spans="1:1">
      <c r="A234" s="49"/>
    </row>
    <row r="235" spans="1:1">
      <c r="A235" s="49"/>
    </row>
    <row r="236" spans="1:1">
      <c r="A236" s="49"/>
    </row>
    <row r="237" spans="1:1">
      <c r="A237" s="49"/>
    </row>
    <row r="238" spans="1:1">
      <c r="A238" s="49"/>
    </row>
    <row r="239" spans="1:1">
      <c r="A239" s="49"/>
    </row>
    <row r="240" spans="1:1">
      <c r="A240" s="49"/>
    </row>
    <row r="241" spans="1:1">
      <c r="A241" s="49"/>
    </row>
    <row r="242" spans="1:1">
      <c r="A242" s="49"/>
    </row>
    <row r="243" spans="1:1">
      <c r="A243" s="49"/>
    </row>
    <row r="244" spans="1:1">
      <c r="A244" s="49"/>
    </row>
    <row r="245" spans="1:1">
      <c r="A245" s="49"/>
    </row>
    <row r="246" spans="1:1">
      <c r="A246" s="49"/>
    </row>
    <row r="247" spans="1:1">
      <c r="A247" s="49"/>
    </row>
    <row r="248" spans="1:1">
      <c r="A248" s="49"/>
    </row>
  </sheetData>
  <sheetProtection password="C6FB" sheet="1" formatCells="0" formatColumns="0" formatRows="0"/>
  <mergeCells count="33">
    <mergeCell ref="B14:D14"/>
    <mergeCell ref="D27:G27"/>
    <mergeCell ref="E14:F14"/>
    <mergeCell ref="C27:C28"/>
    <mergeCell ref="B18:D18"/>
    <mergeCell ref="A22:G22"/>
    <mergeCell ref="A27:A28"/>
    <mergeCell ref="B15:D15"/>
    <mergeCell ref="B16:D16"/>
    <mergeCell ref="A20:G20"/>
    <mergeCell ref="A21:G21"/>
    <mergeCell ref="A25:G25"/>
    <mergeCell ref="B10:D10"/>
    <mergeCell ref="B11:D11"/>
    <mergeCell ref="B12:D12"/>
    <mergeCell ref="E13:F13"/>
    <mergeCell ref="B13:D13"/>
    <mergeCell ref="A82:G82"/>
    <mergeCell ref="C79:D79"/>
    <mergeCell ref="E2:G5"/>
    <mergeCell ref="A66:G66"/>
    <mergeCell ref="A30:G30"/>
    <mergeCell ref="B27:B28"/>
    <mergeCell ref="B6:D6"/>
    <mergeCell ref="B7:D7"/>
    <mergeCell ref="B8:D8"/>
    <mergeCell ref="B9:D9"/>
    <mergeCell ref="A23:G23"/>
    <mergeCell ref="A62:G62"/>
    <mergeCell ref="A53:G53"/>
    <mergeCell ref="A60:G60"/>
    <mergeCell ref="B17:D17"/>
    <mergeCell ref="A46:G46"/>
  </mergeCells>
  <phoneticPr fontId="3" type="noConversion"/>
  <pageMargins left="1.1811023622047245" right="0.43307086614173229" top="0.78740157480314965" bottom="0.78740157480314965" header="0" footer="0"/>
  <pageSetup paperSize="9" scale="50" orientation="portrait" r:id="rId1"/>
  <headerFooter alignWithMargins="0"/>
  <rowBreaks count="1" manualBreakCount="1">
    <brk id="59" max="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indexed="43"/>
    <pageSetUpPr fitToPage="1"/>
  </sheetPr>
  <dimension ref="A1:M1070"/>
  <sheetViews>
    <sheetView view="pageBreakPreview" zoomScale="90" zoomScaleNormal="75" zoomScaleSheetLayoutView="90" workbookViewId="0">
      <pane ySplit="6" topLeftCell="A7" activePane="bottomLeft" state="frozen"/>
      <selection pane="bottomLeft" activeCell="G112" sqref="G112"/>
    </sheetView>
  </sheetViews>
  <sheetFormatPr defaultColWidth="9.1796875" defaultRowHeight="15.5" outlineLevelRow="1"/>
  <cols>
    <col min="1" max="1" width="44" style="9" customWidth="1"/>
    <col min="2" max="2" width="10.1796875" style="50" customWidth="1"/>
    <col min="3" max="3" width="12.54296875" style="51" customWidth="1"/>
    <col min="4" max="4" width="12.7265625" style="50" customWidth="1"/>
    <col min="5" max="5" width="11" style="50" customWidth="1"/>
    <col min="6" max="6" width="13.453125" style="98" customWidth="1"/>
    <col min="7" max="7" width="14.54296875" style="50" customWidth="1"/>
    <col min="8" max="8" width="10.26953125" style="50" customWidth="1"/>
    <col min="9" max="16384" width="9.1796875" style="9"/>
  </cols>
  <sheetData>
    <row r="1" spans="1:13" outlineLevel="1">
      <c r="B1" s="25"/>
      <c r="D1" s="25"/>
      <c r="E1" s="25"/>
      <c r="F1" s="52"/>
      <c r="G1" s="25"/>
      <c r="H1" s="51" t="s">
        <v>237</v>
      </c>
    </row>
    <row r="2" spans="1:13" outlineLevel="1">
      <c r="B2" s="25"/>
      <c r="D2" s="25"/>
      <c r="E2" s="25"/>
      <c r="F2" s="52"/>
      <c r="G2" s="25"/>
      <c r="H2" s="51" t="s">
        <v>221</v>
      </c>
    </row>
    <row r="3" spans="1:13">
      <c r="A3" s="245" t="s">
        <v>356</v>
      </c>
      <c r="B3" s="245"/>
      <c r="C3" s="245"/>
      <c r="D3" s="245"/>
      <c r="E3" s="245"/>
      <c r="F3" s="245"/>
      <c r="G3" s="245"/>
      <c r="H3" s="245"/>
    </row>
    <row r="4" spans="1:13">
      <c r="A4" s="53"/>
      <c r="B4" s="54"/>
      <c r="C4" s="55"/>
      <c r="D4" s="54"/>
      <c r="E4" s="54"/>
      <c r="F4" s="56"/>
      <c r="G4" s="54"/>
      <c r="H4" s="54"/>
    </row>
    <row r="5" spans="1:13">
      <c r="A5" s="249" t="s">
        <v>283</v>
      </c>
      <c r="B5" s="250" t="s">
        <v>18</v>
      </c>
      <c r="C5" s="251" t="s">
        <v>364</v>
      </c>
      <c r="D5" s="249" t="s">
        <v>344</v>
      </c>
      <c r="E5" s="249"/>
      <c r="F5" s="249"/>
      <c r="G5" s="249"/>
      <c r="H5" s="249"/>
    </row>
    <row r="6" spans="1:13" ht="30.75" customHeight="1">
      <c r="A6" s="249"/>
      <c r="B6" s="250"/>
      <c r="C6" s="252"/>
      <c r="D6" s="57" t="s">
        <v>261</v>
      </c>
      <c r="E6" s="57" t="s">
        <v>244</v>
      </c>
      <c r="F6" s="58" t="s">
        <v>363</v>
      </c>
      <c r="G6" s="59" t="s">
        <v>272</v>
      </c>
      <c r="H6" s="57" t="s">
        <v>270</v>
      </c>
    </row>
    <row r="7" spans="1:13">
      <c r="A7" s="26">
        <v>1</v>
      </c>
      <c r="B7" s="27">
        <v>2</v>
      </c>
      <c r="C7" s="60">
        <v>3</v>
      </c>
      <c r="D7" s="27">
        <v>4</v>
      </c>
      <c r="E7" s="27">
        <v>5</v>
      </c>
      <c r="F7" s="61">
        <v>6</v>
      </c>
      <c r="G7" s="27">
        <v>7</v>
      </c>
      <c r="H7" s="27">
        <v>8</v>
      </c>
    </row>
    <row r="8" spans="1:13" s="42" customFormat="1" ht="15">
      <c r="A8" s="227" t="s">
        <v>269</v>
      </c>
      <c r="B8" s="228"/>
      <c r="C8" s="228"/>
      <c r="D8" s="228"/>
      <c r="E8" s="228"/>
      <c r="F8" s="228"/>
      <c r="G8" s="228"/>
      <c r="H8" s="229"/>
    </row>
    <row r="9" spans="1:13" s="42" customFormat="1" ht="30">
      <c r="A9" s="33" t="s">
        <v>108</v>
      </c>
      <c r="B9" s="62">
        <v>1000</v>
      </c>
      <c r="C9" s="63">
        <f>C10</f>
        <v>9612</v>
      </c>
      <c r="D9" s="63">
        <f>D10</f>
        <v>8457</v>
      </c>
      <c r="E9" s="63">
        <f>E10</f>
        <v>5834.4</v>
      </c>
      <c r="F9" s="64">
        <f t="shared" ref="F9:F32" si="0">E9-D9</f>
        <v>-2622.6000000000004</v>
      </c>
      <c r="G9" s="65">
        <f t="shared" ref="G9:G17" si="1">E9/D9*100</f>
        <v>68.989003192621496</v>
      </c>
      <c r="H9" s="66"/>
    </row>
    <row r="10" spans="1:13" ht="31">
      <c r="A10" s="37" t="s">
        <v>467</v>
      </c>
      <c r="B10" s="67" t="s">
        <v>468</v>
      </c>
      <c r="C10" s="68">
        <v>9612</v>
      </c>
      <c r="D10" s="68">
        <v>8457</v>
      </c>
      <c r="E10" s="68">
        <v>5834.4</v>
      </c>
      <c r="F10" s="64"/>
      <c r="G10" s="65"/>
      <c r="H10" s="66"/>
      <c r="K10" s="9" t="s">
        <v>548</v>
      </c>
    </row>
    <row r="11" spans="1:13" ht="30">
      <c r="A11" s="33" t="s">
        <v>125</v>
      </c>
      <c r="B11" s="62">
        <v>1010</v>
      </c>
      <c r="C11" s="69">
        <f>SUM(C12:C19)</f>
        <v>7235</v>
      </c>
      <c r="D11" s="69">
        <f>SUM(D12:D19)</f>
        <v>12110</v>
      </c>
      <c r="E11" s="69">
        <f>SUM(E12:E19)</f>
        <v>8782.2000000000007</v>
      </c>
      <c r="F11" s="64">
        <f t="shared" si="0"/>
        <v>-3327.7999999999993</v>
      </c>
      <c r="G11" s="65">
        <f t="shared" si="1"/>
        <v>72.520231213872847</v>
      </c>
      <c r="H11" s="70"/>
      <c r="I11" s="9">
        <v>8782.6</v>
      </c>
      <c r="J11" s="71">
        <f>E11-I11</f>
        <v>-0.3999999999996362</v>
      </c>
      <c r="K11" s="9">
        <v>7223.8</v>
      </c>
      <c r="L11" s="72">
        <f>E11-K11</f>
        <v>1558.4000000000005</v>
      </c>
      <c r="M11" s="71"/>
    </row>
    <row r="12" spans="1:13">
      <c r="A12" s="37" t="s">
        <v>282</v>
      </c>
      <c r="B12" s="27">
        <v>1011</v>
      </c>
      <c r="C12" s="39">
        <v>16</v>
      </c>
      <c r="D12" s="39">
        <v>19</v>
      </c>
      <c r="E12" s="39">
        <f>1054.2-E13+16.1</f>
        <v>25.300000000000047</v>
      </c>
      <c r="F12" s="64">
        <f t="shared" si="0"/>
        <v>6.3000000000000469</v>
      </c>
      <c r="G12" s="65">
        <f t="shared" si="1"/>
        <v>133.15789473684234</v>
      </c>
      <c r="H12" s="73"/>
    </row>
    <row r="13" spans="1:13">
      <c r="A13" s="37" t="s">
        <v>66</v>
      </c>
      <c r="B13" s="27">
        <v>1012</v>
      </c>
      <c r="C13" s="39">
        <v>522</v>
      </c>
      <c r="D13" s="39">
        <v>1748</v>
      </c>
      <c r="E13" s="39">
        <v>1045</v>
      </c>
      <c r="F13" s="64">
        <f t="shared" si="0"/>
        <v>-703</v>
      </c>
      <c r="G13" s="65">
        <f t="shared" si="1"/>
        <v>59.782608695652172</v>
      </c>
      <c r="H13" s="73"/>
    </row>
    <row r="14" spans="1:13">
      <c r="A14" s="37" t="s">
        <v>65</v>
      </c>
      <c r="B14" s="27">
        <v>1013</v>
      </c>
      <c r="C14" s="39">
        <f>ROUND(62.4+101.4,0)</f>
        <v>164</v>
      </c>
      <c r="D14" s="39">
        <v>125</v>
      </c>
      <c r="E14" s="39">
        <v>127.4</v>
      </c>
      <c r="F14" s="64">
        <f t="shared" si="0"/>
        <v>2.4000000000000057</v>
      </c>
      <c r="G14" s="65">
        <f t="shared" si="1"/>
        <v>101.92000000000002</v>
      </c>
      <c r="H14" s="73"/>
    </row>
    <row r="15" spans="1:13">
      <c r="A15" s="37" t="s">
        <v>40</v>
      </c>
      <c r="B15" s="27">
        <v>1014</v>
      </c>
      <c r="C15" s="39">
        <f>ROUND(3479+822.6-13,0)</f>
        <v>4289</v>
      </c>
      <c r="D15" s="74">
        <v>6769</v>
      </c>
      <c r="E15" s="39">
        <v>4361.5</v>
      </c>
      <c r="F15" s="64">
        <f t="shared" si="0"/>
        <v>-2407.5</v>
      </c>
      <c r="G15" s="65">
        <f t="shared" si="1"/>
        <v>64.433446594770274</v>
      </c>
      <c r="H15" s="73"/>
    </row>
    <row r="16" spans="1:13">
      <c r="A16" s="37" t="s">
        <v>41</v>
      </c>
      <c r="B16" s="27">
        <v>1015</v>
      </c>
      <c r="C16" s="39">
        <f>ROUND(754+174.6-2.9,0)</f>
        <v>926</v>
      </c>
      <c r="D16" s="39">
        <v>1445</v>
      </c>
      <c r="E16" s="39">
        <v>956.3</v>
      </c>
      <c r="F16" s="64">
        <f t="shared" si="0"/>
        <v>-488.70000000000005</v>
      </c>
      <c r="G16" s="65">
        <f t="shared" si="1"/>
        <v>66.179930795847753</v>
      </c>
      <c r="H16" s="73"/>
    </row>
    <row r="17" spans="1:10" ht="62">
      <c r="A17" s="37" t="s">
        <v>258</v>
      </c>
      <c r="B17" s="27">
        <v>1016</v>
      </c>
      <c r="C17" s="39"/>
      <c r="D17" s="39">
        <v>20</v>
      </c>
      <c r="E17" s="39"/>
      <c r="F17" s="64">
        <f t="shared" si="0"/>
        <v>-20</v>
      </c>
      <c r="G17" s="65">
        <f t="shared" si="1"/>
        <v>0</v>
      </c>
      <c r="H17" s="73"/>
    </row>
    <row r="18" spans="1:10" ht="31">
      <c r="A18" s="37" t="s">
        <v>64</v>
      </c>
      <c r="B18" s="27">
        <v>1017</v>
      </c>
      <c r="C18" s="39">
        <v>204</v>
      </c>
      <c r="D18" s="39">
        <v>245</v>
      </c>
      <c r="E18" s="39">
        <v>293.5</v>
      </c>
      <c r="F18" s="64">
        <f t="shared" si="0"/>
        <v>48.5</v>
      </c>
      <c r="G18" s="65">
        <f>E18/D18*100</f>
        <v>119.79591836734693</v>
      </c>
      <c r="H18" s="73"/>
    </row>
    <row r="19" spans="1:10">
      <c r="A19" s="37" t="s">
        <v>123</v>
      </c>
      <c r="B19" s="27">
        <v>1018</v>
      </c>
      <c r="C19" s="39">
        <f>SUM(C20:C29)</f>
        <v>1114</v>
      </c>
      <c r="D19" s="39">
        <f>SUM(D20:D30)</f>
        <v>1739</v>
      </c>
      <c r="E19" s="39">
        <f>SUM(E20:E30)</f>
        <v>1973.2</v>
      </c>
      <c r="F19" s="64">
        <f t="shared" si="0"/>
        <v>234.20000000000005</v>
      </c>
      <c r="G19" s="65">
        <f>E19/D19*100</f>
        <v>113.46751006325475</v>
      </c>
      <c r="H19" s="73"/>
    </row>
    <row r="20" spans="1:10">
      <c r="A20" s="75" t="s">
        <v>385</v>
      </c>
      <c r="B20" s="27" t="s">
        <v>379</v>
      </c>
      <c r="C20" s="39">
        <v>80</v>
      </c>
      <c r="D20" s="39">
        <v>94</v>
      </c>
      <c r="E20" s="39">
        <v>45.6</v>
      </c>
      <c r="F20" s="43">
        <f t="shared" si="0"/>
        <v>-48.4</v>
      </c>
      <c r="G20" s="76"/>
      <c r="H20" s="73"/>
    </row>
    <row r="21" spans="1:10">
      <c r="A21" s="75" t="s">
        <v>386</v>
      </c>
      <c r="B21" s="27" t="s">
        <v>380</v>
      </c>
      <c r="C21" s="39">
        <v>6</v>
      </c>
      <c r="D21" s="39">
        <v>193</v>
      </c>
      <c r="E21" s="39"/>
      <c r="F21" s="43">
        <f t="shared" si="0"/>
        <v>-193</v>
      </c>
      <c r="G21" s="76"/>
      <c r="H21" s="73"/>
    </row>
    <row r="22" spans="1:10" ht="62">
      <c r="A22" s="75" t="s">
        <v>547</v>
      </c>
      <c r="B22" s="27" t="s">
        <v>381</v>
      </c>
      <c r="C22" s="39">
        <v>136</v>
      </c>
      <c r="D22" s="39">
        <v>46</v>
      </c>
      <c r="E22" s="39">
        <f>1.5+2</f>
        <v>3.5</v>
      </c>
      <c r="F22" s="43">
        <f t="shared" si="0"/>
        <v>-42.5</v>
      </c>
      <c r="G22" s="76"/>
      <c r="H22" s="73"/>
    </row>
    <row r="23" spans="1:10">
      <c r="A23" s="75" t="s">
        <v>469</v>
      </c>
      <c r="B23" s="27" t="s">
        <v>382</v>
      </c>
      <c r="C23" s="39"/>
      <c r="D23" s="39">
        <v>13</v>
      </c>
      <c r="E23" s="39"/>
      <c r="F23" s="43">
        <f t="shared" si="0"/>
        <v>-13</v>
      </c>
      <c r="G23" s="76"/>
      <c r="H23" s="73"/>
    </row>
    <row r="24" spans="1:10">
      <c r="A24" s="75" t="s">
        <v>470</v>
      </c>
      <c r="B24" s="27" t="s">
        <v>383</v>
      </c>
      <c r="C24" s="39">
        <v>4</v>
      </c>
      <c r="D24" s="39">
        <v>15</v>
      </c>
      <c r="E24" s="39">
        <v>4.0999999999999996</v>
      </c>
      <c r="F24" s="43">
        <f t="shared" si="0"/>
        <v>-10.9</v>
      </c>
      <c r="G24" s="76"/>
      <c r="H24" s="73"/>
    </row>
    <row r="25" spans="1:10">
      <c r="A25" s="75" t="s">
        <v>387</v>
      </c>
      <c r="B25" s="27" t="s">
        <v>384</v>
      </c>
      <c r="C25" s="39">
        <f>258+61</f>
        <v>319</v>
      </c>
      <c r="D25" s="39">
        <v>521</v>
      </c>
      <c r="E25" s="39">
        <v>269.5</v>
      </c>
      <c r="F25" s="43">
        <f t="shared" si="0"/>
        <v>-251.5</v>
      </c>
      <c r="G25" s="76"/>
      <c r="H25" s="73"/>
    </row>
    <row r="26" spans="1:10">
      <c r="A26" s="75" t="s">
        <v>471</v>
      </c>
      <c r="B26" s="27" t="s">
        <v>388</v>
      </c>
      <c r="C26" s="39">
        <v>2</v>
      </c>
      <c r="D26" s="39">
        <v>8</v>
      </c>
      <c r="E26" s="39">
        <v>11.1</v>
      </c>
      <c r="F26" s="43">
        <f t="shared" si="0"/>
        <v>3.0999999999999996</v>
      </c>
      <c r="G26" s="76"/>
      <c r="H26" s="73"/>
    </row>
    <row r="27" spans="1:10">
      <c r="A27" s="75" t="s">
        <v>514</v>
      </c>
      <c r="B27" s="27" t="s">
        <v>390</v>
      </c>
      <c r="C27" s="39"/>
      <c r="D27" s="39">
        <v>3</v>
      </c>
      <c r="E27" s="39"/>
      <c r="F27" s="43">
        <f t="shared" si="0"/>
        <v>-3</v>
      </c>
      <c r="G27" s="76"/>
      <c r="H27" s="73"/>
    </row>
    <row r="28" spans="1:10" ht="31">
      <c r="A28" s="75" t="s">
        <v>389</v>
      </c>
      <c r="B28" s="27" t="s">
        <v>512</v>
      </c>
      <c r="C28" s="39">
        <f>887-324</f>
        <v>563</v>
      </c>
      <c r="D28" s="39">
        <v>750</v>
      </c>
      <c r="E28" s="39">
        <f>6.2+1174.2+378.5</f>
        <v>1558.9</v>
      </c>
      <c r="F28" s="43">
        <f t="shared" ref="F28" si="2">E28-D28</f>
        <v>808.90000000000009</v>
      </c>
      <c r="G28" s="76"/>
      <c r="H28" s="73"/>
    </row>
    <row r="29" spans="1:10" ht="31">
      <c r="A29" s="75" t="s">
        <v>518</v>
      </c>
      <c r="B29" s="27" t="s">
        <v>513</v>
      </c>
      <c r="C29" s="39">
        <v>4</v>
      </c>
      <c r="D29" s="39">
        <v>8</v>
      </c>
      <c r="E29" s="39"/>
      <c r="F29" s="43">
        <f t="shared" si="0"/>
        <v>-8</v>
      </c>
      <c r="G29" s="76"/>
      <c r="H29" s="73"/>
    </row>
    <row r="30" spans="1:10">
      <c r="A30" s="75" t="s">
        <v>546</v>
      </c>
      <c r="B30" s="27" t="s">
        <v>545</v>
      </c>
      <c r="C30" s="39"/>
      <c r="D30" s="39">
        <v>88</v>
      </c>
      <c r="E30" s="39">
        <f>91.6-E26</f>
        <v>80.5</v>
      </c>
      <c r="F30" s="43"/>
      <c r="G30" s="76"/>
      <c r="H30" s="73"/>
    </row>
    <row r="31" spans="1:10" s="42" customFormat="1">
      <c r="A31" s="33" t="s">
        <v>23</v>
      </c>
      <c r="B31" s="62">
        <v>1020</v>
      </c>
      <c r="C31" s="69">
        <f>C9-C11</f>
        <v>2377</v>
      </c>
      <c r="D31" s="69">
        <f>D9-D11</f>
        <v>-3653</v>
      </c>
      <c r="E31" s="69">
        <f>E9-E11</f>
        <v>-2947.8000000000011</v>
      </c>
      <c r="F31" s="64">
        <f t="shared" si="0"/>
        <v>705.19999999999891</v>
      </c>
      <c r="G31" s="65">
        <f>E31/D31*100</f>
        <v>80.695318915959518</v>
      </c>
      <c r="H31" s="77"/>
      <c r="I31" s="42">
        <v>-2948</v>
      </c>
      <c r="J31" s="78">
        <f>E31-I31</f>
        <v>0.19999999999890861</v>
      </c>
    </row>
    <row r="32" spans="1:10" ht="30">
      <c r="A32" s="33" t="s">
        <v>214</v>
      </c>
      <c r="B32" s="62">
        <v>1030</v>
      </c>
      <c r="C32" s="63">
        <f>C33</f>
        <v>0</v>
      </c>
      <c r="D32" s="63">
        <v>7354</v>
      </c>
      <c r="E32" s="63">
        <f>E33</f>
        <v>5766</v>
      </c>
      <c r="F32" s="64">
        <f t="shared" si="0"/>
        <v>-1588</v>
      </c>
      <c r="G32" s="65"/>
      <c r="H32" s="66"/>
    </row>
    <row r="33" spans="1:10" ht="31">
      <c r="A33" s="37" t="s">
        <v>531</v>
      </c>
      <c r="B33" s="67" t="s">
        <v>446</v>
      </c>
      <c r="C33" s="68"/>
      <c r="D33" s="68">
        <v>7354</v>
      </c>
      <c r="E33" s="68">
        <v>5766</v>
      </c>
      <c r="F33" s="64"/>
      <c r="G33" s="65"/>
      <c r="H33" s="66"/>
    </row>
    <row r="34" spans="1:10">
      <c r="A34" s="37" t="s">
        <v>215</v>
      </c>
      <c r="B34" s="67">
        <v>1031</v>
      </c>
      <c r="C34" s="68"/>
      <c r="D34" s="68"/>
      <c r="E34" s="68"/>
      <c r="F34" s="64"/>
      <c r="G34" s="65"/>
      <c r="H34" s="66"/>
    </row>
    <row r="35" spans="1:10">
      <c r="A35" s="33" t="s">
        <v>224</v>
      </c>
      <c r="B35" s="62">
        <v>1040</v>
      </c>
      <c r="C35" s="79">
        <f>SUM(C36:C57)</f>
        <v>1454</v>
      </c>
      <c r="D35" s="69">
        <f>SUM(D36:D55,D57)</f>
        <v>2086</v>
      </c>
      <c r="E35" s="79">
        <f>SUM(E36:E57)</f>
        <v>1670.6</v>
      </c>
      <c r="F35" s="80">
        <f>E35-D35</f>
        <v>-415.40000000000009</v>
      </c>
      <c r="G35" s="81">
        <f>E35/D35*100</f>
        <v>80.086289549376787</v>
      </c>
      <c r="H35" s="70"/>
      <c r="I35" s="9">
        <v>1671</v>
      </c>
      <c r="J35" s="71">
        <f>E35-I35</f>
        <v>-0.40000000000009095</v>
      </c>
    </row>
    <row r="36" spans="1:10" ht="31">
      <c r="A36" s="37" t="s">
        <v>107</v>
      </c>
      <c r="B36" s="67">
        <v>1041</v>
      </c>
      <c r="C36" s="82"/>
      <c r="D36" s="39"/>
      <c r="E36" s="82"/>
      <c r="F36" s="64"/>
      <c r="G36" s="65"/>
      <c r="H36" s="66"/>
    </row>
    <row r="37" spans="1:10">
      <c r="A37" s="37" t="s">
        <v>205</v>
      </c>
      <c r="B37" s="67">
        <v>1042</v>
      </c>
      <c r="C37" s="82"/>
      <c r="D37" s="39">
        <v>54</v>
      </c>
      <c r="E37" s="82"/>
      <c r="F37" s="64">
        <f>E37-D37</f>
        <v>-54</v>
      </c>
      <c r="G37" s="65">
        <f>E37/D37*100</f>
        <v>0</v>
      </c>
      <c r="H37" s="66"/>
    </row>
    <row r="38" spans="1:10">
      <c r="A38" s="37" t="s">
        <v>63</v>
      </c>
      <c r="B38" s="67">
        <v>1043</v>
      </c>
      <c r="C38" s="82"/>
      <c r="D38" s="39"/>
      <c r="E38" s="82"/>
      <c r="F38" s="64"/>
      <c r="G38" s="65"/>
      <c r="H38" s="66"/>
    </row>
    <row r="39" spans="1:10">
      <c r="A39" s="37" t="s">
        <v>21</v>
      </c>
      <c r="B39" s="67">
        <v>1044</v>
      </c>
      <c r="C39" s="82"/>
      <c r="D39" s="39"/>
      <c r="E39" s="82"/>
      <c r="F39" s="64"/>
      <c r="G39" s="65"/>
      <c r="H39" s="66"/>
    </row>
    <row r="40" spans="1:10">
      <c r="A40" s="37" t="s">
        <v>22</v>
      </c>
      <c r="B40" s="67">
        <v>1045</v>
      </c>
      <c r="C40" s="82"/>
      <c r="D40" s="39"/>
      <c r="E40" s="82"/>
      <c r="F40" s="64"/>
      <c r="G40" s="65"/>
      <c r="H40" s="66"/>
    </row>
    <row r="41" spans="1:10">
      <c r="A41" s="37" t="s">
        <v>38</v>
      </c>
      <c r="B41" s="67">
        <v>1046</v>
      </c>
      <c r="C41" s="82"/>
      <c r="D41" s="39"/>
      <c r="E41" s="82"/>
      <c r="F41" s="64">
        <f t="shared" ref="F41:F46" si="3">E41-D41</f>
        <v>0</v>
      </c>
      <c r="G41" s="83" t="e">
        <f>E41/D41*100</f>
        <v>#DIV/0!</v>
      </c>
      <c r="H41" s="66"/>
    </row>
    <row r="42" spans="1:10">
      <c r="A42" s="37" t="s">
        <v>39</v>
      </c>
      <c r="B42" s="67">
        <v>1047</v>
      </c>
      <c r="C42" s="82">
        <v>1</v>
      </c>
      <c r="D42" s="39">
        <v>4</v>
      </c>
      <c r="E42" s="82">
        <f>0.6+0.8</f>
        <v>1.4</v>
      </c>
      <c r="F42" s="64">
        <f t="shared" si="3"/>
        <v>-2.6</v>
      </c>
      <c r="G42" s="65">
        <f>E42/D42*100</f>
        <v>35</v>
      </c>
      <c r="H42" s="66"/>
    </row>
    <row r="43" spans="1:10">
      <c r="A43" s="37" t="s">
        <v>40</v>
      </c>
      <c r="B43" s="67">
        <v>1048</v>
      </c>
      <c r="C43" s="82">
        <v>1029</v>
      </c>
      <c r="D43" s="39">
        <v>1341</v>
      </c>
      <c r="E43" s="82">
        <v>1121.8</v>
      </c>
      <c r="F43" s="64">
        <f t="shared" si="3"/>
        <v>-219.20000000000005</v>
      </c>
      <c r="G43" s="65">
        <f>E43/D43*100</f>
        <v>83.653989560029828</v>
      </c>
      <c r="H43" s="66"/>
    </row>
    <row r="44" spans="1:10">
      <c r="A44" s="37" t="s">
        <v>41</v>
      </c>
      <c r="B44" s="67">
        <v>1049</v>
      </c>
      <c r="C44" s="82">
        <v>233</v>
      </c>
      <c r="D44" s="39">
        <v>295</v>
      </c>
      <c r="E44" s="82">
        <v>256.8</v>
      </c>
      <c r="F44" s="64">
        <f t="shared" si="3"/>
        <v>-38.199999999999989</v>
      </c>
      <c r="G44" s="65">
        <f>E44/D44*100</f>
        <v>87.050847457627128</v>
      </c>
      <c r="H44" s="66"/>
    </row>
    <row r="45" spans="1:10" ht="46.5">
      <c r="A45" s="37" t="s">
        <v>42</v>
      </c>
      <c r="B45" s="67">
        <v>1050</v>
      </c>
      <c r="C45" s="82">
        <v>6</v>
      </c>
      <c r="D45" s="39">
        <v>20</v>
      </c>
      <c r="E45" s="82">
        <v>16.5</v>
      </c>
      <c r="F45" s="64">
        <f t="shared" si="3"/>
        <v>-3.5</v>
      </c>
      <c r="G45" s="65">
        <f>E45/D45*100</f>
        <v>82.5</v>
      </c>
      <c r="H45" s="66"/>
    </row>
    <row r="46" spans="1:10" ht="46.5">
      <c r="A46" s="37" t="s">
        <v>43</v>
      </c>
      <c r="B46" s="67">
        <v>1051</v>
      </c>
      <c r="C46" s="82"/>
      <c r="D46" s="39"/>
      <c r="E46" s="82"/>
      <c r="F46" s="64">
        <f t="shared" si="3"/>
        <v>0</v>
      </c>
      <c r="G46" s="65"/>
      <c r="H46" s="66"/>
    </row>
    <row r="47" spans="1:10" ht="31">
      <c r="A47" s="37" t="s">
        <v>44</v>
      </c>
      <c r="B47" s="67">
        <v>1052</v>
      </c>
      <c r="C47" s="82"/>
      <c r="D47" s="39"/>
      <c r="E47" s="82"/>
      <c r="F47" s="64"/>
      <c r="G47" s="65"/>
      <c r="H47" s="66"/>
    </row>
    <row r="48" spans="1:10" ht="31">
      <c r="A48" s="37" t="s">
        <v>45</v>
      </c>
      <c r="B48" s="67">
        <v>1053</v>
      </c>
      <c r="C48" s="82"/>
      <c r="D48" s="39"/>
      <c r="E48" s="82"/>
      <c r="F48" s="64"/>
      <c r="G48" s="65"/>
      <c r="H48" s="66"/>
    </row>
    <row r="49" spans="1:8">
      <c r="A49" s="37" t="s">
        <v>46</v>
      </c>
      <c r="B49" s="67">
        <v>1054</v>
      </c>
      <c r="C49" s="82">
        <v>2</v>
      </c>
      <c r="D49" s="39">
        <v>50</v>
      </c>
      <c r="E49" s="82">
        <f>0.8+3.3</f>
        <v>4.0999999999999996</v>
      </c>
      <c r="F49" s="64">
        <f>E49-D49</f>
        <v>-45.9</v>
      </c>
      <c r="G49" s="65">
        <f>E49/D49*100</f>
        <v>8.1999999999999993</v>
      </c>
      <c r="H49" s="66"/>
    </row>
    <row r="50" spans="1:8">
      <c r="A50" s="37" t="s">
        <v>67</v>
      </c>
      <c r="B50" s="67">
        <v>1055</v>
      </c>
      <c r="C50" s="82">
        <v>8</v>
      </c>
      <c r="D50" s="39">
        <v>21</v>
      </c>
      <c r="E50" s="82">
        <f>1.3+4.9</f>
        <v>6.2</v>
      </c>
      <c r="F50" s="64">
        <f>E50-D50</f>
        <v>-14.8</v>
      </c>
      <c r="G50" s="65">
        <f>E50/D50*100</f>
        <v>29.523809523809526</v>
      </c>
      <c r="H50" s="66"/>
    </row>
    <row r="51" spans="1:8">
      <c r="A51" s="37" t="s">
        <v>47</v>
      </c>
      <c r="B51" s="67">
        <v>1056</v>
      </c>
      <c r="C51" s="82"/>
      <c r="D51" s="39">
        <v>0</v>
      </c>
      <c r="E51" s="82"/>
      <c r="F51" s="64">
        <f>E51-D51</f>
        <v>0</v>
      </c>
      <c r="G51" s="83" t="e">
        <f>E51/D51*100</f>
        <v>#DIV/0!</v>
      </c>
      <c r="H51" s="66"/>
    </row>
    <row r="52" spans="1:8">
      <c r="A52" s="37" t="s">
        <v>48</v>
      </c>
      <c r="B52" s="67">
        <v>1057</v>
      </c>
      <c r="C52" s="82"/>
      <c r="D52" s="39"/>
      <c r="E52" s="82"/>
      <c r="F52" s="64"/>
      <c r="G52" s="65"/>
      <c r="H52" s="66"/>
    </row>
    <row r="53" spans="1:8" ht="31">
      <c r="A53" s="37" t="s">
        <v>49</v>
      </c>
      <c r="B53" s="67">
        <v>1058</v>
      </c>
      <c r="C53" s="82"/>
      <c r="D53" s="39"/>
      <c r="E53" s="82"/>
      <c r="F53" s="64"/>
      <c r="G53" s="65"/>
      <c r="H53" s="66"/>
    </row>
    <row r="54" spans="1:8" ht="31">
      <c r="A54" s="37" t="s">
        <v>50</v>
      </c>
      <c r="B54" s="67">
        <v>1059</v>
      </c>
      <c r="C54" s="82"/>
      <c r="D54" s="39"/>
      <c r="E54" s="82"/>
      <c r="F54" s="64"/>
      <c r="G54" s="65"/>
      <c r="H54" s="66"/>
    </row>
    <row r="55" spans="1:8" ht="62">
      <c r="A55" s="37" t="s">
        <v>77</v>
      </c>
      <c r="B55" s="67">
        <v>1060</v>
      </c>
      <c r="C55" s="82"/>
      <c r="D55" s="39"/>
      <c r="E55" s="82"/>
      <c r="F55" s="64">
        <f>E55-D55</f>
        <v>0</v>
      </c>
      <c r="G55" s="83" t="e">
        <f>E55/D55*100</f>
        <v>#DIV/0!</v>
      </c>
      <c r="H55" s="66"/>
    </row>
    <row r="56" spans="1:8">
      <c r="A56" s="37" t="s">
        <v>51</v>
      </c>
      <c r="B56" s="67">
        <v>1061</v>
      </c>
      <c r="C56" s="82"/>
      <c r="D56" s="39"/>
      <c r="E56" s="82"/>
      <c r="F56" s="64"/>
      <c r="G56" s="65"/>
      <c r="H56" s="66"/>
    </row>
    <row r="57" spans="1:8">
      <c r="A57" s="37" t="s">
        <v>111</v>
      </c>
      <c r="B57" s="67">
        <v>1062</v>
      </c>
      <c r="C57" s="82">
        <f>SUM(C58:C66)</f>
        <v>175</v>
      </c>
      <c r="D57" s="82">
        <f>SUM(D58:D66)</f>
        <v>301</v>
      </c>
      <c r="E57" s="82">
        <f>SUM(E58:E66)</f>
        <v>263.8</v>
      </c>
      <c r="F57" s="64">
        <f>E57-D57</f>
        <v>-37.199999999999989</v>
      </c>
      <c r="G57" s="65">
        <f>E57/D57*100</f>
        <v>87.641196013289033</v>
      </c>
      <c r="H57" s="66"/>
    </row>
    <row r="58" spans="1:8">
      <c r="A58" s="37" t="s">
        <v>65</v>
      </c>
      <c r="B58" s="26" t="s">
        <v>391</v>
      </c>
      <c r="C58" s="84">
        <v>23</v>
      </c>
      <c r="D58" s="39">
        <v>30</v>
      </c>
      <c r="E58" s="84">
        <v>35.6</v>
      </c>
      <c r="F58" s="64"/>
      <c r="G58" s="65"/>
      <c r="H58" s="85"/>
    </row>
    <row r="59" spans="1:8">
      <c r="A59" s="37" t="s">
        <v>453</v>
      </c>
      <c r="B59" s="26" t="s">
        <v>392</v>
      </c>
      <c r="C59" s="84">
        <f>18</f>
        <v>18</v>
      </c>
      <c r="D59" s="39">
        <v>38</v>
      </c>
      <c r="E59" s="84">
        <f>24.2+0.8</f>
        <v>25</v>
      </c>
      <c r="F59" s="64"/>
      <c r="G59" s="65"/>
      <c r="H59" s="85"/>
    </row>
    <row r="60" spans="1:8">
      <c r="A60" s="37" t="s">
        <v>393</v>
      </c>
      <c r="B60" s="26" t="s">
        <v>394</v>
      </c>
      <c r="C60" s="84">
        <v>40</v>
      </c>
      <c r="D60" s="39">
        <v>75</v>
      </c>
      <c r="E60" s="84">
        <v>92</v>
      </c>
      <c r="F60" s="64"/>
      <c r="G60" s="65"/>
      <c r="H60" s="85"/>
    </row>
    <row r="61" spans="1:8">
      <c r="A61" s="37" t="s">
        <v>395</v>
      </c>
      <c r="B61" s="26" t="s">
        <v>396</v>
      </c>
      <c r="C61" s="84">
        <v>1</v>
      </c>
      <c r="D61" s="39">
        <v>22</v>
      </c>
      <c r="E61" s="84">
        <v>11</v>
      </c>
      <c r="F61" s="86"/>
      <c r="G61" s="85"/>
      <c r="H61" s="85"/>
    </row>
    <row r="62" spans="1:8">
      <c r="A62" s="37" t="s">
        <v>397</v>
      </c>
      <c r="B62" s="26" t="s">
        <v>398</v>
      </c>
      <c r="C62" s="84">
        <v>1</v>
      </c>
      <c r="D62" s="39">
        <v>2</v>
      </c>
      <c r="E62" s="84">
        <v>1.5</v>
      </c>
      <c r="F62" s="86"/>
      <c r="G62" s="85"/>
      <c r="H62" s="85"/>
    </row>
    <row r="63" spans="1:8">
      <c r="A63" s="37" t="s">
        <v>387</v>
      </c>
      <c r="B63" s="26" t="s">
        <v>399</v>
      </c>
      <c r="C63" s="84">
        <v>79</v>
      </c>
      <c r="D63" s="39">
        <v>94</v>
      </c>
      <c r="E63" s="84">
        <v>72.7</v>
      </c>
      <c r="F63" s="86"/>
      <c r="G63" s="85"/>
      <c r="H63" s="85"/>
    </row>
    <row r="64" spans="1:8">
      <c r="A64" s="37" t="s">
        <v>400</v>
      </c>
      <c r="B64" s="26" t="s">
        <v>401</v>
      </c>
      <c r="C64" s="84"/>
      <c r="D64" s="39">
        <v>1</v>
      </c>
      <c r="E64" s="84"/>
      <c r="F64" s="86"/>
      <c r="G64" s="85"/>
      <c r="H64" s="85"/>
    </row>
    <row r="65" spans="1:10">
      <c r="A65" s="37" t="s">
        <v>515</v>
      </c>
      <c r="B65" s="26" t="s">
        <v>454</v>
      </c>
      <c r="C65" s="84">
        <v>13</v>
      </c>
      <c r="D65" s="39">
        <v>38</v>
      </c>
      <c r="E65" s="84">
        <v>24.7</v>
      </c>
      <c r="F65" s="86"/>
      <c r="G65" s="85"/>
      <c r="H65" s="85"/>
    </row>
    <row r="66" spans="1:10">
      <c r="A66" s="37" t="s">
        <v>476</v>
      </c>
      <c r="B66" s="26" t="s">
        <v>475</v>
      </c>
      <c r="C66" s="84"/>
      <c r="D66" s="39">
        <v>1</v>
      </c>
      <c r="E66" s="84">
        <f>0.9+0.4</f>
        <v>1.3</v>
      </c>
      <c r="F66" s="86"/>
      <c r="G66" s="85"/>
      <c r="H66" s="85"/>
    </row>
    <row r="67" spans="1:10">
      <c r="A67" s="33" t="s">
        <v>225</v>
      </c>
      <c r="B67" s="62">
        <v>1070</v>
      </c>
      <c r="C67" s="63">
        <f>SUM(C68:C73)</f>
        <v>666</v>
      </c>
      <c r="D67" s="63">
        <f>SUM(D68:D73)</f>
        <v>1260</v>
      </c>
      <c r="E67" s="63">
        <f>SUM(E68:E73)</f>
        <v>827.5</v>
      </c>
      <c r="F67" s="64">
        <f t="shared" ref="F67:F73" si="4">E67-D67</f>
        <v>-432.5</v>
      </c>
      <c r="G67" s="65">
        <f t="shared" ref="G67:G73" si="5">E67/D67*100</f>
        <v>65.674603174603178</v>
      </c>
      <c r="H67" s="66"/>
      <c r="I67" s="9">
        <v>828</v>
      </c>
      <c r="J67" s="71">
        <f>E67-I67</f>
        <v>-0.5</v>
      </c>
    </row>
    <row r="68" spans="1:10">
      <c r="A68" s="37" t="s">
        <v>185</v>
      </c>
      <c r="B68" s="67">
        <v>1071</v>
      </c>
      <c r="C68" s="68"/>
      <c r="D68" s="39"/>
      <c r="E68" s="68"/>
      <c r="F68" s="64">
        <f t="shared" si="4"/>
        <v>0</v>
      </c>
      <c r="G68" s="83" t="e">
        <f t="shared" si="5"/>
        <v>#DIV/0!</v>
      </c>
      <c r="H68" s="66"/>
    </row>
    <row r="69" spans="1:10">
      <c r="A69" s="37" t="s">
        <v>186</v>
      </c>
      <c r="B69" s="67">
        <v>1072</v>
      </c>
      <c r="C69" s="68"/>
      <c r="D69" s="39"/>
      <c r="E69" s="68"/>
      <c r="F69" s="64">
        <f t="shared" si="4"/>
        <v>0</v>
      </c>
      <c r="G69" s="83" t="e">
        <f t="shared" si="5"/>
        <v>#DIV/0!</v>
      </c>
      <c r="H69" s="66"/>
    </row>
    <row r="70" spans="1:10">
      <c r="A70" s="37" t="s">
        <v>40</v>
      </c>
      <c r="B70" s="67">
        <v>1073</v>
      </c>
      <c r="C70" s="68">
        <v>366</v>
      </c>
      <c r="D70" s="39">
        <v>835</v>
      </c>
      <c r="E70" s="68">
        <v>452.3</v>
      </c>
      <c r="F70" s="64">
        <f t="shared" si="4"/>
        <v>-382.7</v>
      </c>
      <c r="G70" s="65">
        <f t="shared" si="5"/>
        <v>54.167664670658688</v>
      </c>
      <c r="H70" s="66"/>
    </row>
    <row r="71" spans="1:10" ht="31">
      <c r="A71" s="37" t="s">
        <v>64</v>
      </c>
      <c r="B71" s="67">
        <v>1074</v>
      </c>
      <c r="C71" s="68">
        <v>8</v>
      </c>
      <c r="D71" s="39">
        <v>18</v>
      </c>
      <c r="E71" s="68">
        <v>14.5</v>
      </c>
      <c r="F71" s="64">
        <f t="shared" si="4"/>
        <v>-3.5</v>
      </c>
      <c r="G71" s="65">
        <f t="shared" si="5"/>
        <v>80.555555555555557</v>
      </c>
      <c r="H71" s="66"/>
    </row>
    <row r="72" spans="1:10">
      <c r="A72" s="37" t="s">
        <v>80</v>
      </c>
      <c r="B72" s="67">
        <v>1075</v>
      </c>
      <c r="C72" s="68"/>
      <c r="D72" s="39"/>
      <c r="E72" s="68"/>
      <c r="F72" s="64">
        <f t="shared" si="4"/>
        <v>0</v>
      </c>
      <c r="G72" s="83" t="e">
        <f t="shared" si="5"/>
        <v>#DIV/0!</v>
      </c>
      <c r="H72" s="66"/>
    </row>
    <row r="73" spans="1:10">
      <c r="A73" s="37" t="s">
        <v>124</v>
      </c>
      <c r="B73" s="67">
        <v>1076</v>
      </c>
      <c r="C73" s="68">
        <f>SUM(C74:C80)</f>
        <v>292</v>
      </c>
      <c r="D73" s="68">
        <f>SUM(D74:D80)</f>
        <v>407</v>
      </c>
      <c r="E73" s="68">
        <f>SUM(E74:E80)</f>
        <v>360.7</v>
      </c>
      <c r="F73" s="64">
        <f t="shared" si="4"/>
        <v>-46.300000000000011</v>
      </c>
      <c r="G73" s="65">
        <f t="shared" si="5"/>
        <v>88.624078624078621</v>
      </c>
      <c r="H73" s="66"/>
    </row>
    <row r="74" spans="1:10">
      <c r="A74" s="37" t="s">
        <v>41</v>
      </c>
      <c r="B74" s="26" t="s">
        <v>402</v>
      </c>
      <c r="C74" s="39">
        <v>76</v>
      </c>
      <c r="D74" s="39">
        <v>184</v>
      </c>
      <c r="E74" s="39">
        <v>99.5</v>
      </c>
      <c r="F74" s="86"/>
      <c r="G74" s="85"/>
      <c r="H74" s="85"/>
    </row>
    <row r="75" spans="1:10">
      <c r="A75" s="37" t="s">
        <v>387</v>
      </c>
      <c r="B75" s="26" t="s">
        <v>403</v>
      </c>
      <c r="C75" s="39">
        <v>27</v>
      </c>
      <c r="D75" s="39">
        <v>58</v>
      </c>
      <c r="E75" s="39">
        <v>24.4</v>
      </c>
      <c r="F75" s="86"/>
      <c r="G75" s="85"/>
      <c r="H75" s="85"/>
    </row>
    <row r="76" spans="1:10">
      <c r="A76" s="37" t="s">
        <v>404</v>
      </c>
      <c r="B76" s="26" t="s">
        <v>405</v>
      </c>
      <c r="C76" s="39">
        <v>55</v>
      </c>
      <c r="D76" s="39">
        <v>50</v>
      </c>
      <c r="E76" s="39">
        <v>9</v>
      </c>
      <c r="F76" s="86"/>
      <c r="G76" s="85"/>
      <c r="H76" s="85"/>
    </row>
    <row r="77" spans="1:10">
      <c r="A77" s="37" t="s">
        <v>65</v>
      </c>
      <c r="B77" s="26" t="s">
        <v>406</v>
      </c>
      <c r="C77" s="39">
        <v>123</v>
      </c>
      <c r="D77" s="39">
        <v>75</v>
      </c>
      <c r="E77" s="39">
        <v>186.1</v>
      </c>
      <c r="F77" s="86"/>
      <c r="G77" s="85"/>
      <c r="H77" s="85"/>
    </row>
    <row r="78" spans="1:10">
      <c r="A78" s="37" t="s">
        <v>525</v>
      </c>
      <c r="B78" s="26" t="s">
        <v>407</v>
      </c>
      <c r="C78" s="39"/>
      <c r="D78" s="39">
        <v>1</v>
      </c>
      <c r="E78" s="39"/>
      <c r="F78" s="86"/>
      <c r="G78" s="85"/>
      <c r="H78" s="85"/>
    </row>
    <row r="79" spans="1:10">
      <c r="A79" s="37" t="s">
        <v>551</v>
      </c>
      <c r="B79" s="26" t="s">
        <v>409</v>
      </c>
      <c r="C79" s="39"/>
      <c r="D79" s="39"/>
      <c r="E79" s="39">
        <v>12</v>
      </c>
      <c r="F79" s="86"/>
      <c r="G79" s="85"/>
      <c r="H79" s="85"/>
    </row>
    <row r="80" spans="1:10">
      <c r="A80" s="37" t="s">
        <v>408</v>
      </c>
      <c r="B80" s="26" t="s">
        <v>552</v>
      </c>
      <c r="C80" s="39">
        <f>SUM(C81:C87)</f>
        <v>11</v>
      </c>
      <c r="D80" s="39">
        <v>39</v>
      </c>
      <c r="E80" s="39">
        <f>SUM(E81:E87)</f>
        <v>29.700000000000003</v>
      </c>
      <c r="F80" s="86"/>
      <c r="G80" s="85"/>
      <c r="H80" s="85"/>
    </row>
    <row r="81" spans="1:10">
      <c r="A81" s="37" t="s">
        <v>410</v>
      </c>
      <c r="B81" s="26" t="s">
        <v>411</v>
      </c>
      <c r="C81" s="39"/>
      <c r="D81" s="39">
        <v>1</v>
      </c>
      <c r="E81" s="39"/>
      <c r="F81" s="86"/>
      <c r="G81" s="85"/>
      <c r="H81" s="85"/>
    </row>
    <row r="82" spans="1:10">
      <c r="A82" s="37" t="s">
        <v>397</v>
      </c>
      <c r="B82" s="26" t="s">
        <v>412</v>
      </c>
      <c r="C82" s="39"/>
      <c r="D82" s="39">
        <v>3</v>
      </c>
      <c r="E82" s="39">
        <v>1</v>
      </c>
      <c r="F82" s="86"/>
      <c r="G82" s="85"/>
      <c r="H82" s="85"/>
    </row>
    <row r="83" spans="1:10">
      <c r="A83" s="37" t="s">
        <v>526</v>
      </c>
      <c r="B83" s="26" t="s">
        <v>413</v>
      </c>
      <c r="C83" s="39">
        <v>4</v>
      </c>
      <c r="D83" s="39">
        <v>3</v>
      </c>
      <c r="E83" s="39">
        <v>4</v>
      </c>
      <c r="F83" s="86"/>
      <c r="G83" s="85"/>
      <c r="H83" s="85"/>
    </row>
    <row r="84" spans="1:10">
      <c r="A84" s="37" t="s">
        <v>549</v>
      </c>
      <c r="B84" s="26" t="s">
        <v>414</v>
      </c>
      <c r="C84" s="39">
        <v>1</v>
      </c>
      <c r="D84" s="39">
        <v>2</v>
      </c>
      <c r="E84" s="39">
        <f>0.4</f>
        <v>0.4</v>
      </c>
      <c r="F84" s="86"/>
      <c r="G84" s="85"/>
      <c r="H84" s="85"/>
    </row>
    <row r="85" spans="1:10">
      <c r="A85" s="37" t="s">
        <v>46</v>
      </c>
      <c r="B85" s="26" t="s">
        <v>415</v>
      </c>
      <c r="C85" s="39"/>
      <c r="D85" s="39">
        <v>30</v>
      </c>
      <c r="E85" s="39">
        <v>17.8</v>
      </c>
      <c r="F85" s="86"/>
      <c r="G85" s="85"/>
      <c r="H85" s="85"/>
    </row>
    <row r="86" spans="1:10">
      <c r="A86" s="37" t="s">
        <v>496</v>
      </c>
      <c r="B86" s="26" t="s">
        <v>416</v>
      </c>
      <c r="C86" s="39">
        <v>6</v>
      </c>
      <c r="D86" s="39">
        <v>10</v>
      </c>
      <c r="E86" s="39">
        <v>5.8</v>
      </c>
      <c r="F86" s="86"/>
      <c r="G86" s="85"/>
      <c r="H86" s="85"/>
    </row>
    <row r="87" spans="1:10">
      <c r="A87" s="37" t="s">
        <v>476</v>
      </c>
      <c r="B87" s="26" t="s">
        <v>550</v>
      </c>
      <c r="C87" s="39"/>
      <c r="D87" s="39">
        <v>1</v>
      </c>
      <c r="E87" s="39">
        <v>0.7</v>
      </c>
      <c r="F87" s="86"/>
      <c r="G87" s="85"/>
      <c r="H87" s="85"/>
    </row>
    <row r="88" spans="1:10" ht="30">
      <c r="A88" s="87" t="s">
        <v>81</v>
      </c>
      <c r="B88" s="62">
        <v>1080</v>
      </c>
      <c r="C88" s="69">
        <f>SUM(C89:C93)</f>
        <v>244</v>
      </c>
      <c r="D88" s="69">
        <f t="shared" ref="D88" si="6">SUM(D89:D93)</f>
        <v>0</v>
      </c>
      <c r="E88" s="69">
        <f>SUM(E89:E93)</f>
        <v>484.4</v>
      </c>
      <c r="F88" s="64">
        <f>E88-D88</f>
        <v>484.4</v>
      </c>
      <c r="G88" s="83" t="e">
        <f>E88/D88*100</f>
        <v>#DIV/0!</v>
      </c>
      <c r="H88" s="70"/>
      <c r="I88" s="9">
        <v>484</v>
      </c>
      <c r="J88" s="71">
        <f>E88-I88</f>
        <v>0.39999999999997726</v>
      </c>
    </row>
    <row r="89" spans="1:10">
      <c r="A89" s="37" t="s">
        <v>73</v>
      </c>
      <c r="B89" s="67">
        <v>1081</v>
      </c>
      <c r="C89" s="68"/>
      <c r="D89" s="39"/>
      <c r="E89" s="68"/>
      <c r="F89" s="64"/>
      <c r="G89" s="65"/>
      <c r="H89" s="66"/>
    </row>
    <row r="90" spans="1:10">
      <c r="A90" s="37" t="s">
        <v>52</v>
      </c>
      <c r="B90" s="67">
        <v>1082</v>
      </c>
      <c r="C90" s="68"/>
      <c r="D90" s="39"/>
      <c r="E90" s="68"/>
      <c r="F90" s="64"/>
      <c r="G90" s="65"/>
      <c r="H90" s="66"/>
    </row>
    <row r="91" spans="1:10" ht="31">
      <c r="A91" s="37" t="s">
        <v>62</v>
      </c>
      <c r="B91" s="67">
        <v>1083</v>
      </c>
      <c r="C91" s="68"/>
      <c r="D91" s="39"/>
      <c r="E91" s="68"/>
      <c r="F91" s="64"/>
      <c r="G91" s="65"/>
      <c r="H91" s="66"/>
    </row>
    <row r="92" spans="1:10">
      <c r="A92" s="37" t="s">
        <v>215</v>
      </c>
      <c r="B92" s="67">
        <v>1084</v>
      </c>
      <c r="C92" s="68"/>
      <c r="D92" s="39"/>
      <c r="E92" s="68"/>
      <c r="F92" s="64"/>
      <c r="G92" s="65"/>
      <c r="H92" s="66"/>
    </row>
    <row r="93" spans="1:10">
      <c r="A93" s="37" t="s">
        <v>259</v>
      </c>
      <c r="B93" s="67">
        <v>1085</v>
      </c>
      <c r="C93" s="68">
        <f>SUM(C94:C99)</f>
        <v>244</v>
      </c>
      <c r="D93" s="68">
        <f t="shared" ref="D93" si="7">SUM(D94:D99)</f>
        <v>0</v>
      </c>
      <c r="E93" s="68">
        <f>SUM(E94:E99)</f>
        <v>484.4</v>
      </c>
      <c r="F93" s="64">
        <f>E93-D93</f>
        <v>484.4</v>
      </c>
      <c r="G93" s="83" t="e">
        <f>E93/D93*100</f>
        <v>#DIV/0!</v>
      </c>
      <c r="H93" s="66"/>
      <c r="I93" s="9">
        <v>244</v>
      </c>
      <c r="J93" s="71">
        <f>E93-I93</f>
        <v>240.39999999999998</v>
      </c>
    </row>
    <row r="94" spans="1:10">
      <c r="A94" s="35" t="s">
        <v>417</v>
      </c>
      <c r="B94" s="88" t="s">
        <v>418</v>
      </c>
      <c r="C94" s="39">
        <v>18</v>
      </c>
      <c r="D94" s="39"/>
      <c r="E94" s="39">
        <v>39</v>
      </c>
      <c r="F94" s="86"/>
      <c r="G94" s="85"/>
      <c r="H94" s="85"/>
    </row>
    <row r="95" spans="1:10">
      <c r="A95" s="35" t="s">
        <v>494</v>
      </c>
      <c r="B95" s="88" t="s">
        <v>419</v>
      </c>
      <c r="C95" s="39">
        <v>6</v>
      </c>
      <c r="D95" s="39"/>
      <c r="E95" s="39">
        <v>27.4</v>
      </c>
      <c r="F95" s="86"/>
      <c r="G95" s="85"/>
      <c r="H95" s="85"/>
    </row>
    <row r="96" spans="1:10">
      <c r="A96" s="35" t="s">
        <v>430</v>
      </c>
      <c r="B96" s="88" t="s">
        <v>420</v>
      </c>
      <c r="C96" s="39"/>
      <c r="D96" s="39"/>
      <c r="E96" s="39"/>
      <c r="F96" s="86"/>
      <c r="G96" s="85"/>
      <c r="H96" s="85"/>
    </row>
    <row r="97" spans="1:10" ht="31">
      <c r="A97" s="35" t="s">
        <v>553</v>
      </c>
      <c r="B97" s="88" t="s">
        <v>421</v>
      </c>
      <c r="C97" s="39"/>
      <c r="D97" s="39"/>
      <c r="E97" s="39">
        <v>418</v>
      </c>
      <c r="F97" s="86"/>
      <c r="G97" s="85"/>
      <c r="H97" s="85"/>
    </row>
    <row r="98" spans="1:10">
      <c r="A98" s="35" t="s">
        <v>422</v>
      </c>
      <c r="B98" s="88" t="s">
        <v>423</v>
      </c>
      <c r="C98" s="39"/>
      <c r="D98" s="39"/>
      <c r="E98" s="39"/>
      <c r="F98" s="86"/>
      <c r="G98" s="85"/>
      <c r="H98" s="85"/>
    </row>
    <row r="99" spans="1:10">
      <c r="A99" s="35" t="s">
        <v>424</v>
      </c>
      <c r="B99" s="88" t="s">
        <v>425</v>
      </c>
      <c r="C99" s="39">
        <v>220</v>
      </c>
      <c r="D99" s="39"/>
      <c r="E99" s="39"/>
      <c r="F99" s="86"/>
      <c r="G99" s="85"/>
      <c r="H99" s="85"/>
    </row>
    <row r="100" spans="1:10" s="42" customFormat="1" ht="30">
      <c r="A100" s="33" t="s">
        <v>4</v>
      </c>
      <c r="B100" s="62">
        <v>1100</v>
      </c>
      <c r="C100" s="69">
        <f>C31+C32-C35-C67-C88</f>
        <v>13</v>
      </c>
      <c r="D100" s="69">
        <f>D31+D32-D35-D67-D88</f>
        <v>355</v>
      </c>
      <c r="E100" s="69">
        <f>E31+E32-E35-E67-E88</f>
        <v>-164.30000000000098</v>
      </c>
      <c r="F100" s="64">
        <f>E100-D100</f>
        <v>-519.30000000000098</v>
      </c>
      <c r="G100" s="65">
        <f>E100/D100*100</f>
        <v>-46.281690140845342</v>
      </c>
      <c r="H100" s="77"/>
      <c r="I100" s="9">
        <v>13</v>
      </c>
      <c r="J100" s="71">
        <f>E100-I100</f>
        <v>-177.30000000000098</v>
      </c>
    </row>
    <row r="101" spans="1:10">
      <c r="A101" s="37" t="s">
        <v>109</v>
      </c>
      <c r="B101" s="67">
        <v>1110</v>
      </c>
      <c r="C101" s="68"/>
      <c r="D101" s="68"/>
      <c r="E101" s="68"/>
      <c r="F101" s="64"/>
      <c r="G101" s="65"/>
      <c r="H101" s="66"/>
    </row>
    <row r="102" spans="1:10">
      <c r="A102" s="37" t="s">
        <v>110</v>
      </c>
      <c r="B102" s="67">
        <v>1120</v>
      </c>
      <c r="C102" s="68">
        <f>C103</f>
        <v>1</v>
      </c>
      <c r="D102" s="68"/>
      <c r="E102" s="68">
        <f>E103</f>
        <v>0</v>
      </c>
      <c r="F102" s="64"/>
      <c r="G102" s="65"/>
      <c r="H102" s="66"/>
    </row>
    <row r="103" spans="1:10">
      <c r="A103" s="35" t="s">
        <v>479</v>
      </c>
      <c r="B103" s="26" t="s">
        <v>426</v>
      </c>
      <c r="C103" s="39">
        <v>1</v>
      </c>
      <c r="D103" s="85"/>
      <c r="E103" s="39"/>
      <c r="F103" s="86"/>
      <c r="G103" s="85"/>
      <c r="H103" s="85"/>
    </row>
    <row r="104" spans="1:10">
      <c r="A104" s="37" t="s">
        <v>112</v>
      </c>
      <c r="B104" s="67">
        <v>1130</v>
      </c>
      <c r="C104" s="68"/>
      <c r="D104" s="68"/>
      <c r="E104" s="68"/>
      <c r="F104" s="64"/>
      <c r="G104" s="65"/>
      <c r="H104" s="66"/>
    </row>
    <row r="105" spans="1:10">
      <c r="A105" s="37" t="s">
        <v>460</v>
      </c>
      <c r="B105" s="67">
        <v>1140</v>
      </c>
      <c r="C105" s="68"/>
      <c r="D105" s="68"/>
      <c r="E105" s="68"/>
      <c r="F105" s="64"/>
      <c r="G105" s="65"/>
      <c r="H105" s="66"/>
    </row>
    <row r="106" spans="1:10">
      <c r="A106" s="37" t="s">
        <v>216</v>
      </c>
      <c r="B106" s="67">
        <v>1150</v>
      </c>
      <c r="C106" s="39">
        <f>SUM(C107:C110)</f>
        <v>256</v>
      </c>
      <c r="D106" s="39">
        <f>D107+D108+D110</f>
        <v>283</v>
      </c>
      <c r="E106" s="39">
        <f>SUM(E107:E110)</f>
        <v>246.8</v>
      </c>
      <c r="F106" s="64">
        <f>E106-D106</f>
        <v>-36.199999999999989</v>
      </c>
      <c r="G106" s="65">
        <f>E106/D106*100</f>
        <v>87.208480565371033</v>
      </c>
      <c r="H106" s="66"/>
      <c r="I106" s="9">
        <v>247</v>
      </c>
      <c r="J106" s="71">
        <f>E106-I106</f>
        <v>-0.19999999999998863</v>
      </c>
    </row>
    <row r="107" spans="1:10">
      <c r="A107" s="37" t="s">
        <v>472</v>
      </c>
      <c r="B107" s="67" t="s">
        <v>427</v>
      </c>
      <c r="C107" s="89">
        <v>256</v>
      </c>
      <c r="D107" s="39">
        <v>283</v>
      </c>
      <c r="E107" s="89"/>
      <c r="F107" s="64"/>
      <c r="G107" s="65"/>
      <c r="H107" s="66"/>
    </row>
    <row r="108" spans="1:10">
      <c r="A108" s="37" t="s">
        <v>461</v>
      </c>
      <c r="B108" s="67" t="s">
        <v>449</v>
      </c>
      <c r="C108" s="89"/>
      <c r="D108" s="39"/>
      <c r="E108" s="89">
        <v>185</v>
      </c>
      <c r="F108" s="64"/>
      <c r="G108" s="65"/>
      <c r="H108" s="66"/>
    </row>
    <row r="109" spans="1:10" ht="31">
      <c r="A109" s="37" t="s">
        <v>450</v>
      </c>
      <c r="B109" s="67" t="s">
        <v>457</v>
      </c>
      <c r="C109" s="89"/>
      <c r="D109" s="39"/>
      <c r="E109" s="89"/>
      <c r="F109" s="64"/>
      <c r="G109" s="65"/>
      <c r="H109" s="66"/>
    </row>
    <row r="110" spans="1:10" ht="31">
      <c r="A110" s="37" t="s">
        <v>477</v>
      </c>
      <c r="B110" s="67" t="s">
        <v>478</v>
      </c>
      <c r="C110" s="89"/>
      <c r="D110" s="39"/>
      <c r="E110" s="89">
        <v>61.8</v>
      </c>
      <c r="F110" s="64"/>
      <c r="G110" s="65"/>
      <c r="H110" s="66"/>
    </row>
    <row r="111" spans="1:10">
      <c r="A111" s="37" t="s">
        <v>215</v>
      </c>
      <c r="B111" s="67">
        <v>1151</v>
      </c>
      <c r="C111" s="68"/>
      <c r="D111" s="39"/>
      <c r="E111" s="68"/>
      <c r="F111" s="64"/>
      <c r="G111" s="65"/>
      <c r="H111" s="66"/>
    </row>
    <row r="112" spans="1:10" ht="30">
      <c r="A112" s="33" t="s">
        <v>217</v>
      </c>
      <c r="B112" s="62">
        <v>1160</v>
      </c>
      <c r="C112" s="63">
        <f>C113+C114</f>
        <v>212</v>
      </c>
      <c r="D112" s="90">
        <f>D113+D114</f>
        <v>0</v>
      </c>
      <c r="E112" s="63">
        <f>E113+E114</f>
        <v>0</v>
      </c>
      <c r="F112" s="80">
        <f>E112-D112</f>
        <v>0</v>
      </c>
      <c r="G112" s="222" t="e">
        <f>E112/D112*100</f>
        <v>#DIV/0!</v>
      </c>
      <c r="H112" s="91"/>
      <c r="I112" s="9">
        <v>33</v>
      </c>
      <c r="J112" s="71">
        <f>E112-I112</f>
        <v>-33</v>
      </c>
    </row>
    <row r="113" spans="1:10">
      <c r="A113" s="37" t="s">
        <v>459</v>
      </c>
      <c r="B113" s="67" t="s">
        <v>428</v>
      </c>
      <c r="C113" s="89"/>
      <c r="D113" s="39"/>
      <c r="E113" s="89"/>
      <c r="F113" s="64"/>
      <c r="G113" s="65"/>
      <c r="H113" s="66"/>
    </row>
    <row r="114" spans="1:10" ht="31">
      <c r="A114" s="37" t="s">
        <v>519</v>
      </c>
      <c r="B114" s="67" t="s">
        <v>429</v>
      </c>
      <c r="C114" s="89">
        <v>212</v>
      </c>
      <c r="D114" s="39"/>
      <c r="E114" s="89"/>
      <c r="F114" s="64"/>
      <c r="G114" s="65"/>
      <c r="H114" s="66"/>
    </row>
    <row r="115" spans="1:10">
      <c r="A115" s="37" t="s">
        <v>215</v>
      </c>
      <c r="B115" s="67">
        <v>1161</v>
      </c>
      <c r="C115" s="68"/>
      <c r="D115" s="39"/>
      <c r="E115" s="68"/>
      <c r="F115" s="64"/>
      <c r="G115" s="65"/>
      <c r="H115" s="66"/>
    </row>
    <row r="116" spans="1:10" s="42" customFormat="1">
      <c r="A116" s="33" t="s">
        <v>97</v>
      </c>
      <c r="B116" s="62">
        <v>1170</v>
      </c>
      <c r="C116" s="69">
        <f>C100+C101+C102-C104-C105+C106-C112</f>
        <v>58</v>
      </c>
      <c r="D116" s="69">
        <f>D100+D101+D102-D104-D105+D106-D112</f>
        <v>638</v>
      </c>
      <c r="E116" s="69">
        <f>E100+E101+E102-E104-E105+E106-E112</f>
        <v>82.499999999999034</v>
      </c>
      <c r="F116" s="64">
        <f>E116-D116</f>
        <v>-555.50000000000091</v>
      </c>
      <c r="G116" s="65">
        <f>E116/D116*100</f>
        <v>12.931034482758468</v>
      </c>
      <c r="H116" s="77"/>
      <c r="I116" s="42">
        <v>10</v>
      </c>
      <c r="J116" s="78">
        <f>E116-I116</f>
        <v>72.499999999999034</v>
      </c>
    </row>
    <row r="117" spans="1:10">
      <c r="A117" s="37" t="s">
        <v>138</v>
      </c>
      <c r="B117" s="67">
        <v>1180</v>
      </c>
      <c r="C117" s="68"/>
      <c r="D117" s="68">
        <v>0</v>
      </c>
      <c r="E117" s="68"/>
      <c r="F117" s="64">
        <f>E117-D117</f>
        <v>0</v>
      </c>
      <c r="G117" s="83" t="e">
        <f>E117/D117*100</f>
        <v>#DIV/0!</v>
      </c>
      <c r="H117" s="66"/>
    </row>
    <row r="118" spans="1:10" ht="31">
      <c r="A118" s="37" t="s">
        <v>139</v>
      </c>
      <c r="B118" s="67">
        <v>1190</v>
      </c>
      <c r="C118" s="68"/>
      <c r="D118" s="68"/>
      <c r="E118" s="68"/>
      <c r="F118" s="64"/>
      <c r="G118" s="65"/>
      <c r="H118" s="66"/>
    </row>
    <row r="119" spans="1:10" s="42" customFormat="1" ht="30">
      <c r="A119" s="33" t="s">
        <v>98</v>
      </c>
      <c r="B119" s="62">
        <v>1200</v>
      </c>
      <c r="C119" s="69">
        <f>C116-C117</f>
        <v>58</v>
      </c>
      <c r="D119" s="69">
        <f>D116-D117</f>
        <v>638</v>
      </c>
      <c r="E119" s="69">
        <f>E116-E117</f>
        <v>82.499999999999034</v>
      </c>
      <c r="F119" s="64">
        <f>E119-D119</f>
        <v>-555.50000000000091</v>
      </c>
      <c r="G119" s="65">
        <f>E119/D119*100</f>
        <v>12.931034482758468</v>
      </c>
      <c r="H119" s="77"/>
      <c r="I119" s="42">
        <v>10</v>
      </c>
      <c r="J119" s="78">
        <f>E119-I119</f>
        <v>72.499999999999034</v>
      </c>
    </row>
    <row r="120" spans="1:10">
      <c r="A120" s="37" t="s">
        <v>24</v>
      </c>
      <c r="B120" s="26">
        <v>1201</v>
      </c>
      <c r="C120" s="39">
        <f>C119</f>
        <v>58</v>
      </c>
      <c r="D120" s="39">
        <f>D119</f>
        <v>638</v>
      </c>
      <c r="E120" s="39">
        <f>E119</f>
        <v>82.499999999999034</v>
      </c>
      <c r="F120" s="43"/>
      <c r="G120" s="76"/>
      <c r="H120" s="73"/>
    </row>
    <row r="121" spans="1:10">
      <c r="A121" s="37" t="s">
        <v>25</v>
      </c>
      <c r="B121" s="26">
        <v>1202</v>
      </c>
      <c r="C121" s="39"/>
      <c r="D121" s="39"/>
      <c r="E121" s="39"/>
      <c r="F121" s="43"/>
      <c r="G121" s="76"/>
      <c r="H121" s="73"/>
    </row>
    <row r="122" spans="1:10">
      <c r="A122" s="37" t="s">
        <v>260</v>
      </c>
      <c r="B122" s="67">
        <v>1210</v>
      </c>
      <c r="C122" s="68"/>
      <c r="D122" s="68"/>
      <c r="E122" s="68"/>
      <c r="F122" s="64"/>
      <c r="G122" s="65"/>
      <c r="H122" s="66"/>
    </row>
    <row r="123" spans="1:10" s="42" customFormat="1" ht="15">
      <c r="A123" s="227" t="s">
        <v>273</v>
      </c>
      <c r="B123" s="228"/>
      <c r="C123" s="228"/>
      <c r="D123" s="228"/>
      <c r="E123" s="228"/>
      <c r="F123" s="228"/>
      <c r="G123" s="228"/>
      <c r="H123" s="229"/>
    </row>
    <row r="124" spans="1:10" ht="31">
      <c r="A124" s="1" t="s">
        <v>274</v>
      </c>
      <c r="B124" s="26">
        <v>1300</v>
      </c>
      <c r="C124" s="30">
        <f>C32-C88</f>
        <v>-244</v>
      </c>
      <c r="D124" s="30">
        <f>D32-D88</f>
        <v>7354</v>
      </c>
      <c r="E124" s="30">
        <f>E32-E88</f>
        <v>5281.6</v>
      </c>
      <c r="F124" s="64">
        <f>E124-D124</f>
        <v>-2072.3999999999996</v>
      </c>
      <c r="G124" s="83">
        <f>E124/D124*100</f>
        <v>71.819418003807456</v>
      </c>
      <c r="H124" s="73"/>
    </row>
    <row r="125" spans="1:10" ht="62">
      <c r="A125" s="35" t="s">
        <v>275</v>
      </c>
      <c r="B125" s="26">
        <v>1310</v>
      </c>
      <c r="C125" s="30">
        <f>C101+C102-C104-C105</f>
        <v>1</v>
      </c>
      <c r="D125" s="30">
        <f>D101+D102-D104-D105</f>
        <v>0</v>
      </c>
      <c r="E125" s="30">
        <f>E101+E102-E104-E105</f>
        <v>0</v>
      </c>
      <c r="F125" s="64">
        <f>E125-D125</f>
        <v>0</v>
      </c>
      <c r="G125" s="83" t="e">
        <f>E125/D125*100</f>
        <v>#DIV/0!</v>
      </c>
      <c r="H125" s="73"/>
    </row>
    <row r="126" spans="1:10" ht="31">
      <c r="A126" s="1" t="s">
        <v>276</v>
      </c>
      <c r="B126" s="26">
        <v>1320</v>
      </c>
      <c r="C126" s="30">
        <f>C106-C112</f>
        <v>44</v>
      </c>
      <c r="D126" s="30">
        <f>D106-D112</f>
        <v>283</v>
      </c>
      <c r="E126" s="30">
        <f>E106-E112</f>
        <v>246.8</v>
      </c>
      <c r="F126" s="64">
        <f>E126-D126</f>
        <v>-36.199999999999989</v>
      </c>
      <c r="G126" s="65">
        <f>E126/D126*100</f>
        <v>87.208480565371033</v>
      </c>
      <c r="H126" s="73"/>
    </row>
    <row r="127" spans="1:10" ht="31">
      <c r="A127" s="37" t="s">
        <v>365</v>
      </c>
      <c r="B127" s="67">
        <v>1330</v>
      </c>
      <c r="C127" s="74">
        <f>C9+C32+C101+C102+C106</f>
        <v>9869</v>
      </c>
      <c r="D127" s="74">
        <f>D9+D32+D101+D102+D106</f>
        <v>16094</v>
      </c>
      <c r="E127" s="74">
        <f>E9+E32+E101+E102+E106</f>
        <v>11847.199999999999</v>
      </c>
      <c r="F127" s="64">
        <f>E127-D127</f>
        <v>-4246.8000000000011</v>
      </c>
      <c r="G127" s="65">
        <f>E127/D127*100</f>
        <v>73.612526407356768</v>
      </c>
      <c r="H127" s="66"/>
    </row>
    <row r="128" spans="1:10" ht="62">
      <c r="A128" s="37" t="s">
        <v>366</v>
      </c>
      <c r="B128" s="67">
        <v>1340</v>
      </c>
      <c r="C128" s="74">
        <f>C11+C35+C67+C88+C104+C112+C117</f>
        <v>9811</v>
      </c>
      <c r="D128" s="74">
        <f>D11+D35+D67+D88+D104+D112+D117</f>
        <v>15456</v>
      </c>
      <c r="E128" s="74">
        <f>E11+E35+E67+E88+E104+E112+E117</f>
        <v>11764.7</v>
      </c>
      <c r="F128" s="64">
        <f>E128-D128</f>
        <v>-3691.2999999999993</v>
      </c>
      <c r="G128" s="65">
        <f>E128/D128*100</f>
        <v>76.117365424430645</v>
      </c>
      <c r="H128" s="66"/>
    </row>
    <row r="129" spans="1:8">
      <c r="A129" s="253" t="s">
        <v>166</v>
      </c>
      <c r="B129" s="254"/>
      <c r="C129" s="254"/>
      <c r="D129" s="254"/>
      <c r="E129" s="254"/>
      <c r="F129" s="254"/>
      <c r="G129" s="254"/>
      <c r="H129" s="255"/>
    </row>
    <row r="130" spans="1:8" ht="31">
      <c r="A130" s="37" t="s">
        <v>277</v>
      </c>
      <c r="B130" s="67">
        <v>1400</v>
      </c>
      <c r="C130" s="74">
        <f>C100</f>
        <v>13</v>
      </c>
      <c r="D130" s="74">
        <f>D100</f>
        <v>355</v>
      </c>
      <c r="E130" s="74">
        <f>E100</f>
        <v>-164.30000000000098</v>
      </c>
      <c r="F130" s="64">
        <f>E130-D130</f>
        <v>-519.30000000000098</v>
      </c>
      <c r="G130" s="65">
        <f>E130/D130*100</f>
        <v>-46.281690140845342</v>
      </c>
      <c r="H130" s="66"/>
    </row>
    <row r="131" spans="1:8">
      <c r="A131" s="37" t="s">
        <v>278</v>
      </c>
      <c r="B131" s="67">
        <v>1401</v>
      </c>
      <c r="C131" s="74">
        <f>C142</f>
        <v>218</v>
      </c>
      <c r="D131" s="74">
        <f>D142</f>
        <v>283</v>
      </c>
      <c r="E131" s="89">
        <f>E142</f>
        <v>324.5</v>
      </c>
      <c r="F131" s="64">
        <f>E131-D131</f>
        <v>41.5</v>
      </c>
      <c r="G131" s="65">
        <f>E131/D131*100</f>
        <v>114.66431095406359</v>
      </c>
      <c r="H131" s="66"/>
    </row>
    <row r="132" spans="1:8" ht="31">
      <c r="A132" s="37" t="s">
        <v>279</v>
      </c>
      <c r="B132" s="67">
        <v>1402</v>
      </c>
      <c r="C132" s="74"/>
      <c r="D132" s="74">
        <f>D34</f>
        <v>0</v>
      </c>
      <c r="E132" s="74">
        <f>E34</f>
        <v>0</v>
      </c>
      <c r="F132" s="64"/>
      <c r="G132" s="65"/>
      <c r="H132" s="66"/>
    </row>
    <row r="133" spans="1:8" ht="31">
      <c r="A133" s="37" t="s">
        <v>280</v>
      </c>
      <c r="B133" s="67">
        <v>1403</v>
      </c>
      <c r="C133" s="74"/>
      <c r="D133" s="74">
        <f>D92</f>
        <v>0</v>
      </c>
      <c r="E133" s="74">
        <f>E92</f>
        <v>0</v>
      </c>
      <c r="F133" s="64"/>
      <c r="G133" s="65"/>
      <c r="H133" s="66"/>
    </row>
    <row r="134" spans="1:8" ht="31">
      <c r="A134" s="37" t="s">
        <v>320</v>
      </c>
      <c r="B134" s="67">
        <v>1404</v>
      </c>
      <c r="C134" s="74"/>
      <c r="D134" s="74"/>
      <c r="E134" s="74"/>
      <c r="F134" s="64"/>
      <c r="G134" s="65"/>
      <c r="H134" s="66"/>
    </row>
    <row r="135" spans="1:8" s="42" customFormat="1">
      <c r="A135" s="33" t="s">
        <v>142</v>
      </c>
      <c r="B135" s="62">
        <v>1410</v>
      </c>
      <c r="C135" s="69">
        <f>C130+C131-C132+C133-C134</f>
        <v>231</v>
      </c>
      <c r="D135" s="69">
        <f>D130+D131-D132+D133-D134</f>
        <v>638</v>
      </c>
      <c r="E135" s="69">
        <f>E130+E131-E132+E133-E134</f>
        <v>160.19999999999902</v>
      </c>
      <c r="F135" s="64">
        <f>E135-D135</f>
        <v>-477.80000000000098</v>
      </c>
      <c r="G135" s="65">
        <f>E135/D135*100</f>
        <v>25.109717868338404</v>
      </c>
      <c r="H135" s="91"/>
    </row>
    <row r="136" spans="1:8">
      <c r="A136" s="246" t="s">
        <v>232</v>
      </c>
      <c r="B136" s="247"/>
      <c r="C136" s="247"/>
      <c r="D136" s="247"/>
      <c r="E136" s="247"/>
      <c r="F136" s="247"/>
      <c r="G136" s="247"/>
      <c r="H136" s="248"/>
    </row>
    <row r="137" spans="1:8">
      <c r="A137" s="37" t="s">
        <v>281</v>
      </c>
      <c r="B137" s="67">
        <v>1500</v>
      </c>
      <c r="C137" s="68">
        <f t="shared" ref="C137" si="8">C138+C139</f>
        <v>849</v>
      </c>
      <c r="D137" s="68">
        <f>D138+D139</f>
        <v>2019</v>
      </c>
      <c r="E137" s="68">
        <f t="shared" ref="E137" si="9">E138+E139</f>
        <v>1430.3999999999999</v>
      </c>
      <c r="F137" s="64">
        <f t="shared" ref="F137:F144" si="10">E137-D137</f>
        <v>-588.60000000000014</v>
      </c>
      <c r="G137" s="65">
        <f t="shared" ref="G137:G144" si="11">E137/D137*100</f>
        <v>70.846953937592858</v>
      </c>
      <c r="H137" s="66"/>
    </row>
    <row r="138" spans="1:8">
      <c r="A138" s="37" t="s">
        <v>282</v>
      </c>
      <c r="B138" s="26">
        <v>1501</v>
      </c>
      <c r="C138" s="39">
        <f>C12+C61</f>
        <v>17</v>
      </c>
      <c r="D138" s="39">
        <f>D12+D61</f>
        <v>41</v>
      </c>
      <c r="E138" s="39">
        <f>E12+E61</f>
        <v>36.300000000000047</v>
      </c>
      <c r="F138" s="64">
        <f t="shared" si="10"/>
        <v>-4.6999999999999531</v>
      </c>
      <c r="G138" s="65">
        <f t="shared" si="11"/>
        <v>88.536585365853767</v>
      </c>
      <c r="H138" s="73"/>
    </row>
    <row r="139" spans="1:8">
      <c r="A139" s="37" t="s">
        <v>28</v>
      </c>
      <c r="B139" s="26">
        <v>1502</v>
      </c>
      <c r="C139" s="39">
        <f>C13+C14+C58+C77</f>
        <v>832</v>
      </c>
      <c r="D139" s="39">
        <f>D13+D14+D58+D77</f>
        <v>1978</v>
      </c>
      <c r="E139" s="39">
        <f>E13+E14+E58+E77</f>
        <v>1394.1</v>
      </c>
      <c r="F139" s="64">
        <f t="shared" si="10"/>
        <v>-583.90000000000009</v>
      </c>
      <c r="G139" s="65">
        <f t="shared" si="11"/>
        <v>70.480283114256821</v>
      </c>
      <c r="H139" s="73"/>
    </row>
    <row r="140" spans="1:8">
      <c r="A140" s="37" t="s">
        <v>5</v>
      </c>
      <c r="B140" s="67">
        <v>1510</v>
      </c>
      <c r="C140" s="68">
        <f>C15+C43+C70</f>
        <v>5684</v>
      </c>
      <c r="D140" s="68">
        <f>D15+D43+D70</f>
        <v>8945</v>
      </c>
      <c r="E140" s="68">
        <f>E15+E43+E70</f>
        <v>5935.6</v>
      </c>
      <c r="F140" s="64">
        <f t="shared" si="10"/>
        <v>-3009.3999999999996</v>
      </c>
      <c r="G140" s="65">
        <f t="shared" si="11"/>
        <v>66.356623812185575</v>
      </c>
      <c r="H140" s="66"/>
    </row>
    <row r="141" spans="1:8">
      <c r="A141" s="37" t="s">
        <v>6</v>
      </c>
      <c r="B141" s="67">
        <v>1520</v>
      </c>
      <c r="C141" s="68">
        <f>C16+C44+C74</f>
        <v>1235</v>
      </c>
      <c r="D141" s="68">
        <f>D16+D44+D74</f>
        <v>1924</v>
      </c>
      <c r="E141" s="68">
        <f>E16+E44+E74</f>
        <v>1312.6</v>
      </c>
      <c r="F141" s="64">
        <f t="shared" si="10"/>
        <v>-611.40000000000009</v>
      </c>
      <c r="G141" s="65">
        <f t="shared" si="11"/>
        <v>68.222453222453211</v>
      </c>
      <c r="H141" s="66"/>
    </row>
    <row r="142" spans="1:8">
      <c r="A142" s="37" t="s">
        <v>7</v>
      </c>
      <c r="B142" s="67">
        <v>1530</v>
      </c>
      <c r="C142" s="89">
        <f>C18+C45+C71</f>
        <v>218</v>
      </c>
      <c r="D142" s="89">
        <f>D18+D45+D71</f>
        <v>283</v>
      </c>
      <c r="E142" s="89">
        <f>E18+E45+E71</f>
        <v>324.5</v>
      </c>
      <c r="F142" s="64">
        <f t="shared" si="10"/>
        <v>41.5</v>
      </c>
      <c r="G142" s="65">
        <f t="shared" si="11"/>
        <v>114.66431095406359</v>
      </c>
      <c r="H142" s="66"/>
    </row>
    <row r="143" spans="1:8">
      <c r="A143" s="37" t="s">
        <v>29</v>
      </c>
      <c r="B143" s="67">
        <v>1540</v>
      </c>
      <c r="C143" s="68">
        <f>C11+C35+C67+C88-C137-C140-C141-C142</f>
        <v>1613</v>
      </c>
      <c r="D143" s="68">
        <f>D11+D35+D67+D88-D137-D140-D141-D142</f>
        <v>2285</v>
      </c>
      <c r="E143" s="68">
        <f>E11+E35+E67+E88-E137-E140-E141-E142</f>
        <v>2761.6000000000008</v>
      </c>
      <c r="F143" s="64">
        <f t="shared" si="10"/>
        <v>476.60000000000082</v>
      </c>
      <c r="G143" s="65">
        <f t="shared" si="11"/>
        <v>120.85776805251645</v>
      </c>
      <c r="H143" s="66"/>
    </row>
    <row r="144" spans="1:8" s="42" customFormat="1" ht="15">
      <c r="A144" s="33" t="s">
        <v>58</v>
      </c>
      <c r="B144" s="62">
        <v>1550</v>
      </c>
      <c r="C144" s="69">
        <f t="shared" ref="C144:D144" si="12">C137+C140+C141+C142+C143</f>
        <v>9599</v>
      </c>
      <c r="D144" s="69">
        <f t="shared" si="12"/>
        <v>15456</v>
      </c>
      <c r="E144" s="69">
        <f>E137+E140+E141+E142+E143</f>
        <v>11764.7</v>
      </c>
      <c r="F144" s="80">
        <f t="shared" si="10"/>
        <v>-3691.2999999999993</v>
      </c>
      <c r="G144" s="81">
        <f t="shared" si="11"/>
        <v>76.117365424430645</v>
      </c>
      <c r="H144" s="91"/>
    </row>
    <row r="145" spans="1:8" s="42" customFormat="1" ht="15">
      <c r="A145" s="45"/>
      <c r="B145" s="92"/>
      <c r="C145" s="93"/>
      <c r="D145" s="94"/>
      <c r="E145" s="92"/>
      <c r="F145" s="95"/>
      <c r="G145" s="92"/>
      <c r="H145" s="92"/>
    </row>
    <row r="146" spans="1:8" ht="30.5">
      <c r="A146" s="45" t="s">
        <v>529</v>
      </c>
      <c r="B146" s="46"/>
      <c r="C146" s="5"/>
      <c r="D146" s="5"/>
      <c r="E146" s="11"/>
      <c r="F146" s="47" t="s">
        <v>528</v>
      </c>
      <c r="G146" s="5"/>
      <c r="H146" s="9"/>
    </row>
    <row r="147" spans="1:8">
      <c r="A147" s="23" t="s">
        <v>367</v>
      </c>
      <c r="B147" s="5"/>
      <c r="C147" s="224" t="s">
        <v>79</v>
      </c>
      <c r="D147" s="224"/>
      <c r="E147" s="5"/>
      <c r="F147" s="5" t="s">
        <v>103</v>
      </c>
      <c r="G147" s="5"/>
      <c r="H147" s="9"/>
    </row>
    <row r="148" spans="1:8">
      <c r="A148" s="12"/>
      <c r="B148" s="7"/>
      <c r="C148" s="6"/>
      <c r="D148" s="7"/>
      <c r="E148" s="7"/>
      <c r="F148" s="96"/>
      <c r="G148" s="7"/>
      <c r="H148" s="7"/>
    </row>
    <row r="149" spans="1:8">
      <c r="A149" s="223"/>
      <c r="B149" s="223"/>
      <c r="C149" s="223"/>
      <c r="D149" s="223"/>
      <c r="E149" s="223"/>
      <c r="F149" s="223"/>
      <c r="G149" s="223"/>
      <c r="H149" s="223"/>
    </row>
    <row r="150" spans="1:8">
      <c r="A150" s="48"/>
      <c r="C150" s="97">
        <f>C12+C17</f>
        <v>16</v>
      </c>
      <c r="D150" s="97">
        <f>D12+D61</f>
        <v>41</v>
      </c>
      <c r="E150" s="97">
        <f>E12+E61</f>
        <v>36.300000000000047</v>
      </c>
    </row>
    <row r="151" spans="1:8">
      <c r="A151" s="48"/>
      <c r="C151" s="97">
        <f>C13+C14+C58+C77</f>
        <v>832</v>
      </c>
      <c r="D151" s="97">
        <f>D13+D14+D58+D77</f>
        <v>1978</v>
      </c>
      <c r="E151" s="97">
        <f>E13+E14+E58+E77</f>
        <v>1394.1</v>
      </c>
    </row>
    <row r="152" spans="1:8">
      <c r="A152" s="48"/>
      <c r="C152" s="97">
        <f>C15+C43+C70</f>
        <v>5684</v>
      </c>
      <c r="D152" s="97">
        <f>D15+D43+D70</f>
        <v>8945</v>
      </c>
      <c r="E152" s="97">
        <f>E15+E43+E70</f>
        <v>5935.6</v>
      </c>
    </row>
    <row r="153" spans="1:8">
      <c r="A153" s="48"/>
      <c r="C153" s="97">
        <f>C16+C44+C74</f>
        <v>1235</v>
      </c>
      <c r="D153" s="97">
        <f>D16+D44+D74</f>
        <v>1924</v>
      </c>
      <c r="E153" s="97">
        <f>E16+E44+E74</f>
        <v>1312.6</v>
      </c>
    </row>
    <row r="154" spans="1:8">
      <c r="A154" s="48"/>
      <c r="C154" s="97">
        <f>C18+C45+C71</f>
        <v>218</v>
      </c>
      <c r="D154" s="97">
        <f>D18+D45+D71</f>
        <v>283</v>
      </c>
      <c r="E154" s="97">
        <f>E18+E45+E71</f>
        <v>324.5</v>
      </c>
    </row>
    <row r="155" spans="1:8">
      <c r="A155" s="48"/>
    </row>
    <row r="156" spans="1:8">
      <c r="A156" s="48"/>
    </row>
    <row r="157" spans="1:8">
      <c r="A157" s="48"/>
    </row>
    <row r="158" spans="1:8">
      <c r="A158" s="48"/>
    </row>
    <row r="159" spans="1:8">
      <c r="A159" s="48"/>
    </row>
    <row r="160" spans="1:8">
      <c r="A160" s="48"/>
    </row>
    <row r="161" spans="1:1">
      <c r="A161" s="48"/>
    </row>
    <row r="162" spans="1:1">
      <c r="A162" s="48"/>
    </row>
    <row r="163" spans="1:1">
      <c r="A163" s="48"/>
    </row>
    <row r="164" spans="1:1">
      <c r="A164" s="48"/>
    </row>
    <row r="165" spans="1:1">
      <c r="A165" s="48"/>
    </row>
    <row r="166" spans="1:1">
      <c r="A166" s="48"/>
    </row>
    <row r="167" spans="1:1">
      <c r="A167" s="48"/>
    </row>
    <row r="168" spans="1:1">
      <c r="A168" s="48"/>
    </row>
    <row r="169" spans="1:1">
      <c r="A169" s="48"/>
    </row>
    <row r="170" spans="1:1">
      <c r="A170" s="48"/>
    </row>
    <row r="171" spans="1:1">
      <c r="A171" s="48"/>
    </row>
    <row r="172" spans="1:1">
      <c r="A172" s="48"/>
    </row>
    <row r="173" spans="1:1">
      <c r="A173" s="48"/>
    </row>
    <row r="174" spans="1:1">
      <c r="A174" s="48"/>
    </row>
    <row r="175" spans="1:1">
      <c r="A175" s="48"/>
    </row>
    <row r="176" spans="1:1">
      <c r="A176" s="48"/>
    </row>
    <row r="177" spans="1:1">
      <c r="A177" s="48"/>
    </row>
    <row r="178" spans="1:1">
      <c r="A178" s="48"/>
    </row>
    <row r="179" spans="1:1">
      <c r="A179" s="48"/>
    </row>
    <row r="180" spans="1:1">
      <c r="A180" s="48"/>
    </row>
    <row r="181" spans="1:1">
      <c r="A181" s="48"/>
    </row>
    <row r="182" spans="1:1">
      <c r="A182" s="48"/>
    </row>
    <row r="183" spans="1:1">
      <c r="A183" s="48"/>
    </row>
    <row r="184" spans="1:1">
      <c r="A184" s="48"/>
    </row>
    <row r="185" spans="1:1">
      <c r="A185" s="48"/>
    </row>
    <row r="186" spans="1:1">
      <c r="A186" s="48"/>
    </row>
    <row r="187" spans="1:1">
      <c r="A187" s="48"/>
    </row>
    <row r="188" spans="1:1">
      <c r="A188" s="48"/>
    </row>
    <row r="189" spans="1:1">
      <c r="A189" s="48"/>
    </row>
    <row r="190" spans="1:1">
      <c r="A190" s="48"/>
    </row>
    <row r="191" spans="1:1">
      <c r="A191" s="48"/>
    </row>
    <row r="192" spans="1:1">
      <c r="A192" s="48"/>
    </row>
    <row r="193" spans="1:1">
      <c r="A193" s="48"/>
    </row>
    <row r="194" spans="1:1">
      <c r="A194" s="48"/>
    </row>
    <row r="195" spans="1:1">
      <c r="A195" s="48"/>
    </row>
    <row r="196" spans="1:1">
      <c r="A196" s="48"/>
    </row>
    <row r="197" spans="1:1">
      <c r="A197" s="48"/>
    </row>
    <row r="198" spans="1:1">
      <c r="A198" s="48"/>
    </row>
    <row r="199" spans="1:1">
      <c r="A199" s="48"/>
    </row>
    <row r="200" spans="1:1">
      <c r="A200" s="48"/>
    </row>
    <row r="201" spans="1:1">
      <c r="A201" s="48"/>
    </row>
    <row r="202" spans="1:1">
      <c r="A202" s="48"/>
    </row>
    <row r="203" spans="1:1">
      <c r="A203" s="48"/>
    </row>
    <row r="204" spans="1:1">
      <c r="A204" s="48"/>
    </row>
    <row r="205" spans="1:1">
      <c r="A205" s="48"/>
    </row>
    <row r="206" spans="1:1">
      <c r="A206" s="49"/>
    </row>
    <row r="207" spans="1:1">
      <c r="A207" s="49"/>
    </row>
    <row r="208" spans="1:1">
      <c r="A208" s="49"/>
    </row>
    <row r="209" spans="1:1">
      <c r="A209" s="49"/>
    </row>
    <row r="210" spans="1:1">
      <c r="A210" s="49"/>
    </row>
    <row r="211" spans="1:1">
      <c r="A211" s="49"/>
    </row>
    <row r="212" spans="1:1">
      <c r="A212" s="49"/>
    </row>
    <row r="213" spans="1:1">
      <c r="A213" s="49"/>
    </row>
    <row r="214" spans="1:1">
      <c r="A214" s="49"/>
    </row>
    <row r="215" spans="1:1">
      <c r="A215" s="49"/>
    </row>
    <row r="216" spans="1:1">
      <c r="A216" s="49"/>
    </row>
    <row r="217" spans="1:1">
      <c r="A217" s="49"/>
    </row>
    <row r="218" spans="1:1">
      <c r="A218" s="49"/>
    </row>
    <row r="219" spans="1:1">
      <c r="A219" s="49"/>
    </row>
    <row r="220" spans="1:1">
      <c r="A220" s="49"/>
    </row>
    <row r="221" spans="1:1">
      <c r="A221" s="49"/>
    </row>
    <row r="222" spans="1:1">
      <c r="A222" s="49"/>
    </row>
    <row r="223" spans="1:1">
      <c r="A223" s="49"/>
    </row>
    <row r="224" spans="1:1">
      <c r="A224" s="49"/>
    </row>
    <row r="225" spans="1:1">
      <c r="A225" s="49"/>
    </row>
    <row r="226" spans="1:1">
      <c r="A226" s="49"/>
    </row>
    <row r="227" spans="1:1">
      <c r="A227" s="49"/>
    </row>
    <row r="228" spans="1:1">
      <c r="A228" s="49"/>
    </row>
    <row r="229" spans="1:1">
      <c r="A229" s="49"/>
    </row>
    <row r="230" spans="1:1">
      <c r="A230" s="49"/>
    </row>
    <row r="231" spans="1:1">
      <c r="A231" s="49"/>
    </row>
    <row r="232" spans="1:1">
      <c r="A232" s="49"/>
    </row>
    <row r="233" spans="1:1">
      <c r="A233" s="49"/>
    </row>
    <row r="234" spans="1:1">
      <c r="A234" s="49"/>
    </row>
    <row r="235" spans="1:1">
      <c r="A235" s="49"/>
    </row>
    <row r="236" spans="1:1">
      <c r="A236" s="49"/>
    </row>
    <row r="237" spans="1:1">
      <c r="A237" s="49"/>
    </row>
    <row r="238" spans="1:1">
      <c r="A238" s="49"/>
    </row>
    <row r="239" spans="1:1">
      <c r="A239" s="49"/>
    </row>
    <row r="240" spans="1:1">
      <c r="A240" s="49"/>
    </row>
    <row r="241" spans="1:1">
      <c r="A241" s="49"/>
    </row>
    <row r="242" spans="1:1">
      <c r="A242" s="49"/>
    </row>
    <row r="243" spans="1:1">
      <c r="A243" s="49"/>
    </row>
    <row r="244" spans="1:1">
      <c r="A244" s="49"/>
    </row>
    <row r="245" spans="1:1">
      <c r="A245" s="49"/>
    </row>
    <row r="246" spans="1:1">
      <c r="A246" s="49"/>
    </row>
    <row r="247" spans="1:1">
      <c r="A247" s="49"/>
    </row>
    <row r="248" spans="1:1">
      <c r="A248" s="49"/>
    </row>
    <row r="249" spans="1:1">
      <c r="A249" s="49"/>
    </row>
    <row r="250" spans="1:1">
      <c r="A250" s="49"/>
    </row>
    <row r="251" spans="1:1">
      <c r="A251" s="49"/>
    </row>
    <row r="252" spans="1:1">
      <c r="A252" s="49"/>
    </row>
    <row r="253" spans="1:1">
      <c r="A253" s="49"/>
    </row>
    <row r="254" spans="1:1">
      <c r="A254" s="49"/>
    </row>
    <row r="255" spans="1:1">
      <c r="A255" s="49"/>
    </row>
    <row r="256" spans="1:1">
      <c r="A256" s="49"/>
    </row>
    <row r="257" spans="1:1">
      <c r="A257" s="49"/>
    </row>
    <row r="258" spans="1:1">
      <c r="A258" s="49"/>
    </row>
    <row r="259" spans="1:1">
      <c r="A259" s="49"/>
    </row>
    <row r="260" spans="1:1">
      <c r="A260" s="49"/>
    </row>
    <row r="261" spans="1:1">
      <c r="A261" s="49"/>
    </row>
    <row r="262" spans="1:1">
      <c r="A262" s="49"/>
    </row>
    <row r="263" spans="1:1">
      <c r="A263" s="49"/>
    </row>
    <row r="264" spans="1:1">
      <c r="A264" s="49"/>
    </row>
    <row r="265" spans="1:1">
      <c r="A265" s="49"/>
    </row>
    <row r="266" spans="1:1">
      <c r="A266" s="49"/>
    </row>
    <row r="267" spans="1:1">
      <c r="A267" s="49"/>
    </row>
    <row r="268" spans="1:1">
      <c r="A268" s="49"/>
    </row>
    <row r="269" spans="1:1">
      <c r="A269" s="49"/>
    </row>
    <row r="270" spans="1:1">
      <c r="A270" s="49"/>
    </row>
    <row r="271" spans="1:1">
      <c r="A271" s="49"/>
    </row>
    <row r="272" spans="1:1">
      <c r="A272" s="49"/>
    </row>
    <row r="273" spans="1:1">
      <c r="A273" s="49"/>
    </row>
    <row r="274" spans="1:1">
      <c r="A274" s="49"/>
    </row>
    <row r="275" spans="1:1">
      <c r="A275" s="49"/>
    </row>
    <row r="276" spans="1:1">
      <c r="A276" s="49"/>
    </row>
    <row r="277" spans="1:1">
      <c r="A277" s="49"/>
    </row>
    <row r="278" spans="1:1">
      <c r="A278" s="49"/>
    </row>
    <row r="279" spans="1:1">
      <c r="A279" s="49"/>
    </row>
    <row r="280" spans="1:1">
      <c r="A280" s="49"/>
    </row>
    <row r="281" spans="1:1">
      <c r="A281" s="49"/>
    </row>
    <row r="282" spans="1:1">
      <c r="A282" s="49"/>
    </row>
    <row r="283" spans="1:1">
      <c r="A283" s="49"/>
    </row>
    <row r="284" spans="1:1">
      <c r="A284" s="49"/>
    </row>
    <row r="285" spans="1:1">
      <c r="A285" s="49"/>
    </row>
    <row r="286" spans="1:1">
      <c r="A286" s="49"/>
    </row>
    <row r="287" spans="1:1">
      <c r="A287" s="49"/>
    </row>
    <row r="288" spans="1:1">
      <c r="A288" s="49"/>
    </row>
    <row r="289" spans="1:1">
      <c r="A289" s="49"/>
    </row>
    <row r="290" spans="1:1">
      <c r="A290" s="49"/>
    </row>
    <row r="291" spans="1:1">
      <c r="A291" s="49"/>
    </row>
    <row r="292" spans="1:1">
      <c r="A292" s="49"/>
    </row>
    <row r="293" spans="1:1">
      <c r="A293" s="49"/>
    </row>
    <row r="294" spans="1:1">
      <c r="A294" s="49"/>
    </row>
    <row r="295" spans="1:1">
      <c r="A295" s="49"/>
    </row>
    <row r="296" spans="1:1">
      <c r="A296" s="49"/>
    </row>
    <row r="297" spans="1:1">
      <c r="A297" s="49"/>
    </row>
    <row r="298" spans="1:1">
      <c r="A298" s="49"/>
    </row>
    <row r="299" spans="1:1">
      <c r="A299" s="49"/>
    </row>
    <row r="300" spans="1:1">
      <c r="A300" s="49"/>
    </row>
    <row r="301" spans="1:1">
      <c r="A301" s="49"/>
    </row>
    <row r="302" spans="1:1">
      <c r="A302" s="49"/>
    </row>
    <row r="303" spans="1:1">
      <c r="A303" s="49"/>
    </row>
    <row r="304" spans="1:1">
      <c r="A304" s="49"/>
    </row>
    <row r="305" spans="1:1">
      <c r="A305" s="49"/>
    </row>
    <row r="306" spans="1:1">
      <c r="A306" s="49"/>
    </row>
    <row r="307" spans="1:1">
      <c r="A307" s="49"/>
    </row>
    <row r="308" spans="1:1">
      <c r="A308" s="49"/>
    </row>
    <row r="309" spans="1:1">
      <c r="A309" s="49"/>
    </row>
    <row r="310" spans="1:1">
      <c r="A310" s="49"/>
    </row>
    <row r="311" spans="1:1">
      <c r="A311" s="49"/>
    </row>
    <row r="312" spans="1:1">
      <c r="A312" s="49"/>
    </row>
    <row r="313" spans="1:1">
      <c r="A313" s="49"/>
    </row>
    <row r="314" spans="1:1">
      <c r="A314" s="49"/>
    </row>
    <row r="315" spans="1:1">
      <c r="A315" s="49"/>
    </row>
    <row r="316" spans="1:1">
      <c r="A316" s="49"/>
    </row>
    <row r="317" spans="1:1">
      <c r="A317" s="49"/>
    </row>
    <row r="318" spans="1:1">
      <c r="A318" s="49"/>
    </row>
    <row r="319" spans="1:1">
      <c r="A319" s="49"/>
    </row>
    <row r="320" spans="1:1">
      <c r="A320" s="49"/>
    </row>
    <row r="321" spans="1:1">
      <c r="A321" s="49"/>
    </row>
    <row r="322" spans="1:1">
      <c r="A322" s="49"/>
    </row>
    <row r="323" spans="1:1">
      <c r="A323" s="49"/>
    </row>
    <row r="324" spans="1:1">
      <c r="A324" s="49"/>
    </row>
    <row r="325" spans="1:1">
      <c r="A325" s="49"/>
    </row>
    <row r="326" spans="1:1">
      <c r="A326" s="49"/>
    </row>
    <row r="327" spans="1:1">
      <c r="A327" s="49"/>
    </row>
    <row r="328" spans="1:1">
      <c r="A328" s="49"/>
    </row>
    <row r="329" spans="1:1">
      <c r="A329" s="49"/>
    </row>
    <row r="330" spans="1:1">
      <c r="A330" s="49"/>
    </row>
    <row r="331" spans="1:1">
      <c r="A331" s="49"/>
    </row>
    <row r="332" spans="1:1">
      <c r="A332" s="49"/>
    </row>
    <row r="333" spans="1:1">
      <c r="A333" s="49"/>
    </row>
    <row r="334" spans="1:1">
      <c r="A334" s="49"/>
    </row>
    <row r="335" spans="1:1">
      <c r="A335" s="49"/>
    </row>
    <row r="336" spans="1:1">
      <c r="A336" s="49"/>
    </row>
    <row r="337" spans="1:1">
      <c r="A337" s="49"/>
    </row>
    <row r="338" spans="1:1">
      <c r="A338" s="49"/>
    </row>
    <row r="339" spans="1:1">
      <c r="A339" s="49"/>
    </row>
    <row r="340" spans="1:1">
      <c r="A340" s="49"/>
    </row>
    <row r="341" spans="1:1">
      <c r="A341" s="49"/>
    </row>
    <row r="342" spans="1:1">
      <c r="A342" s="49"/>
    </row>
    <row r="343" spans="1:1">
      <c r="A343" s="49"/>
    </row>
    <row r="344" spans="1:1">
      <c r="A344" s="49"/>
    </row>
    <row r="345" spans="1:1">
      <c r="A345" s="49"/>
    </row>
    <row r="346" spans="1:1">
      <c r="A346" s="49"/>
    </row>
    <row r="347" spans="1:1">
      <c r="A347" s="49"/>
    </row>
    <row r="348" spans="1:1">
      <c r="A348" s="49"/>
    </row>
    <row r="349" spans="1:1">
      <c r="A349" s="49"/>
    </row>
    <row r="350" spans="1:1">
      <c r="A350" s="49"/>
    </row>
    <row r="351" spans="1:1">
      <c r="A351" s="49"/>
    </row>
    <row r="352" spans="1:1">
      <c r="A352" s="49"/>
    </row>
    <row r="353" spans="1:1">
      <c r="A353" s="49"/>
    </row>
    <row r="354" spans="1:1">
      <c r="A354" s="49"/>
    </row>
    <row r="355" spans="1:1">
      <c r="A355" s="49"/>
    </row>
    <row r="356" spans="1:1">
      <c r="A356" s="49"/>
    </row>
    <row r="357" spans="1:1">
      <c r="A357" s="49"/>
    </row>
    <row r="358" spans="1:1">
      <c r="A358" s="49"/>
    </row>
    <row r="359" spans="1:1">
      <c r="A359" s="49"/>
    </row>
    <row r="360" spans="1:1">
      <c r="A360" s="49"/>
    </row>
    <row r="361" spans="1:1">
      <c r="A361" s="49"/>
    </row>
    <row r="362" spans="1:1">
      <c r="A362" s="49"/>
    </row>
    <row r="363" spans="1:1">
      <c r="A363" s="49"/>
    </row>
    <row r="364" spans="1:1">
      <c r="A364" s="49"/>
    </row>
    <row r="365" spans="1:1">
      <c r="A365" s="49"/>
    </row>
    <row r="366" spans="1:1">
      <c r="A366" s="49"/>
    </row>
    <row r="367" spans="1:1">
      <c r="A367" s="49"/>
    </row>
    <row r="368" spans="1:1">
      <c r="A368" s="49"/>
    </row>
    <row r="369" spans="1:1">
      <c r="A369" s="49"/>
    </row>
    <row r="370" spans="1:1">
      <c r="A370" s="49"/>
    </row>
    <row r="371" spans="1:1">
      <c r="A371" s="49"/>
    </row>
    <row r="372" spans="1:1">
      <c r="A372" s="49"/>
    </row>
    <row r="1070" spans="4:4">
      <c r="D1070" s="99">
        <v>44608</v>
      </c>
    </row>
  </sheetData>
  <sheetProtection formatCells="0" formatColumns="0" formatRows="0" insertRows="0" deleteRows="0"/>
  <autoFilter ref="A9:H144" xr:uid="{00000000-0009-0000-0000-000001000000}"/>
  <mergeCells count="11">
    <mergeCell ref="A149:H149"/>
    <mergeCell ref="A3:H3"/>
    <mergeCell ref="A136:H136"/>
    <mergeCell ref="D5:H5"/>
    <mergeCell ref="B5:B6"/>
    <mergeCell ref="A5:A6"/>
    <mergeCell ref="C5:C6"/>
    <mergeCell ref="A8:H8"/>
    <mergeCell ref="A123:H123"/>
    <mergeCell ref="A129:H129"/>
    <mergeCell ref="C147:D147"/>
  </mergeCells>
  <phoneticPr fontId="0" type="noConversion"/>
  <pageMargins left="1.1811023622047243" right="0.43307086614173229" top="0.78740157480314965" bottom="0.78740157480314965" header="0" footer="0"/>
  <pageSetup paperSize="9" scale="64" fitToHeight="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tabColor indexed="43"/>
    <pageSetUpPr fitToPage="1"/>
  </sheetPr>
  <dimension ref="A1:I191"/>
  <sheetViews>
    <sheetView view="pageBreakPreview" topLeftCell="A3" zoomScale="70" zoomScaleNormal="75" zoomScaleSheetLayoutView="70" workbookViewId="0">
      <selection activeCell="E11" sqref="E11"/>
    </sheetView>
  </sheetViews>
  <sheetFormatPr defaultColWidth="9.1796875" defaultRowHeight="15.5" outlineLevelRow="1"/>
  <cols>
    <col min="1" max="1" width="64.1796875" style="100" customWidth="1"/>
    <col min="2" max="2" width="11.7265625" style="101" customWidth="1"/>
    <col min="3" max="3" width="15.7265625" style="101" customWidth="1"/>
    <col min="4" max="4" width="11.7265625" style="101" customWidth="1"/>
    <col min="5" max="5" width="11.1796875" style="101" customWidth="1"/>
    <col min="6" max="6" width="15.1796875" style="101" customWidth="1"/>
    <col min="7" max="7" width="15.54296875" style="101" customWidth="1"/>
    <col min="8" max="8" width="10" style="100" customWidth="1"/>
    <col min="9" max="9" width="9.54296875" style="100" customWidth="1"/>
    <col min="10" max="16384" width="9.1796875" style="100"/>
  </cols>
  <sheetData>
    <row r="1" spans="1:8" hidden="1" outlineLevel="1">
      <c r="G1" s="51" t="s">
        <v>237</v>
      </c>
    </row>
    <row r="2" spans="1:8" hidden="1" outlineLevel="1">
      <c r="G2" s="51" t="s">
        <v>222</v>
      </c>
    </row>
    <row r="3" spans="1:8" collapsed="1">
      <c r="A3" s="259" t="s">
        <v>357</v>
      </c>
      <c r="B3" s="259"/>
      <c r="C3" s="259"/>
      <c r="D3" s="259"/>
      <c r="E3" s="259"/>
      <c r="F3" s="259"/>
      <c r="G3" s="259"/>
    </row>
    <row r="4" spans="1:8" ht="38.25" customHeight="1">
      <c r="A4" s="237" t="s">
        <v>283</v>
      </c>
      <c r="B4" s="260" t="s">
        <v>18</v>
      </c>
      <c r="C4" s="239" t="s">
        <v>346</v>
      </c>
      <c r="D4" s="237" t="s">
        <v>344</v>
      </c>
      <c r="E4" s="237"/>
      <c r="F4" s="237"/>
      <c r="G4" s="237"/>
    </row>
    <row r="5" spans="1:8" ht="38.25" customHeight="1">
      <c r="A5" s="237"/>
      <c r="B5" s="260"/>
      <c r="C5" s="261"/>
      <c r="D5" s="27" t="s">
        <v>261</v>
      </c>
      <c r="E5" s="27" t="s">
        <v>244</v>
      </c>
      <c r="F5" s="28" t="s">
        <v>271</v>
      </c>
      <c r="G5" s="28" t="s">
        <v>272</v>
      </c>
    </row>
    <row r="6" spans="1:8">
      <c r="A6" s="29">
        <v>1</v>
      </c>
      <c r="B6" s="103">
        <v>2</v>
      </c>
      <c r="C6" s="29">
        <v>3</v>
      </c>
      <c r="D6" s="29">
        <v>4</v>
      </c>
      <c r="E6" s="103">
        <v>5</v>
      </c>
      <c r="F6" s="29">
        <v>6</v>
      </c>
      <c r="G6" s="103">
        <v>7</v>
      </c>
    </row>
    <row r="7" spans="1:8">
      <c r="A7" s="256" t="s">
        <v>151</v>
      </c>
      <c r="B7" s="257"/>
      <c r="C7" s="257"/>
      <c r="D7" s="257"/>
      <c r="E7" s="257"/>
      <c r="F7" s="257"/>
      <c r="G7" s="258"/>
      <c r="H7" s="100" t="s">
        <v>462</v>
      </c>
    </row>
    <row r="8" spans="1:8" ht="45.75" customHeight="1">
      <c r="A8" s="38" t="s">
        <v>60</v>
      </c>
      <c r="B8" s="26">
        <v>2000</v>
      </c>
      <c r="C8" s="30">
        <v>-14492.4</v>
      </c>
      <c r="D8" s="30">
        <v>-14308</v>
      </c>
      <c r="E8" s="30">
        <v>-14336.3</v>
      </c>
      <c r="F8" s="30">
        <f>E8-D8</f>
        <v>-28.299999999999272</v>
      </c>
      <c r="G8" s="31">
        <f>E8/D8*100</f>
        <v>100.19779144534526</v>
      </c>
    </row>
    <row r="9" spans="1:8">
      <c r="A9" s="38" t="s">
        <v>204</v>
      </c>
      <c r="B9" s="26">
        <v>2010</v>
      </c>
      <c r="C9" s="30">
        <f>C10+C11</f>
        <v>0</v>
      </c>
      <c r="D9" s="30">
        <v>421</v>
      </c>
      <c r="E9" s="30">
        <f>E10+E11</f>
        <v>61</v>
      </c>
      <c r="F9" s="30">
        <f t="shared" ref="F9:F11" si="0">E9-D9</f>
        <v>-360</v>
      </c>
      <c r="G9" s="31">
        <f t="shared" ref="G9:G11" si="1">E9/D9*100</f>
        <v>14.489311163895488</v>
      </c>
    </row>
    <row r="10" spans="1:8" ht="31">
      <c r="A10" s="37" t="s">
        <v>349</v>
      </c>
      <c r="B10" s="26">
        <v>2011</v>
      </c>
      <c r="C10" s="30"/>
      <c r="D10" s="30">
        <f>('1. Фін результат'!D120)*15%</f>
        <v>95.7</v>
      </c>
      <c r="E10" s="30">
        <v>14</v>
      </c>
      <c r="F10" s="30">
        <f t="shared" si="0"/>
        <v>-81.7</v>
      </c>
      <c r="G10" s="31">
        <f t="shared" si="1"/>
        <v>14.629049111807731</v>
      </c>
    </row>
    <row r="11" spans="1:8" ht="62">
      <c r="A11" s="37" t="s">
        <v>350</v>
      </c>
      <c r="B11" s="26">
        <v>2012</v>
      </c>
      <c r="C11" s="30"/>
      <c r="D11" s="30">
        <f>('1. Фін результат'!D120-'2. Розрахунки з бюджетом'!D10)*60%</f>
        <v>325.37999999999994</v>
      </c>
      <c r="E11" s="30">
        <v>47</v>
      </c>
      <c r="F11" s="30">
        <f t="shared" si="0"/>
        <v>-278.37999999999994</v>
      </c>
      <c r="G11" s="31">
        <f t="shared" si="1"/>
        <v>14.444649333087471</v>
      </c>
    </row>
    <row r="12" spans="1:8">
      <c r="A12" s="37" t="s">
        <v>191</v>
      </c>
      <c r="B12" s="26">
        <v>2020</v>
      </c>
      <c r="C12" s="30"/>
      <c r="D12" s="30"/>
      <c r="E12" s="30"/>
      <c r="F12" s="30"/>
      <c r="G12" s="31"/>
    </row>
    <row r="13" spans="1:8" s="104" customFormat="1">
      <c r="A13" s="38" t="s">
        <v>72</v>
      </c>
      <c r="B13" s="26">
        <v>2030</v>
      </c>
      <c r="C13" s="30"/>
      <c r="D13" s="30"/>
      <c r="E13" s="30"/>
      <c r="F13" s="30"/>
      <c r="G13" s="31"/>
    </row>
    <row r="14" spans="1:8" ht="24" customHeight="1">
      <c r="A14" s="38" t="s">
        <v>131</v>
      </c>
      <c r="B14" s="26">
        <v>2031</v>
      </c>
      <c r="C14" s="30"/>
      <c r="D14" s="30"/>
      <c r="E14" s="30"/>
      <c r="F14" s="30"/>
      <c r="G14" s="31"/>
    </row>
    <row r="15" spans="1:8">
      <c r="A15" s="38" t="s">
        <v>26</v>
      </c>
      <c r="B15" s="26">
        <v>2040</v>
      </c>
      <c r="C15" s="30"/>
      <c r="D15" s="30"/>
      <c r="E15" s="30"/>
      <c r="F15" s="30"/>
      <c r="G15" s="31"/>
    </row>
    <row r="16" spans="1:8">
      <c r="A16" s="38" t="s">
        <v>114</v>
      </c>
      <c r="B16" s="26">
        <v>2050</v>
      </c>
      <c r="C16" s="30"/>
      <c r="D16" s="30"/>
      <c r="E16" s="30"/>
      <c r="F16" s="30"/>
      <c r="G16" s="31"/>
    </row>
    <row r="17" spans="1:9">
      <c r="A17" s="38" t="s">
        <v>115</v>
      </c>
      <c r="B17" s="26">
        <v>2060</v>
      </c>
      <c r="C17" s="30">
        <f>C18</f>
        <v>0</v>
      </c>
      <c r="D17" s="30"/>
      <c r="E17" s="30">
        <f>E18</f>
        <v>0</v>
      </c>
      <c r="F17" s="30">
        <f t="shared" ref="F17:F18" si="2">E17-D17</f>
        <v>0</v>
      </c>
      <c r="G17" s="32" t="e">
        <f t="shared" ref="G17:G18" si="3">E17/D17*100</f>
        <v>#DIV/0!</v>
      </c>
    </row>
    <row r="18" spans="1:9" ht="31">
      <c r="A18" s="38" t="s">
        <v>452</v>
      </c>
      <c r="B18" s="26" t="s">
        <v>451</v>
      </c>
      <c r="C18" s="30"/>
      <c r="D18" s="30"/>
      <c r="E18" s="30"/>
      <c r="F18" s="30">
        <f t="shared" si="2"/>
        <v>0</v>
      </c>
      <c r="G18" s="32" t="e">
        <f t="shared" si="3"/>
        <v>#DIV/0!</v>
      </c>
    </row>
    <row r="19" spans="1:9" ht="62.25" customHeight="1">
      <c r="A19" s="105" t="s">
        <v>61</v>
      </c>
      <c r="B19" s="106">
        <v>2070</v>
      </c>
      <c r="C19" s="107">
        <f>C8+'1. Фін результат'!C119-C9</f>
        <v>-14434.4</v>
      </c>
      <c r="D19" s="107">
        <f>D8+'1. Фін результат'!D119-D9</f>
        <v>-14091</v>
      </c>
      <c r="E19" s="107">
        <f>E8+'1. Фін результат'!E119-E9</f>
        <v>-14314.800000000001</v>
      </c>
      <c r="F19" s="107">
        <f>E19-D19</f>
        <v>-223.80000000000109</v>
      </c>
      <c r="G19" s="108">
        <f>E19/D19*100</f>
        <v>101.58824781775601</v>
      </c>
    </row>
    <row r="20" spans="1:9" ht="41.25" customHeight="1">
      <c r="A20" s="256" t="s">
        <v>152</v>
      </c>
      <c r="B20" s="257"/>
      <c r="C20" s="257"/>
      <c r="D20" s="257"/>
      <c r="E20" s="257"/>
      <c r="F20" s="257"/>
      <c r="G20" s="258"/>
    </row>
    <row r="21" spans="1:9" ht="30">
      <c r="A21" s="105" t="s">
        <v>204</v>
      </c>
      <c r="B21" s="106">
        <v>2100</v>
      </c>
      <c r="C21" s="107">
        <f>C22+C23</f>
        <v>0</v>
      </c>
      <c r="D21" s="107">
        <v>421</v>
      </c>
      <c r="E21" s="107">
        <f>E22+E23</f>
        <v>61</v>
      </c>
      <c r="F21" s="107">
        <f>E21-D21</f>
        <v>-360</v>
      </c>
      <c r="G21" s="108">
        <f>E21/D21*100</f>
        <v>14.489311163895488</v>
      </c>
      <c r="H21" s="100" t="s">
        <v>498</v>
      </c>
    </row>
    <row r="22" spans="1:9" ht="31">
      <c r="A22" s="37" t="s">
        <v>349</v>
      </c>
      <c r="B22" s="26">
        <v>2101</v>
      </c>
      <c r="C22" s="30">
        <f t="shared" ref="C22:D23" si="4">C10</f>
        <v>0</v>
      </c>
      <c r="D22" s="30">
        <f t="shared" si="4"/>
        <v>95.7</v>
      </c>
      <c r="E22" s="30">
        <v>14</v>
      </c>
      <c r="F22" s="30">
        <f t="shared" ref="F22:F41" si="5">E22-D22</f>
        <v>-81.7</v>
      </c>
      <c r="G22" s="31">
        <f t="shared" ref="G22:G41" si="6">E22/D22*100</f>
        <v>14.629049111807731</v>
      </c>
    </row>
    <row r="23" spans="1:9" ht="62">
      <c r="A23" s="37" t="s">
        <v>350</v>
      </c>
      <c r="B23" s="26">
        <v>2102</v>
      </c>
      <c r="C23" s="30">
        <f t="shared" si="4"/>
        <v>0</v>
      </c>
      <c r="D23" s="30">
        <f t="shared" si="4"/>
        <v>325.37999999999994</v>
      </c>
      <c r="E23" s="30">
        <v>47</v>
      </c>
      <c r="F23" s="30">
        <f t="shared" si="5"/>
        <v>-278.37999999999994</v>
      </c>
      <c r="G23" s="31">
        <f t="shared" si="6"/>
        <v>14.444649333087471</v>
      </c>
    </row>
    <row r="24" spans="1:9" s="104" customFormat="1" ht="15">
      <c r="A24" s="105" t="s">
        <v>154</v>
      </c>
      <c r="B24" s="109">
        <v>2110</v>
      </c>
      <c r="C24" s="110">
        <v>0</v>
      </c>
      <c r="D24" s="110">
        <v>0</v>
      </c>
      <c r="E24" s="110">
        <v>0</v>
      </c>
      <c r="F24" s="107"/>
      <c r="G24" s="108"/>
      <c r="H24" s="104" t="s">
        <v>499</v>
      </c>
    </row>
    <row r="25" spans="1:9" ht="30">
      <c r="A25" s="105" t="s">
        <v>329</v>
      </c>
      <c r="B25" s="109">
        <v>2120</v>
      </c>
      <c r="C25" s="110">
        <v>447</v>
      </c>
      <c r="D25" s="110">
        <v>187</v>
      </c>
      <c r="E25" s="110">
        <v>0</v>
      </c>
      <c r="F25" s="107">
        <f t="shared" si="5"/>
        <v>-187</v>
      </c>
      <c r="G25" s="108">
        <f t="shared" si="6"/>
        <v>0</v>
      </c>
    </row>
    <row r="26" spans="1:9" ht="61.5" customHeight="1">
      <c r="A26" s="105" t="s">
        <v>330</v>
      </c>
      <c r="B26" s="109">
        <v>2130</v>
      </c>
      <c r="C26" s="110"/>
      <c r="D26" s="110"/>
      <c r="E26" s="110"/>
      <c r="F26" s="107"/>
      <c r="G26" s="108"/>
    </row>
    <row r="27" spans="1:9" s="102" customFormat="1" ht="39.75" customHeight="1">
      <c r="A27" s="105" t="s">
        <v>253</v>
      </c>
      <c r="B27" s="109">
        <v>2140</v>
      </c>
      <c r="C27" s="110">
        <f>C28+C29+C30+C31+C32+C35+C37</f>
        <v>1138</v>
      </c>
      <c r="D27" s="110">
        <v>1746</v>
      </c>
      <c r="E27" s="110">
        <f>E28+E29+E30+E31+E32+E35+E37</f>
        <v>1246.7000000000003</v>
      </c>
      <c r="F27" s="30">
        <f t="shared" si="5"/>
        <v>-499.29999999999973</v>
      </c>
      <c r="G27" s="31">
        <f t="shared" si="6"/>
        <v>71.403207331042395</v>
      </c>
      <c r="H27" s="102" t="s">
        <v>498</v>
      </c>
    </row>
    <row r="28" spans="1:9">
      <c r="A28" s="38" t="s">
        <v>85</v>
      </c>
      <c r="B28" s="29">
        <v>2141</v>
      </c>
      <c r="C28" s="111"/>
      <c r="D28" s="111"/>
      <c r="E28" s="111"/>
      <c r="F28" s="30"/>
      <c r="G28" s="31"/>
    </row>
    <row r="29" spans="1:9">
      <c r="A29" s="38" t="s">
        <v>105</v>
      </c>
      <c r="B29" s="29">
        <v>2142</v>
      </c>
      <c r="C29" s="111"/>
      <c r="D29" s="111"/>
      <c r="E29" s="111"/>
      <c r="F29" s="30"/>
      <c r="G29" s="31"/>
    </row>
    <row r="30" spans="1:9">
      <c r="A30" s="38" t="s">
        <v>100</v>
      </c>
      <c r="B30" s="29">
        <v>2143</v>
      </c>
      <c r="C30" s="111"/>
      <c r="D30" s="111"/>
      <c r="E30" s="111"/>
      <c r="F30" s="30"/>
      <c r="G30" s="31"/>
    </row>
    <row r="31" spans="1:9">
      <c r="A31" s="38" t="s">
        <v>83</v>
      </c>
      <c r="B31" s="29">
        <v>2144</v>
      </c>
      <c r="C31" s="111">
        <v>1050</v>
      </c>
      <c r="D31" s="111">
        <v>1610</v>
      </c>
      <c r="E31" s="111">
        <v>1148.9000000000001</v>
      </c>
      <c r="F31" s="30">
        <f t="shared" si="5"/>
        <v>-461.09999999999991</v>
      </c>
      <c r="G31" s="31">
        <f t="shared" si="6"/>
        <v>71.360248447204981</v>
      </c>
      <c r="H31" s="100">
        <v>6411</v>
      </c>
      <c r="I31" s="100" t="s">
        <v>463</v>
      </c>
    </row>
    <row r="32" spans="1:9" s="104" customFormat="1">
      <c r="A32" s="38" t="s">
        <v>172</v>
      </c>
      <c r="B32" s="29">
        <v>2145</v>
      </c>
      <c r="C32" s="111">
        <f>C33+C34</f>
        <v>0</v>
      </c>
      <c r="D32" s="111">
        <f>D33+D34</f>
        <v>0</v>
      </c>
      <c r="E32" s="111">
        <f>E33+E34</f>
        <v>0</v>
      </c>
      <c r="F32" s="30"/>
      <c r="G32" s="31"/>
    </row>
    <row r="33" spans="1:9" ht="46.5">
      <c r="A33" s="38" t="s">
        <v>132</v>
      </c>
      <c r="B33" s="29" t="s">
        <v>218</v>
      </c>
      <c r="C33" s="111"/>
      <c r="D33" s="111"/>
      <c r="E33" s="111"/>
      <c r="F33" s="30"/>
      <c r="G33" s="31"/>
    </row>
    <row r="34" spans="1:9">
      <c r="A34" s="38" t="s">
        <v>27</v>
      </c>
      <c r="B34" s="29" t="s">
        <v>219</v>
      </c>
      <c r="C34" s="111"/>
      <c r="D34" s="111"/>
      <c r="E34" s="111"/>
      <c r="F34" s="30"/>
      <c r="G34" s="31"/>
    </row>
    <row r="35" spans="1:9" s="104" customFormat="1">
      <c r="A35" s="38" t="s">
        <v>116</v>
      </c>
      <c r="B35" s="29">
        <v>2146</v>
      </c>
      <c r="C35" s="111">
        <f>C36</f>
        <v>2</v>
      </c>
      <c r="D35" s="111">
        <f>D36</f>
        <v>2</v>
      </c>
      <c r="E35" s="111">
        <f>E36</f>
        <v>1.9</v>
      </c>
      <c r="F35" s="30">
        <f t="shared" si="5"/>
        <v>-0.10000000000000009</v>
      </c>
      <c r="G35" s="31">
        <f t="shared" si="6"/>
        <v>95</v>
      </c>
    </row>
    <row r="36" spans="1:9" s="104" customFormat="1">
      <c r="A36" s="38" t="s">
        <v>431</v>
      </c>
      <c r="B36" s="29" t="s">
        <v>432</v>
      </c>
      <c r="C36" s="111">
        <v>2</v>
      </c>
      <c r="D36" s="111">
        <v>2</v>
      </c>
      <c r="E36" s="111">
        <v>1.9</v>
      </c>
      <c r="F36" s="30">
        <f t="shared" si="5"/>
        <v>-0.10000000000000009</v>
      </c>
      <c r="G36" s="31">
        <f t="shared" si="6"/>
        <v>95</v>
      </c>
      <c r="H36" s="104">
        <v>6416</v>
      </c>
    </row>
    <row r="37" spans="1:9">
      <c r="A37" s="38" t="s">
        <v>89</v>
      </c>
      <c r="B37" s="29">
        <v>2147</v>
      </c>
      <c r="C37" s="111">
        <f>C38+C39</f>
        <v>86</v>
      </c>
      <c r="D37" s="111">
        <v>134</v>
      </c>
      <c r="E37" s="111">
        <f>E38+E39</f>
        <v>95.9</v>
      </c>
      <c r="F37" s="30">
        <f t="shared" si="5"/>
        <v>-38.099999999999994</v>
      </c>
      <c r="G37" s="31">
        <f t="shared" si="6"/>
        <v>71.567164179104481</v>
      </c>
    </row>
    <row r="38" spans="1:9">
      <c r="A38" s="38" t="s">
        <v>434</v>
      </c>
      <c r="B38" s="29" t="s">
        <v>433</v>
      </c>
      <c r="C38" s="111">
        <v>86</v>
      </c>
      <c r="D38" s="111">
        <v>134</v>
      </c>
      <c r="E38" s="111">
        <v>95.9</v>
      </c>
      <c r="F38" s="30">
        <f t="shared" si="5"/>
        <v>-38.099999999999994</v>
      </c>
      <c r="G38" s="31">
        <f t="shared" si="6"/>
        <v>71.567164179104481</v>
      </c>
      <c r="H38" s="100">
        <v>642</v>
      </c>
    </row>
    <row r="39" spans="1:9">
      <c r="A39" s="38" t="s">
        <v>447</v>
      </c>
      <c r="B39" s="29" t="s">
        <v>448</v>
      </c>
      <c r="C39" s="111"/>
      <c r="D39" s="111"/>
      <c r="E39" s="111"/>
      <c r="F39" s="30">
        <f t="shared" si="5"/>
        <v>0</v>
      </c>
      <c r="G39" s="31"/>
    </row>
    <row r="40" spans="1:9" s="104" customFormat="1" ht="30">
      <c r="A40" s="105" t="s">
        <v>84</v>
      </c>
      <c r="B40" s="109">
        <v>2150</v>
      </c>
      <c r="C40" s="110">
        <f>'1. Фін результат'!C141</f>
        <v>1235</v>
      </c>
      <c r="D40" s="110">
        <v>1924</v>
      </c>
      <c r="E40" s="110">
        <f>'1. Фін результат'!E141</f>
        <v>1312.6</v>
      </c>
      <c r="F40" s="107">
        <f t="shared" si="5"/>
        <v>-611.40000000000009</v>
      </c>
      <c r="G40" s="108">
        <f t="shared" si="6"/>
        <v>68.222453222453211</v>
      </c>
    </row>
    <row r="41" spans="1:9" s="104" customFormat="1" ht="15">
      <c r="A41" s="105" t="s">
        <v>348</v>
      </c>
      <c r="B41" s="109">
        <v>2200</v>
      </c>
      <c r="C41" s="110">
        <f>C40+C27+C26+C25+C24+C21</f>
        <v>2820</v>
      </c>
      <c r="D41" s="110">
        <f>D40+D27+D26+D25+D24+D21</f>
        <v>4278</v>
      </c>
      <c r="E41" s="110">
        <f>E40+E27+E26+E25+E24+E21</f>
        <v>2620.3000000000002</v>
      </c>
      <c r="F41" s="107">
        <f t="shared" si="5"/>
        <v>-1657.6999999999998</v>
      </c>
      <c r="G41" s="108">
        <f t="shared" si="6"/>
        <v>61.250584385226745</v>
      </c>
    </row>
    <row r="42" spans="1:9" s="104" customFormat="1" ht="16.5" customHeight="1">
      <c r="A42" s="112"/>
      <c r="B42" s="113"/>
      <c r="C42" s="113"/>
      <c r="D42" s="113"/>
      <c r="E42" s="113"/>
      <c r="F42" s="113"/>
      <c r="G42" s="113"/>
    </row>
    <row r="43" spans="1:9" s="9" customFormat="1" ht="30.5">
      <c r="A43" s="45" t="s">
        <v>529</v>
      </c>
      <c r="B43" s="46"/>
      <c r="C43" s="5"/>
      <c r="D43" s="5"/>
      <c r="E43" s="11"/>
      <c r="F43" s="47" t="s">
        <v>528</v>
      </c>
      <c r="G43" s="5"/>
    </row>
    <row r="44" spans="1:9" s="9" customFormat="1">
      <c r="A44" s="23" t="s">
        <v>367</v>
      </c>
      <c r="B44" s="5"/>
      <c r="C44" s="224" t="s">
        <v>79</v>
      </c>
      <c r="D44" s="224"/>
      <c r="E44" s="5"/>
      <c r="F44" s="5" t="s">
        <v>103</v>
      </c>
      <c r="G44" s="5"/>
    </row>
    <row r="45" spans="1:9" s="101" customFormat="1" ht="29.25" customHeight="1">
      <c r="A45" s="114"/>
      <c r="B45" s="113"/>
      <c r="C45" s="113"/>
      <c r="D45" s="113"/>
      <c r="E45" s="113"/>
      <c r="F45" s="113"/>
      <c r="G45" s="113"/>
      <c r="H45" s="100"/>
      <c r="I45" s="100"/>
    </row>
    <row r="46" spans="1:9" s="9" customFormat="1" ht="80.25" customHeight="1">
      <c r="A46" s="223"/>
      <c r="B46" s="223"/>
      <c r="C46" s="223"/>
      <c r="D46" s="223"/>
      <c r="E46" s="223"/>
      <c r="F46" s="223"/>
      <c r="G46" s="223"/>
      <c r="H46" s="223"/>
    </row>
    <row r="47" spans="1:9" s="101" customFormat="1">
      <c r="A47" s="115"/>
      <c r="H47" s="100"/>
      <c r="I47" s="100"/>
    </row>
    <row r="48" spans="1:9" s="101" customFormat="1">
      <c r="A48" s="115"/>
      <c r="H48" s="100"/>
      <c r="I48" s="100"/>
    </row>
    <row r="49" spans="1:9" s="101" customFormat="1">
      <c r="A49" s="115"/>
      <c r="H49" s="100"/>
      <c r="I49" s="100"/>
    </row>
    <row r="50" spans="1:9" s="101" customFormat="1">
      <c r="A50" s="115"/>
      <c r="H50" s="100"/>
      <c r="I50" s="100"/>
    </row>
    <row r="51" spans="1:9" s="101" customFormat="1">
      <c r="A51" s="115"/>
      <c r="H51" s="100"/>
      <c r="I51" s="100"/>
    </row>
    <row r="52" spans="1:9" s="101" customFormat="1">
      <c r="A52" s="115"/>
      <c r="H52" s="100"/>
      <c r="I52" s="100"/>
    </row>
    <row r="53" spans="1:9" s="101" customFormat="1">
      <c r="A53" s="115"/>
      <c r="H53" s="100"/>
      <c r="I53" s="100"/>
    </row>
    <row r="54" spans="1:9" s="101" customFormat="1">
      <c r="A54" s="115"/>
      <c r="H54" s="100"/>
      <c r="I54" s="100"/>
    </row>
    <row r="55" spans="1:9" s="101" customFormat="1">
      <c r="A55" s="115"/>
      <c r="H55" s="100"/>
      <c r="I55" s="100"/>
    </row>
    <row r="56" spans="1:9" s="101" customFormat="1">
      <c r="A56" s="115"/>
      <c r="H56" s="100"/>
      <c r="I56" s="100"/>
    </row>
    <row r="57" spans="1:9" s="101" customFormat="1">
      <c r="A57" s="115"/>
      <c r="H57" s="100"/>
      <c r="I57" s="100"/>
    </row>
    <row r="58" spans="1:9" s="101" customFormat="1">
      <c r="A58" s="115"/>
      <c r="H58" s="100"/>
      <c r="I58" s="100"/>
    </row>
    <row r="59" spans="1:9" s="101" customFormat="1">
      <c r="A59" s="115"/>
      <c r="H59" s="100"/>
      <c r="I59" s="100"/>
    </row>
    <row r="60" spans="1:9" s="101" customFormat="1">
      <c r="A60" s="115"/>
      <c r="H60" s="100"/>
      <c r="I60" s="100"/>
    </row>
    <row r="61" spans="1:9" s="101" customFormat="1">
      <c r="A61" s="115"/>
      <c r="H61" s="100"/>
      <c r="I61" s="100"/>
    </row>
    <row r="62" spans="1:9" s="101" customFormat="1">
      <c r="A62" s="115"/>
      <c r="H62" s="100"/>
      <c r="I62" s="100"/>
    </row>
    <row r="63" spans="1:9" s="101" customFormat="1">
      <c r="A63" s="115"/>
      <c r="H63" s="100"/>
      <c r="I63" s="100"/>
    </row>
    <row r="64" spans="1:9" s="101" customFormat="1">
      <c r="A64" s="115"/>
      <c r="H64" s="100"/>
      <c r="I64" s="100"/>
    </row>
    <row r="65" spans="1:9" s="101" customFormat="1">
      <c r="A65" s="115"/>
      <c r="H65" s="100"/>
      <c r="I65" s="100"/>
    </row>
    <row r="66" spans="1:9" s="101" customFormat="1">
      <c r="A66" s="115"/>
      <c r="H66" s="100"/>
      <c r="I66" s="100"/>
    </row>
    <row r="67" spans="1:9" s="101" customFormat="1">
      <c r="A67" s="115"/>
      <c r="H67" s="100"/>
      <c r="I67" s="100"/>
    </row>
    <row r="68" spans="1:9" s="101" customFormat="1">
      <c r="A68" s="115"/>
      <c r="H68" s="100"/>
      <c r="I68" s="100"/>
    </row>
    <row r="69" spans="1:9" s="101" customFormat="1">
      <c r="A69" s="115"/>
      <c r="H69" s="100"/>
      <c r="I69" s="100"/>
    </row>
    <row r="70" spans="1:9" s="101" customFormat="1">
      <c r="A70" s="115"/>
      <c r="H70" s="100"/>
      <c r="I70" s="100"/>
    </row>
    <row r="71" spans="1:9" s="101" customFormat="1">
      <c r="A71" s="115"/>
      <c r="H71" s="100"/>
      <c r="I71" s="100"/>
    </row>
    <row r="72" spans="1:9" s="101" customFormat="1">
      <c r="A72" s="115"/>
      <c r="H72" s="100"/>
      <c r="I72" s="100"/>
    </row>
    <row r="73" spans="1:9" s="101" customFormat="1">
      <c r="A73" s="115"/>
      <c r="H73" s="100"/>
      <c r="I73" s="100"/>
    </row>
    <row r="74" spans="1:9" s="101" customFormat="1">
      <c r="A74" s="115"/>
      <c r="H74" s="100"/>
      <c r="I74" s="100"/>
    </row>
    <row r="75" spans="1:9" s="101" customFormat="1">
      <c r="A75" s="115"/>
      <c r="H75" s="100"/>
      <c r="I75" s="100"/>
    </row>
    <row r="76" spans="1:9" s="101" customFormat="1">
      <c r="A76" s="115"/>
      <c r="H76" s="100"/>
      <c r="I76" s="100"/>
    </row>
    <row r="77" spans="1:9" s="101" customFormat="1">
      <c r="A77" s="115"/>
      <c r="H77" s="100"/>
      <c r="I77" s="100"/>
    </row>
    <row r="78" spans="1:9" s="101" customFormat="1">
      <c r="A78" s="115"/>
      <c r="H78" s="100"/>
      <c r="I78" s="100"/>
    </row>
    <row r="79" spans="1:9" s="101" customFormat="1">
      <c r="A79" s="115"/>
      <c r="H79" s="100"/>
      <c r="I79" s="100"/>
    </row>
    <row r="80" spans="1:9" s="101" customFormat="1">
      <c r="A80" s="115"/>
      <c r="H80" s="100"/>
      <c r="I80" s="100"/>
    </row>
    <row r="81" spans="1:9" s="101" customFormat="1">
      <c r="A81" s="115"/>
      <c r="H81" s="100"/>
      <c r="I81" s="100"/>
    </row>
    <row r="82" spans="1:9" s="101" customFormat="1">
      <c r="A82" s="115"/>
      <c r="H82" s="100"/>
      <c r="I82" s="100"/>
    </row>
    <row r="83" spans="1:9" s="101" customFormat="1">
      <c r="A83" s="115"/>
      <c r="H83" s="100"/>
      <c r="I83" s="100"/>
    </row>
    <row r="84" spans="1:9" s="101" customFormat="1">
      <c r="A84" s="115"/>
      <c r="H84" s="100"/>
      <c r="I84" s="100"/>
    </row>
    <row r="85" spans="1:9" s="101" customFormat="1">
      <c r="A85" s="115"/>
      <c r="H85" s="100"/>
      <c r="I85" s="100"/>
    </row>
    <row r="86" spans="1:9" s="101" customFormat="1">
      <c r="A86" s="115"/>
      <c r="H86" s="100"/>
      <c r="I86" s="100"/>
    </row>
    <row r="87" spans="1:9" s="101" customFormat="1">
      <c r="A87" s="115"/>
      <c r="H87" s="100"/>
      <c r="I87" s="100"/>
    </row>
    <row r="88" spans="1:9" s="101" customFormat="1">
      <c r="A88" s="115"/>
      <c r="H88" s="100"/>
      <c r="I88" s="100"/>
    </row>
    <row r="89" spans="1:9" s="101" customFormat="1">
      <c r="A89" s="115"/>
      <c r="H89" s="100"/>
      <c r="I89" s="100"/>
    </row>
    <row r="90" spans="1:9" s="101" customFormat="1">
      <c r="A90" s="115"/>
      <c r="H90" s="100"/>
      <c r="I90" s="100"/>
    </row>
    <row r="91" spans="1:9" s="101" customFormat="1">
      <c r="A91" s="115"/>
      <c r="H91" s="100"/>
      <c r="I91" s="100"/>
    </row>
    <row r="92" spans="1:9" s="101" customFormat="1">
      <c r="A92" s="115"/>
      <c r="H92" s="100"/>
      <c r="I92" s="100"/>
    </row>
    <row r="93" spans="1:9" s="101" customFormat="1">
      <c r="A93" s="115"/>
      <c r="H93" s="100"/>
      <c r="I93" s="100"/>
    </row>
    <row r="94" spans="1:9" s="101" customFormat="1">
      <c r="A94" s="115"/>
      <c r="H94" s="100"/>
      <c r="I94" s="100"/>
    </row>
    <row r="95" spans="1:9" s="101" customFormat="1">
      <c r="A95" s="115"/>
      <c r="H95" s="100"/>
      <c r="I95" s="100"/>
    </row>
    <row r="96" spans="1:9" s="101" customFormat="1">
      <c r="A96" s="115"/>
      <c r="H96" s="100"/>
      <c r="I96" s="100"/>
    </row>
    <row r="97" spans="1:9" s="101" customFormat="1">
      <c r="A97" s="115"/>
      <c r="H97" s="100"/>
      <c r="I97" s="100"/>
    </row>
    <row r="98" spans="1:9" s="101" customFormat="1">
      <c r="A98" s="115"/>
      <c r="H98" s="100"/>
      <c r="I98" s="100"/>
    </row>
    <row r="99" spans="1:9" s="101" customFormat="1">
      <c r="A99" s="115"/>
      <c r="H99" s="100"/>
      <c r="I99" s="100"/>
    </row>
    <row r="100" spans="1:9" s="101" customFormat="1">
      <c r="A100" s="115"/>
      <c r="H100" s="100"/>
      <c r="I100" s="100"/>
    </row>
    <row r="101" spans="1:9" s="101" customFormat="1">
      <c r="A101" s="115"/>
      <c r="H101" s="100"/>
      <c r="I101" s="100"/>
    </row>
    <row r="102" spans="1:9" s="101" customFormat="1">
      <c r="A102" s="115"/>
      <c r="H102" s="100"/>
      <c r="I102" s="100"/>
    </row>
    <row r="103" spans="1:9" s="101" customFormat="1">
      <c r="A103" s="115"/>
      <c r="H103" s="100"/>
      <c r="I103" s="100"/>
    </row>
    <row r="104" spans="1:9" s="101" customFormat="1">
      <c r="A104" s="115"/>
      <c r="H104" s="100"/>
      <c r="I104" s="100"/>
    </row>
    <row r="105" spans="1:9" s="101" customFormat="1">
      <c r="A105" s="115"/>
      <c r="H105" s="100"/>
      <c r="I105" s="100"/>
    </row>
    <row r="106" spans="1:9" s="101" customFormat="1">
      <c r="A106" s="115"/>
      <c r="H106" s="100"/>
      <c r="I106" s="100"/>
    </row>
    <row r="107" spans="1:9" s="101" customFormat="1">
      <c r="A107" s="115"/>
      <c r="H107" s="100"/>
      <c r="I107" s="100"/>
    </row>
    <row r="108" spans="1:9" s="101" customFormat="1">
      <c r="A108" s="115"/>
      <c r="H108" s="100"/>
      <c r="I108" s="100"/>
    </row>
    <row r="109" spans="1:9" s="101" customFormat="1">
      <c r="A109" s="115"/>
      <c r="H109" s="100"/>
      <c r="I109" s="100"/>
    </row>
    <row r="110" spans="1:9" s="101" customFormat="1">
      <c r="A110" s="115"/>
      <c r="H110" s="100"/>
      <c r="I110" s="100"/>
    </row>
    <row r="111" spans="1:9" s="101" customFormat="1">
      <c r="A111" s="115"/>
      <c r="H111" s="100"/>
      <c r="I111" s="100"/>
    </row>
    <row r="112" spans="1:9" s="101" customFormat="1">
      <c r="A112" s="115"/>
      <c r="H112" s="100"/>
      <c r="I112" s="100"/>
    </row>
    <row r="113" spans="1:9" s="101" customFormat="1">
      <c r="A113" s="115"/>
      <c r="H113" s="100"/>
      <c r="I113" s="100"/>
    </row>
    <row r="114" spans="1:9" s="101" customFormat="1">
      <c r="A114" s="115"/>
      <c r="H114" s="100"/>
      <c r="I114" s="100"/>
    </row>
    <row r="115" spans="1:9" s="101" customFormat="1">
      <c r="A115" s="115"/>
      <c r="H115" s="100"/>
      <c r="I115" s="100"/>
    </row>
    <row r="116" spans="1:9" s="101" customFormat="1">
      <c r="A116" s="115"/>
      <c r="H116" s="100"/>
      <c r="I116" s="100"/>
    </row>
    <row r="117" spans="1:9" s="101" customFormat="1">
      <c r="A117" s="115"/>
      <c r="H117" s="100"/>
      <c r="I117" s="100"/>
    </row>
    <row r="118" spans="1:9" s="101" customFormat="1">
      <c r="A118" s="115"/>
      <c r="H118" s="100"/>
      <c r="I118" s="100"/>
    </row>
    <row r="119" spans="1:9" s="101" customFormat="1">
      <c r="A119" s="115"/>
      <c r="H119" s="100"/>
      <c r="I119" s="100"/>
    </row>
    <row r="120" spans="1:9" s="101" customFormat="1">
      <c r="A120" s="115"/>
      <c r="H120" s="100"/>
      <c r="I120" s="100"/>
    </row>
    <row r="121" spans="1:9" s="101" customFormat="1">
      <c r="A121" s="115"/>
      <c r="H121" s="100"/>
      <c r="I121" s="100"/>
    </row>
    <row r="122" spans="1:9" s="101" customFormat="1">
      <c r="A122" s="115"/>
      <c r="H122" s="100"/>
      <c r="I122" s="100"/>
    </row>
    <row r="123" spans="1:9" s="101" customFormat="1">
      <c r="A123" s="115"/>
      <c r="H123" s="100"/>
      <c r="I123" s="100"/>
    </row>
    <row r="124" spans="1:9" s="101" customFormat="1">
      <c r="A124" s="115"/>
      <c r="H124" s="100"/>
      <c r="I124" s="100"/>
    </row>
    <row r="125" spans="1:9" s="101" customFormat="1">
      <c r="A125" s="115"/>
      <c r="H125" s="100"/>
      <c r="I125" s="100"/>
    </row>
    <row r="126" spans="1:9" s="101" customFormat="1">
      <c r="A126" s="115"/>
      <c r="H126" s="100"/>
      <c r="I126" s="100"/>
    </row>
    <row r="127" spans="1:9" s="101" customFormat="1">
      <c r="A127" s="115"/>
      <c r="H127" s="100"/>
      <c r="I127" s="100"/>
    </row>
    <row r="128" spans="1:9" s="101" customFormat="1">
      <c r="A128" s="115"/>
      <c r="H128" s="100"/>
      <c r="I128" s="100"/>
    </row>
    <row r="129" spans="1:9" s="101" customFormat="1">
      <c r="A129" s="115"/>
      <c r="H129" s="100"/>
      <c r="I129" s="100"/>
    </row>
    <row r="130" spans="1:9" s="101" customFormat="1">
      <c r="A130" s="115"/>
      <c r="H130" s="100"/>
      <c r="I130" s="100"/>
    </row>
    <row r="131" spans="1:9" s="101" customFormat="1">
      <c r="A131" s="115"/>
      <c r="H131" s="100"/>
      <c r="I131" s="100"/>
    </row>
    <row r="132" spans="1:9" s="101" customFormat="1">
      <c r="A132" s="115"/>
      <c r="H132" s="100"/>
      <c r="I132" s="100"/>
    </row>
    <row r="133" spans="1:9" s="101" customFormat="1">
      <c r="A133" s="115"/>
      <c r="H133" s="100"/>
      <c r="I133" s="100"/>
    </row>
    <row r="134" spans="1:9" s="101" customFormat="1">
      <c r="A134" s="115"/>
      <c r="H134" s="100"/>
      <c r="I134" s="100"/>
    </row>
    <row r="135" spans="1:9" s="101" customFormat="1">
      <c r="A135" s="115"/>
      <c r="H135" s="100"/>
      <c r="I135" s="100"/>
    </row>
    <row r="136" spans="1:9" s="101" customFormat="1">
      <c r="A136" s="115"/>
      <c r="H136" s="100"/>
      <c r="I136" s="100"/>
    </row>
    <row r="137" spans="1:9" s="101" customFormat="1">
      <c r="A137" s="115"/>
      <c r="H137" s="100"/>
      <c r="I137" s="100"/>
    </row>
    <row r="138" spans="1:9" s="101" customFormat="1">
      <c r="A138" s="115"/>
      <c r="H138" s="100"/>
      <c r="I138" s="100"/>
    </row>
    <row r="139" spans="1:9" s="101" customFormat="1">
      <c r="A139" s="115"/>
      <c r="H139" s="100"/>
      <c r="I139" s="100"/>
    </row>
    <row r="140" spans="1:9" s="101" customFormat="1">
      <c r="A140" s="115"/>
      <c r="H140" s="100"/>
      <c r="I140" s="100"/>
    </row>
    <row r="141" spans="1:9" s="101" customFormat="1">
      <c r="A141" s="115"/>
      <c r="H141" s="100"/>
      <c r="I141" s="100"/>
    </row>
    <row r="142" spans="1:9" s="101" customFormat="1">
      <c r="A142" s="115"/>
      <c r="H142" s="100"/>
      <c r="I142" s="100"/>
    </row>
    <row r="143" spans="1:9" s="101" customFormat="1">
      <c r="A143" s="115"/>
      <c r="H143" s="100"/>
      <c r="I143" s="100"/>
    </row>
    <row r="144" spans="1:9" s="101" customFormat="1">
      <c r="A144" s="115"/>
      <c r="H144" s="100"/>
      <c r="I144" s="100"/>
    </row>
    <row r="145" spans="1:9" s="101" customFormat="1">
      <c r="A145" s="115"/>
      <c r="H145" s="100"/>
      <c r="I145" s="100"/>
    </row>
    <row r="146" spans="1:9" s="101" customFormat="1">
      <c r="A146" s="115"/>
      <c r="H146" s="100"/>
      <c r="I146" s="100"/>
    </row>
    <row r="147" spans="1:9" s="101" customFormat="1">
      <c r="A147" s="115"/>
      <c r="H147" s="100"/>
      <c r="I147" s="100"/>
    </row>
    <row r="148" spans="1:9" s="101" customFormat="1">
      <c r="A148" s="115"/>
      <c r="H148" s="100"/>
      <c r="I148" s="100"/>
    </row>
    <row r="149" spans="1:9" s="101" customFormat="1">
      <c r="A149" s="115"/>
      <c r="H149" s="100"/>
      <c r="I149" s="100"/>
    </row>
    <row r="150" spans="1:9" s="101" customFormat="1">
      <c r="A150" s="115"/>
      <c r="H150" s="100"/>
      <c r="I150" s="100"/>
    </row>
    <row r="151" spans="1:9" s="101" customFormat="1">
      <c r="A151" s="115"/>
      <c r="H151" s="100"/>
      <c r="I151" s="100"/>
    </row>
    <row r="152" spans="1:9" s="101" customFormat="1">
      <c r="A152" s="115"/>
      <c r="H152" s="100"/>
      <c r="I152" s="100"/>
    </row>
    <row r="153" spans="1:9" s="101" customFormat="1">
      <c r="A153" s="115"/>
      <c r="H153" s="100"/>
      <c r="I153" s="100"/>
    </row>
    <row r="154" spans="1:9" s="101" customFormat="1">
      <c r="A154" s="115"/>
      <c r="H154" s="100"/>
      <c r="I154" s="100"/>
    </row>
    <row r="155" spans="1:9" s="101" customFormat="1">
      <c r="A155" s="115"/>
      <c r="H155" s="100"/>
      <c r="I155" s="100"/>
    </row>
    <row r="156" spans="1:9" s="101" customFormat="1">
      <c r="A156" s="115"/>
      <c r="H156" s="100"/>
      <c r="I156" s="100"/>
    </row>
    <row r="157" spans="1:9" s="101" customFormat="1">
      <c r="A157" s="115"/>
      <c r="H157" s="100"/>
      <c r="I157" s="100"/>
    </row>
    <row r="158" spans="1:9" s="101" customFormat="1">
      <c r="A158" s="115"/>
      <c r="H158" s="100"/>
      <c r="I158" s="100"/>
    </row>
    <row r="159" spans="1:9" s="101" customFormat="1">
      <c r="A159" s="115"/>
      <c r="H159" s="100"/>
      <c r="I159" s="100"/>
    </row>
    <row r="160" spans="1:9" s="101" customFormat="1">
      <c r="A160" s="115"/>
      <c r="H160" s="100"/>
      <c r="I160" s="100"/>
    </row>
    <row r="161" spans="1:9" s="101" customFormat="1">
      <c r="A161" s="115"/>
      <c r="H161" s="100"/>
      <c r="I161" s="100"/>
    </row>
    <row r="162" spans="1:9" s="101" customFormat="1">
      <c r="A162" s="115"/>
      <c r="H162" s="100"/>
      <c r="I162" s="100"/>
    </row>
    <row r="163" spans="1:9" s="101" customFormat="1">
      <c r="A163" s="115"/>
      <c r="H163" s="100"/>
      <c r="I163" s="100"/>
    </row>
    <row r="164" spans="1:9" s="101" customFormat="1">
      <c r="A164" s="115"/>
      <c r="H164" s="100"/>
      <c r="I164" s="100"/>
    </row>
    <row r="165" spans="1:9" s="101" customFormat="1">
      <c r="A165" s="115"/>
      <c r="H165" s="100"/>
      <c r="I165" s="100"/>
    </row>
    <row r="166" spans="1:9" s="101" customFormat="1">
      <c r="A166" s="115"/>
      <c r="H166" s="100"/>
      <c r="I166" s="100"/>
    </row>
    <row r="167" spans="1:9" s="101" customFormat="1">
      <c r="A167" s="115"/>
      <c r="H167" s="100"/>
      <c r="I167" s="100"/>
    </row>
    <row r="168" spans="1:9" s="101" customFormat="1">
      <c r="A168" s="115"/>
      <c r="H168" s="100"/>
      <c r="I168" s="100"/>
    </row>
    <row r="169" spans="1:9" s="101" customFormat="1">
      <c r="A169" s="115"/>
      <c r="H169" s="100"/>
      <c r="I169" s="100"/>
    </row>
    <row r="170" spans="1:9" s="101" customFormat="1">
      <c r="A170" s="115"/>
      <c r="H170" s="100"/>
      <c r="I170" s="100"/>
    </row>
    <row r="171" spans="1:9" s="101" customFormat="1">
      <c r="A171" s="115"/>
      <c r="H171" s="100"/>
      <c r="I171" s="100"/>
    </row>
    <row r="172" spans="1:9" s="101" customFormat="1">
      <c r="A172" s="115"/>
      <c r="H172" s="100"/>
      <c r="I172" s="100"/>
    </row>
    <row r="173" spans="1:9" s="101" customFormat="1">
      <c r="A173" s="115"/>
      <c r="H173" s="100"/>
      <c r="I173" s="100"/>
    </row>
    <row r="174" spans="1:9" s="101" customFormat="1">
      <c r="A174" s="115"/>
      <c r="H174" s="100"/>
      <c r="I174" s="100"/>
    </row>
    <row r="175" spans="1:9" s="101" customFormat="1">
      <c r="A175" s="115"/>
      <c r="H175" s="100"/>
      <c r="I175" s="100"/>
    </row>
    <row r="176" spans="1:9" s="101" customFormat="1">
      <c r="A176" s="115"/>
      <c r="H176" s="100"/>
      <c r="I176" s="100"/>
    </row>
    <row r="177" spans="1:9" s="101" customFormat="1">
      <c r="A177" s="115"/>
      <c r="H177" s="100"/>
      <c r="I177" s="100"/>
    </row>
    <row r="178" spans="1:9" s="101" customFormat="1">
      <c r="A178" s="115"/>
      <c r="H178" s="100"/>
      <c r="I178" s="100"/>
    </row>
    <row r="179" spans="1:9" s="101" customFormat="1">
      <c r="A179" s="115"/>
      <c r="H179" s="100"/>
      <c r="I179" s="100"/>
    </row>
    <row r="180" spans="1:9" s="101" customFormat="1">
      <c r="A180" s="115"/>
      <c r="H180" s="100"/>
      <c r="I180" s="100"/>
    </row>
    <row r="181" spans="1:9" s="101" customFormat="1">
      <c r="A181" s="115"/>
      <c r="H181" s="100"/>
      <c r="I181" s="100"/>
    </row>
    <row r="182" spans="1:9" s="101" customFormat="1">
      <c r="A182" s="115"/>
      <c r="H182" s="100"/>
      <c r="I182" s="100"/>
    </row>
    <row r="183" spans="1:9" s="101" customFormat="1">
      <c r="A183" s="115"/>
      <c r="H183" s="100"/>
      <c r="I183" s="100"/>
    </row>
    <row r="184" spans="1:9" s="101" customFormat="1">
      <c r="A184" s="115"/>
      <c r="H184" s="100"/>
      <c r="I184" s="100"/>
    </row>
    <row r="185" spans="1:9" s="101" customFormat="1">
      <c r="A185" s="115"/>
      <c r="H185" s="100"/>
      <c r="I185" s="100"/>
    </row>
    <row r="186" spans="1:9" s="101" customFormat="1">
      <c r="A186" s="115"/>
      <c r="H186" s="100"/>
      <c r="I186" s="100"/>
    </row>
    <row r="187" spans="1:9" s="101" customFormat="1">
      <c r="A187" s="115"/>
      <c r="H187" s="100"/>
      <c r="I187" s="100"/>
    </row>
    <row r="188" spans="1:9" s="101" customFormat="1">
      <c r="A188" s="115"/>
      <c r="H188" s="100"/>
      <c r="I188" s="100"/>
    </row>
    <row r="189" spans="1:9" s="101" customFormat="1">
      <c r="A189" s="115"/>
      <c r="H189" s="100"/>
      <c r="I189" s="100"/>
    </row>
    <row r="190" spans="1:9" s="101" customFormat="1">
      <c r="A190" s="115"/>
      <c r="H190" s="100"/>
      <c r="I190" s="100"/>
    </row>
    <row r="191" spans="1:9" s="101" customFormat="1">
      <c r="A191" s="115"/>
      <c r="H191" s="100"/>
      <c r="I191" s="100"/>
    </row>
  </sheetData>
  <sheetProtection formatCells="0" formatColumns="0" formatRows="0" insertRows="0" deleteRows="0"/>
  <mergeCells count="9">
    <mergeCell ref="A46:H46"/>
    <mergeCell ref="A7:G7"/>
    <mergeCell ref="A20:G20"/>
    <mergeCell ref="A3:G3"/>
    <mergeCell ref="A4:A5"/>
    <mergeCell ref="B4:B5"/>
    <mergeCell ref="D4:G4"/>
    <mergeCell ref="C4:C5"/>
    <mergeCell ref="C44:D44"/>
  </mergeCells>
  <phoneticPr fontId="3" type="noConversion"/>
  <pageMargins left="1.1811023622047243" right="0.43307086614173229" top="0.78740157480314965" bottom="0.78740157480314965" header="0" footer="0"/>
  <pageSetup paperSize="9" scale="5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tabColor indexed="43"/>
  </sheetPr>
  <dimension ref="A1:Q115"/>
  <sheetViews>
    <sheetView view="pageBreakPreview" topLeftCell="A57" zoomScale="75" zoomScaleNormal="75" zoomScaleSheetLayoutView="75" workbookViewId="0">
      <selection sqref="A1:XFD1048576"/>
    </sheetView>
  </sheetViews>
  <sheetFormatPr defaultColWidth="9.1796875" defaultRowHeight="15.5" outlineLevelRow="1"/>
  <cols>
    <col min="1" max="1" width="55.453125" style="9" customWidth="1"/>
    <col min="2" max="2" width="11" style="9" customWidth="1"/>
    <col min="3" max="3" width="13.26953125" style="9" customWidth="1"/>
    <col min="4" max="4" width="11" style="9" customWidth="1"/>
    <col min="5" max="5" width="12.7265625" style="116" customWidth="1"/>
    <col min="6" max="6" width="11.81640625" style="9" customWidth="1"/>
    <col min="7" max="7" width="13" style="9" customWidth="1"/>
    <col min="8" max="16" width="0" style="9" hidden="1" customWidth="1"/>
    <col min="17" max="16384" width="9.1796875" style="9"/>
  </cols>
  <sheetData>
    <row r="1" spans="1:17" ht="16.5" customHeight="1" outlineLevel="1">
      <c r="G1" s="51" t="s">
        <v>237</v>
      </c>
    </row>
    <row r="2" spans="1:17" ht="15.75" customHeight="1" outlineLevel="1">
      <c r="G2" s="51" t="s">
        <v>223</v>
      </c>
    </row>
    <row r="3" spans="1:17">
      <c r="A3" s="244" t="s">
        <v>358</v>
      </c>
      <c r="B3" s="244"/>
      <c r="C3" s="244"/>
      <c r="D3" s="244"/>
      <c r="E3" s="244"/>
      <c r="F3" s="244"/>
      <c r="G3" s="244"/>
    </row>
    <row r="4" spans="1:17" ht="16" customHeight="1">
      <c r="A4" s="51" t="s">
        <v>355</v>
      </c>
      <c r="B4" s="51"/>
      <c r="C4" s="51"/>
      <c r="D4" s="51"/>
      <c r="E4" s="117"/>
      <c r="F4" s="51"/>
      <c r="G4" s="51"/>
    </row>
    <row r="5" spans="1:17" ht="15.75" customHeight="1">
      <c r="A5" s="231" t="s">
        <v>283</v>
      </c>
      <c r="B5" s="264" t="s">
        <v>0</v>
      </c>
      <c r="C5" s="239" t="s">
        <v>346</v>
      </c>
      <c r="D5" s="237" t="s">
        <v>344</v>
      </c>
      <c r="E5" s="237"/>
      <c r="F5" s="237"/>
      <c r="G5" s="265"/>
    </row>
    <row r="6" spans="1:17" ht="31.5" customHeight="1">
      <c r="A6" s="231"/>
      <c r="B6" s="264"/>
      <c r="C6" s="261"/>
      <c r="D6" s="27" t="s">
        <v>261</v>
      </c>
      <c r="E6" s="61" t="s">
        <v>244</v>
      </c>
      <c r="F6" s="28" t="s">
        <v>271</v>
      </c>
      <c r="G6" s="119" t="s">
        <v>272</v>
      </c>
    </row>
    <row r="7" spans="1:17" ht="15.75" customHeight="1">
      <c r="A7" s="27">
        <v>1</v>
      </c>
      <c r="B7" s="118">
        <v>2</v>
      </c>
      <c r="C7" s="27">
        <v>3</v>
      </c>
      <c r="D7" s="27">
        <v>4</v>
      </c>
      <c r="E7" s="120">
        <v>5</v>
      </c>
      <c r="F7" s="27">
        <v>6</v>
      </c>
      <c r="G7" s="121">
        <v>7</v>
      </c>
    </row>
    <row r="8" spans="1:17" s="122" customFormat="1" ht="15.75" customHeight="1">
      <c r="A8" s="256" t="s">
        <v>157</v>
      </c>
      <c r="B8" s="257"/>
      <c r="C8" s="257"/>
      <c r="D8" s="257"/>
      <c r="E8" s="257"/>
      <c r="F8" s="257"/>
      <c r="G8" s="257"/>
    </row>
    <row r="9" spans="1:17" ht="31" customHeight="1">
      <c r="A9" s="38" t="s">
        <v>175</v>
      </c>
      <c r="B9" s="67">
        <v>1170</v>
      </c>
      <c r="C9" s="123">
        <f>ROUND('1. Фін результат'!C116,0)</f>
        <v>58</v>
      </c>
      <c r="D9" s="74">
        <f>'1. Фін результат'!D116</f>
        <v>638</v>
      </c>
      <c r="E9" s="123">
        <f>ROUND('1. Фін результат'!E116,0)</f>
        <v>82</v>
      </c>
      <c r="F9" s="74">
        <f>E9-D9</f>
        <v>-556</v>
      </c>
      <c r="G9" s="124">
        <f>E9/D9*100</f>
        <v>12.852664576802509</v>
      </c>
    </row>
    <row r="10" spans="1:17" ht="15.75" customHeight="1">
      <c r="A10" s="38" t="s">
        <v>176</v>
      </c>
      <c r="B10" s="125"/>
      <c r="C10" s="126"/>
      <c r="D10" s="30"/>
      <c r="E10" s="31"/>
      <c r="F10" s="30"/>
      <c r="G10" s="127"/>
    </row>
    <row r="11" spans="1:17" ht="15.65" customHeight="1">
      <c r="A11" s="38" t="s">
        <v>179</v>
      </c>
      <c r="B11" s="26">
        <v>3000</v>
      </c>
      <c r="C11" s="128">
        <f>'1. Фін результат'!C142</f>
        <v>218</v>
      </c>
      <c r="D11" s="30">
        <f>'1. Фін результат'!D142</f>
        <v>283</v>
      </c>
      <c r="E11" s="30">
        <f>'1. Фін результат'!E142</f>
        <v>324.5</v>
      </c>
      <c r="F11" s="74">
        <f t="shared" ref="F11:F12" si="0">E11-D11</f>
        <v>41.5</v>
      </c>
      <c r="G11" s="124">
        <f t="shared" ref="G11" si="1">E11/D11*100</f>
        <v>114.66431095406359</v>
      </c>
      <c r="H11" s="9" t="s">
        <v>520</v>
      </c>
    </row>
    <row r="12" spans="1:17" ht="15.75" customHeight="1">
      <c r="A12" s="38" t="s">
        <v>180</v>
      </c>
      <c r="B12" s="26">
        <v>3010</v>
      </c>
      <c r="C12" s="128">
        <f>C13</f>
        <v>1794</v>
      </c>
      <c r="D12" s="30"/>
      <c r="E12" s="30">
        <f>E13</f>
        <v>-803</v>
      </c>
      <c r="F12" s="129">
        <f t="shared" si="0"/>
        <v>-803</v>
      </c>
      <c r="G12" s="130"/>
      <c r="Q12" s="9">
        <v>1595</v>
      </c>
    </row>
    <row r="13" spans="1:17" ht="15.75" customHeight="1">
      <c r="A13" s="38" t="s">
        <v>485</v>
      </c>
      <c r="B13" s="26" t="s">
        <v>484</v>
      </c>
      <c r="C13" s="128">
        <v>1794</v>
      </c>
      <c r="D13" s="30"/>
      <c r="E13" s="30">
        <v>-803</v>
      </c>
      <c r="F13" s="131"/>
      <c r="G13" s="132"/>
      <c r="H13" s="9" t="s">
        <v>521</v>
      </c>
      <c r="Q13" s="9">
        <v>1595</v>
      </c>
    </row>
    <row r="14" spans="1:17" ht="31.5" customHeight="1">
      <c r="A14" s="38" t="s">
        <v>181</v>
      </c>
      <c r="B14" s="26">
        <v>3020</v>
      </c>
      <c r="C14" s="128">
        <v>0</v>
      </c>
      <c r="D14" s="128">
        <v>0</v>
      </c>
      <c r="E14" s="30">
        <v>0</v>
      </c>
      <c r="F14" s="131"/>
      <c r="G14" s="132"/>
    </row>
    <row r="15" spans="1:17" ht="31.5" customHeight="1">
      <c r="A15" s="38" t="s">
        <v>182</v>
      </c>
      <c r="B15" s="26">
        <v>3030</v>
      </c>
      <c r="C15" s="128">
        <f>C16+C17+C19+C20</f>
        <v>0</v>
      </c>
      <c r="D15" s="30">
        <f>D16+D17+D19+D20</f>
        <v>-283</v>
      </c>
      <c r="E15" s="30">
        <f>E16+E17+E19+E20+E18</f>
        <v>0</v>
      </c>
      <c r="F15" s="129">
        <f>E15-D15</f>
        <v>283</v>
      </c>
      <c r="G15" s="130">
        <f>E15/D15*100</f>
        <v>0</v>
      </c>
    </row>
    <row r="16" spans="1:17" ht="33.75" customHeight="1">
      <c r="A16" s="133" t="s">
        <v>563</v>
      </c>
      <c r="B16" s="26" t="s">
        <v>435</v>
      </c>
      <c r="C16" s="43">
        <v>0</v>
      </c>
      <c r="D16" s="85"/>
      <c r="E16" s="39">
        <v>0</v>
      </c>
      <c r="F16" s="134"/>
      <c r="G16" s="135"/>
      <c r="H16" s="9">
        <v>-1000</v>
      </c>
    </row>
    <row r="17" spans="1:17" ht="35.5" customHeight="1">
      <c r="A17" s="38" t="s">
        <v>565</v>
      </c>
      <c r="B17" s="26" t="s">
        <v>436</v>
      </c>
      <c r="C17" s="43"/>
      <c r="D17" s="85">
        <v>-283</v>
      </c>
      <c r="E17" s="43"/>
      <c r="F17" s="129"/>
      <c r="G17" s="130"/>
      <c r="H17" s="9">
        <v>-1005</v>
      </c>
    </row>
    <row r="18" spans="1:17" ht="31.5" hidden="1" customHeight="1">
      <c r="A18" s="38" t="s">
        <v>566</v>
      </c>
      <c r="B18" s="26" t="s">
        <v>437</v>
      </c>
      <c r="C18" s="43">
        <f>'2. Розрахунки з бюджетом'!C12+'2. Розрахунки з бюджетом'!C13++'2. Розрахунки з бюджетом'!C14+'2. Розрахунки з бюджетом'!C15+'2. Розрахунки з бюджетом'!C16+'2. Розрахунки з бюджетом'!C17</f>
        <v>0</v>
      </c>
      <c r="D18" s="85"/>
      <c r="E18" s="43">
        <f>'2. Розрахунки з бюджетом'!E12+'2. Розрахунки з бюджетом'!E13+'2. Розрахунки з бюджетом'!E14+'2. Розрахунки з бюджетом'!E15+'2. Розрахунки з бюджетом'!E16+'2. Розрахунки з бюджетом'!E17</f>
        <v>0</v>
      </c>
      <c r="F18" s="134"/>
      <c r="G18" s="135"/>
    </row>
    <row r="19" spans="1:17" ht="31.5" hidden="1" customHeight="1">
      <c r="A19" s="38" t="s">
        <v>564</v>
      </c>
      <c r="B19" s="26" t="s">
        <v>516</v>
      </c>
      <c r="C19" s="43"/>
      <c r="D19" s="85"/>
      <c r="E19" s="43"/>
      <c r="F19" s="134"/>
      <c r="G19" s="135"/>
    </row>
    <row r="20" spans="1:17" ht="15.65" hidden="1" customHeight="1">
      <c r="A20" s="38" t="s">
        <v>567</v>
      </c>
      <c r="B20" s="26" t="s">
        <v>492</v>
      </c>
      <c r="C20" s="43"/>
      <c r="D20" s="85"/>
      <c r="E20" s="43"/>
      <c r="F20" s="134"/>
      <c r="G20" s="135"/>
    </row>
    <row r="21" spans="1:17" ht="31.5" customHeight="1">
      <c r="A21" s="105" t="s">
        <v>252</v>
      </c>
      <c r="B21" s="106">
        <v>3040</v>
      </c>
      <c r="C21" s="136">
        <f>C9+C11+C12+C14+C15</f>
        <v>2070</v>
      </c>
      <c r="D21" s="107">
        <f>D9+D11+D12+D14+D15</f>
        <v>638</v>
      </c>
      <c r="E21" s="136">
        <f>E9+E11+E12+E14+E15</f>
        <v>-396.5</v>
      </c>
      <c r="F21" s="137">
        <f>E21-D21</f>
        <v>-1034.5</v>
      </c>
      <c r="G21" s="138">
        <f>E21/D21*100</f>
        <v>-62.147335423197489</v>
      </c>
    </row>
    <row r="22" spans="1:17" ht="31">
      <c r="A22" s="38" t="s">
        <v>183</v>
      </c>
      <c r="B22" s="26">
        <v>3050</v>
      </c>
      <c r="C22" s="128">
        <f>C23+C24+C25</f>
        <v>-2719.4</v>
      </c>
      <c r="D22" s="30">
        <v>0</v>
      </c>
      <c r="E22" s="128">
        <f>E23+E24+E25</f>
        <v>-346.59999999999985</v>
      </c>
      <c r="F22" s="129">
        <f t="shared" ref="F22:F26" si="2">E22-D22</f>
        <v>-346.59999999999985</v>
      </c>
      <c r="G22" s="130" t="e">
        <f t="shared" ref="G22:G26" si="3">E22/D22*100</f>
        <v>#DIV/0!</v>
      </c>
      <c r="H22" s="9" t="s">
        <v>522</v>
      </c>
    </row>
    <row r="23" spans="1:17" ht="28.5" customHeight="1">
      <c r="A23" s="38" t="s">
        <v>556</v>
      </c>
      <c r="B23" s="26" t="s">
        <v>438</v>
      </c>
      <c r="C23" s="43">
        <f>1046.2-919.8</f>
        <v>126.40000000000009</v>
      </c>
      <c r="D23" s="85">
        <v>0</v>
      </c>
      <c r="E23" s="43">
        <v>1956</v>
      </c>
      <c r="F23" s="129">
        <f t="shared" si="2"/>
        <v>1956</v>
      </c>
      <c r="G23" s="130" t="e">
        <f t="shared" si="3"/>
        <v>#DIV/0!</v>
      </c>
      <c r="Q23" s="9">
        <v>-1100</v>
      </c>
    </row>
    <row r="24" spans="1:17" ht="19.5" customHeight="1">
      <c r="A24" s="38" t="s">
        <v>569</v>
      </c>
      <c r="B24" s="26" t="s">
        <v>558</v>
      </c>
      <c r="C24" s="43">
        <f>635.1-3353.4</f>
        <v>-2718.3</v>
      </c>
      <c r="D24" s="85"/>
      <c r="E24" s="43">
        <v>-2336.6999999999998</v>
      </c>
      <c r="F24" s="129"/>
      <c r="G24" s="130"/>
      <c r="Q24" s="9" t="s">
        <v>568</v>
      </c>
    </row>
    <row r="25" spans="1:17" ht="19.5" customHeight="1">
      <c r="A25" s="38" t="s">
        <v>557</v>
      </c>
      <c r="B25" s="26" t="s">
        <v>559</v>
      </c>
      <c r="C25" s="43">
        <f>169.5-297</f>
        <v>-127.5</v>
      </c>
      <c r="D25" s="85"/>
      <c r="E25" s="43">
        <f>320.2-286.1</f>
        <v>34.099999999999966</v>
      </c>
      <c r="F25" s="129"/>
      <c r="G25" s="130"/>
    </row>
    <row r="26" spans="1:17" ht="31.5" customHeight="1">
      <c r="A26" s="38" t="s">
        <v>184</v>
      </c>
      <c r="B26" s="26">
        <v>3060</v>
      </c>
      <c r="C26" s="128">
        <f>C27</f>
        <v>1368.5</v>
      </c>
      <c r="D26" s="30">
        <v>0</v>
      </c>
      <c r="E26" s="128">
        <f>E27</f>
        <v>1828.1000000000004</v>
      </c>
      <c r="F26" s="129">
        <f t="shared" si="2"/>
        <v>1828.1000000000004</v>
      </c>
      <c r="G26" s="130" t="e">
        <f t="shared" si="3"/>
        <v>#DIV/0!</v>
      </c>
    </row>
    <row r="27" spans="1:17" ht="46.5">
      <c r="A27" s="38" t="s">
        <v>439</v>
      </c>
      <c r="B27" s="26" t="s">
        <v>440</v>
      </c>
      <c r="C27" s="43">
        <f>3269.6-1901.1</f>
        <v>1368.5</v>
      </c>
      <c r="D27" s="85">
        <v>0</v>
      </c>
      <c r="E27" s="43">
        <f>4840.1-3012</f>
        <v>1828.1000000000004</v>
      </c>
      <c r="F27" s="134"/>
      <c r="G27" s="135"/>
      <c r="H27" s="9" t="s">
        <v>523</v>
      </c>
    </row>
    <row r="28" spans="1:17" ht="15.65" customHeight="1">
      <c r="A28" s="105" t="s">
        <v>177</v>
      </c>
      <c r="B28" s="106">
        <v>3070</v>
      </c>
      <c r="C28" s="136">
        <f>C21+C22+C26</f>
        <v>719.09999999999991</v>
      </c>
      <c r="D28" s="107">
        <f>D21+D22+D26</f>
        <v>638</v>
      </c>
      <c r="E28" s="136">
        <f>E21+E22+E26</f>
        <v>1085.0000000000005</v>
      </c>
      <c r="F28" s="137">
        <f>E28-D28</f>
        <v>447.00000000000045</v>
      </c>
      <c r="G28" s="130">
        <f>E28/D28*100</f>
        <v>170.06269592476494</v>
      </c>
    </row>
    <row r="29" spans="1:17" ht="15.65" customHeight="1">
      <c r="A29" s="38" t="s">
        <v>178</v>
      </c>
      <c r="B29" s="26">
        <v>3080</v>
      </c>
      <c r="C29" s="128">
        <f>'1. Фін результат'!C117</f>
        <v>0</v>
      </c>
      <c r="D29" s="30">
        <f>'1. Фін результат'!D117</f>
        <v>0</v>
      </c>
      <c r="E29" s="128">
        <f>'1. Фін результат'!E117</f>
        <v>0</v>
      </c>
      <c r="F29" s="129">
        <f t="shared" ref="F29:F30" si="4">E29-D29</f>
        <v>0</v>
      </c>
      <c r="G29" s="130"/>
    </row>
    <row r="30" spans="1:17" ht="15.65" customHeight="1">
      <c r="A30" s="33" t="s">
        <v>156</v>
      </c>
      <c r="B30" s="106">
        <v>3090</v>
      </c>
      <c r="C30" s="136">
        <f>C28-C29</f>
        <v>719.09999999999991</v>
      </c>
      <c r="D30" s="107">
        <f>D28-D29</f>
        <v>638</v>
      </c>
      <c r="E30" s="136">
        <f>E28-E29</f>
        <v>1085.0000000000005</v>
      </c>
      <c r="F30" s="137">
        <f t="shared" si="4"/>
        <v>447.00000000000045</v>
      </c>
      <c r="G30" s="138">
        <f t="shared" ref="G30" si="5">E30/D30*100</f>
        <v>170.06269592476494</v>
      </c>
    </row>
    <row r="31" spans="1:17" ht="15.75" customHeight="1">
      <c r="A31" s="256" t="s">
        <v>158</v>
      </c>
      <c r="B31" s="257"/>
      <c r="C31" s="257"/>
      <c r="D31" s="257"/>
      <c r="E31" s="257"/>
      <c r="F31" s="257"/>
      <c r="G31" s="257"/>
    </row>
    <row r="32" spans="1:17" ht="15.75" customHeight="1">
      <c r="A32" s="105" t="s">
        <v>284</v>
      </c>
      <c r="B32" s="67"/>
      <c r="C32" s="123"/>
      <c r="D32" s="74"/>
      <c r="E32" s="123"/>
      <c r="F32" s="129"/>
      <c r="G32" s="130"/>
    </row>
    <row r="33" spans="1:17" ht="15.75" customHeight="1">
      <c r="A33" s="37" t="s">
        <v>32</v>
      </c>
      <c r="B33" s="67">
        <v>3200</v>
      </c>
      <c r="C33" s="123"/>
      <c r="D33" s="74"/>
      <c r="E33" s="123"/>
      <c r="F33" s="129"/>
      <c r="G33" s="130"/>
    </row>
    <row r="34" spans="1:17" ht="15.65" customHeight="1">
      <c r="A34" s="37" t="s">
        <v>33</v>
      </c>
      <c r="B34" s="67">
        <v>3210</v>
      </c>
      <c r="C34" s="123"/>
      <c r="D34" s="74"/>
      <c r="E34" s="123"/>
      <c r="F34" s="129"/>
      <c r="G34" s="130"/>
    </row>
    <row r="35" spans="1:17" ht="15.75" customHeight="1">
      <c r="A35" s="37" t="s">
        <v>54</v>
      </c>
      <c r="B35" s="67">
        <v>3220</v>
      </c>
      <c r="C35" s="123"/>
      <c r="D35" s="74"/>
      <c r="E35" s="123"/>
      <c r="F35" s="129"/>
      <c r="G35" s="130"/>
    </row>
    <row r="36" spans="1:17" ht="15.65" customHeight="1">
      <c r="A36" s="38" t="s">
        <v>161</v>
      </c>
      <c r="B36" s="67"/>
      <c r="C36" s="123"/>
      <c r="D36" s="74"/>
      <c r="E36" s="123"/>
      <c r="F36" s="129"/>
      <c r="G36" s="130"/>
    </row>
    <row r="37" spans="1:17">
      <c r="A37" s="37" t="s">
        <v>162</v>
      </c>
      <c r="B37" s="67">
        <v>3230</v>
      </c>
      <c r="C37" s="123"/>
      <c r="D37" s="74"/>
      <c r="E37" s="123"/>
      <c r="F37" s="129"/>
      <c r="G37" s="130"/>
    </row>
    <row r="38" spans="1:17" ht="15.75" customHeight="1">
      <c r="A38" s="37" t="s">
        <v>163</v>
      </c>
      <c r="B38" s="67">
        <v>3240</v>
      </c>
      <c r="C38" s="123"/>
      <c r="D38" s="74"/>
      <c r="E38" s="123"/>
      <c r="F38" s="129"/>
      <c r="G38" s="130"/>
    </row>
    <row r="39" spans="1:17" ht="15.75" customHeight="1">
      <c r="A39" s="38" t="s">
        <v>164</v>
      </c>
      <c r="B39" s="67">
        <v>3250</v>
      </c>
      <c r="C39" s="123"/>
      <c r="D39" s="74"/>
      <c r="E39" s="123"/>
      <c r="F39" s="129"/>
      <c r="G39" s="130"/>
    </row>
    <row r="40" spans="1:17" ht="15.75" customHeight="1">
      <c r="A40" s="37" t="s">
        <v>118</v>
      </c>
      <c r="B40" s="67">
        <v>3260</v>
      </c>
      <c r="C40" s="123"/>
      <c r="D40" s="74"/>
      <c r="E40" s="123"/>
      <c r="F40" s="129"/>
      <c r="G40" s="130"/>
    </row>
    <row r="41" spans="1:17" ht="15.65" customHeight="1">
      <c r="A41" s="105" t="s">
        <v>285</v>
      </c>
      <c r="B41" s="67"/>
      <c r="C41" s="123"/>
      <c r="D41" s="74"/>
      <c r="E41" s="123"/>
      <c r="F41" s="129"/>
      <c r="G41" s="130"/>
    </row>
    <row r="42" spans="1:17" ht="31" customHeight="1">
      <c r="A42" s="37" t="s">
        <v>119</v>
      </c>
      <c r="B42" s="67">
        <v>3270</v>
      </c>
      <c r="C42" s="123">
        <f>C43+C44</f>
        <v>217</v>
      </c>
      <c r="D42" s="74">
        <v>136</v>
      </c>
      <c r="E42" s="123">
        <f>E43+E44</f>
        <v>717.6</v>
      </c>
      <c r="F42" s="129">
        <f t="shared" ref="F42" si="6">E42-D42</f>
        <v>581.6</v>
      </c>
      <c r="G42" s="130">
        <f t="shared" ref="G42" si="7">E42/D42*100</f>
        <v>527.64705882352939</v>
      </c>
    </row>
    <row r="43" spans="1:17" ht="25" customHeight="1">
      <c r="A43" s="37"/>
      <c r="B43" s="67" t="s">
        <v>456</v>
      </c>
      <c r="C43" s="123"/>
      <c r="D43" s="74"/>
      <c r="E43" s="123"/>
      <c r="F43" s="129">
        <f t="shared" ref="F43" si="8">E43-D43</f>
        <v>0</v>
      </c>
      <c r="G43" s="130" t="e">
        <f t="shared" ref="G43" si="9">E43/D43*100</f>
        <v>#DIV/0!</v>
      </c>
    </row>
    <row r="44" spans="1:17" ht="33.75" customHeight="1">
      <c r="A44" s="37" t="s">
        <v>493</v>
      </c>
      <c r="B44" s="67" t="s">
        <v>495</v>
      </c>
      <c r="C44" s="123">
        <f>'4. Кап. інвестиції'!C8</f>
        <v>217</v>
      </c>
      <c r="D44" s="74">
        <v>136</v>
      </c>
      <c r="E44" s="123">
        <v>717.6</v>
      </c>
      <c r="F44" s="129"/>
      <c r="G44" s="130"/>
      <c r="H44" s="9">
        <v>1011</v>
      </c>
      <c r="Q44" s="9">
        <v>1011</v>
      </c>
    </row>
    <row r="45" spans="1:17">
      <c r="A45" s="37" t="s">
        <v>120</v>
      </c>
      <c r="B45" s="67">
        <v>3280</v>
      </c>
      <c r="C45" s="123">
        <f>C46</f>
        <v>0</v>
      </c>
      <c r="D45" s="74">
        <f>D46</f>
        <v>0</v>
      </c>
      <c r="E45" s="123"/>
      <c r="F45" s="129"/>
      <c r="G45" s="130"/>
    </row>
    <row r="46" spans="1:17" ht="31" customHeight="1">
      <c r="A46" s="37" t="s">
        <v>489</v>
      </c>
      <c r="B46" s="67" t="s">
        <v>488</v>
      </c>
      <c r="C46" s="123"/>
      <c r="D46" s="74"/>
      <c r="E46" s="123"/>
      <c r="F46" s="129"/>
      <c r="G46" s="130"/>
    </row>
    <row r="47" spans="1:17" ht="31">
      <c r="A47" s="37" t="s">
        <v>121</v>
      </c>
      <c r="B47" s="67">
        <v>3290</v>
      </c>
      <c r="C47" s="123"/>
      <c r="D47" s="74"/>
      <c r="E47" s="123"/>
      <c r="F47" s="129"/>
      <c r="G47" s="130"/>
    </row>
    <row r="48" spans="1:17">
      <c r="A48" s="37" t="s">
        <v>55</v>
      </c>
      <c r="B48" s="67">
        <v>3300</v>
      </c>
      <c r="C48" s="123"/>
      <c r="D48" s="74"/>
      <c r="E48" s="123"/>
      <c r="F48" s="129"/>
      <c r="G48" s="130"/>
    </row>
    <row r="49" spans="1:8">
      <c r="A49" s="37" t="s">
        <v>113</v>
      </c>
      <c r="B49" s="67">
        <v>3310</v>
      </c>
      <c r="C49" s="123">
        <f>C50</f>
        <v>241</v>
      </c>
      <c r="D49" s="74"/>
      <c r="E49" s="123">
        <f>E50</f>
        <v>0</v>
      </c>
      <c r="F49" s="129"/>
      <c r="G49" s="130"/>
    </row>
    <row r="50" spans="1:8" ht="31.5" customHeight="1">
      <c r="A50" s="37" t="s">
        <v>441</v>
      </c>
      <c r="B50" s="26" t="s">
        <v>442</v>
      </c>
      <c r="C50" s="86">
        <f>'4. Кап. інвестиції'!C9</f>
        <v>241</v>
      </c>
      <c r="D50" s="85"/>
      <c r="E50" s="86"/>
      <c r="F50" s="139"/>
      <c r="G50" s="140"/>
    </row>
    <row r="51" spans="1:8">
      <c r="A51" s="38" t="s">
        <v>159</v>
      </c>
      <c r="B51" s="67">
        <v>3320</v>
      </c>
      <c r="C51" s="123">
        <f>C33+C34+C35+C36+C39+C40-C42-C45-C47-C48-C49+C37</f>
        <v>-458</v>
      </c>
      <c r="D51" s="74">
        <f>D33+D34+D35+D36+D39+D40-D42-D45-D47-D48-D49</f>
        <v>-136</v>
      </c>
      <c r="E51" s="123">
        <f>E33+E34+E35+E36+E39+E40-E42-E45-E47-E48-E49+E37</f>
        <v>-717.6</v>
      </c>
      <c r="F51" s="129">
        <f t="shared" ref="F51" si="10">E51-D51</f>
        <v>-581.6</v>
      </c>
      <c r="G51" s="130">
        <f t="shared" ref="G51" si="11">E51/D51*100</f>
        <v>527.64705882352939</v>
      </c>
    </row>
    <row r="52" spans="1:8" ht="15.75" customHeight="1">
      <c r="A52" s="256" t="s">
        <v>160</v>
      </c>
      <c r="B52" s="257"/>
      <c r="C52" s="257"/>
      <c r="D52" s="257"/>
      <c r="E52" s="257"/>
      <c r="F52" s="257"/>
      <c r="G52" s="257"/>
    </row>
    <row r="53" spans="1:8">
      <c r="A53" s="105" t="s">
        <v>284</v>
      </c>
      <c r="B53" s="67"/>
      <c r="C53" s="141"/>
      <c r="D53" s="74"/>
      <c r="E53" s="141"/>
      <c r="F53" s="129"/>
      <c r="G53" s="130"/>
    </row>
    <row r="54" spans="1:8" ht="15.65" customHeight="1">
      <c r="A54" s="38" t="s">
        <v>165</v>
      </c>
      <c r="B54" s="67">
        <v>3400</v>
      </c>
      <c r="C54" s="141"/>
      <c r="D54" s="74"/>
      <c r="E54" s="141"/>
      <c r="F54" s="129"/>
      <c r="G54" s="130"/>
    </row>
    <row r="55" spans="1:8" ht="31">
      <c r="A55" s="37" t="s">
        <v>92</v>
      </c>
      <c r="B55" s="125"/>
      <c r="C55" s="142"/>
      <c r="D55" s="143"/>
      <c r="E55" s="142"/>
      <c r="F55" s="144"/>
      <c r="G55" s="145"/>
    </row>
    <row r="56" spans="1:8">
      <c r="A56" s="37" t="s">
        <v>91</v>
      </c>
      <c r="B56" s="67">
        <v>3410</v>
      </c>
      <c r="C56" s="141"/>
      <c r="D56" s="74"/>
      <c r="E56" s="141"/>
      <c r="F56" s="129"/>
      <c r="G56" s="130"/>
    </row>
    <row r="57" spans="1:8">
      <c r="A57" s="37" t="s">
        <v>96</v>
      </c>
      <c r="B57" s="26">
        <v>3420</v>
      </c>
      <c r="C57" s="126"/>
      <c r="D57" s="30"/>
      <c r="E57" s="126"/>
      <c r="F57" s="131"/>
      <c r="G57" s="132"/>
    </row>
    <row r="58" spans="1:8" ht="15.75" customHeight="1">
      <c r="A58" s="37" t="s">
        <v>122</v>
      </c>
      <c r="B58" s="67">
        <v>3430</v>
      </c>
      <c r="C58" s="141"/>
      <c r="D58" s="74"/>
      <c r="E58" s="141"/>
      <c r="F58" s="129"/>
      <c r="G58" s="130"/>
    </row>
    <row r="59" spans="1:8" ht="31">
      <c r="A59" s="37" t="s">
        <v>94</v>
      </c>
      <c r="B59" s="67"/>
      <c r="C59" s="141"/>
      <c r="D59" s="74"/>
      <c r="E59" s="141"/>
      <c r="F59" s="129"/>
      <c r="G59" s="130"/>
    </row>
    <row r="60" spans="1:8" ht="15.65" customHeight="1">
      <c r="A60" s="37" t="s">
        <v>91</v>
      </c>
      <c r="B60" s="26">
        <v>3440</v>
      </c>
      <c r="C60" s="126"/>
      <c r="D60" s="30"/>
      <c r="E60" s="126"/>
      <c r="F60" s="131"/>
      <c r="G60" s="132"/>
    </row>
    <row r="61" spans="1:8" ht="15.75" customHeight="1">
      <c r="A61" s="37" t="s">
        <v>96</v>
      </c>
      <c r="B61" s="26">
        <v>3450</v>
      </c>
      <c r="C61" s="126"/>
      <c r="D61" s="30"/>
      <c r="E61" s="126"/>
      <c r="F61" s="131"/>
      <c r="G61" s="132"/>
    </row>
    <row r="62" spans="1:8">
      <c r="A62" s="37" t="s">
        <v>122</v>
      </c>
      <c r="B62" s="26">
        <v>3460</v>
      </c>
      <c r="C62" s="126"/>
      <c r="D62" s="30"/>
      <c r="E62" s="126"/>
      <c r="F62" s="131"/>
      <c r="G62" s="132"/>
    </row>
    <row r="63" spans="1:8" ht="15.65" customHeight="1">
      <c r="A63" s="37" t="s">
        <v>117</v>
      </c>
      <c r="B63" s="26">
        <v>3470</v>
      </c>
      <c r="C63" s="126"/>
      <c r="D63" s="30">
        <f>D64</f>
        <v>0</v>
      </c>
      <c r="E63" s="126">
        <f>E64</f>
        <v>0</v>
      </c>
      <c r="F63" s="131"/>
      <c r="G63" s="132"/>
    </row>
    <row r="64" spans="1:8" ht="15.75" customHeight="1">
      <c r="A64" s="37" t="s">
        <v>1</v>
      </c>
      <c r="B64" s="26" t="s">
        <v>455</v>
      </c>
      <c r="C64" s="128"/>
      <c r="D64" s="30"/>
      <c r="E64" s="128"/>
      <c r="F64" s="131"/>
      <c r="G64" s="132"/>
      <c r="H64" s="9">
        <v>1525</v>
      </c>
    </row>
    <row r="65" spans="1:8" ht="15.75" customHeight="1">
      <c r="A65" s="37" t="s">
        <v>118</v>
      </c>
      <c r="B65" s="26">
        <v>3480</v>
      </c>
      <c r="C65" s="128">
        <f>C66+C68+C67</f>
        <v>1000</v>
      </c>
      <c r="D65" s="30">
        <f>D66</f>
        <v>0</v>
      </c>
      <c r="E65" s="128">
        <f>E66+E67+E68</f>
        <v>95.4</v>
      </c>
      <c r="F65" s="129">
        <f t="shared" ref="F65" si="12">E65-D65</f>
        <v>95.4</v>
      </c>
      <c r="G65" s="130" t="e">
        <f t="shared" ref="G65" si="13">E65/D65*100</f>
        <v>#DIV/0!</v>
      </c>
    </row>
    <row r="66" spans="1:8" ht="31" customHeight="1">
      <c r="A66" s="37" t="s">
        <v>497</v>
      </c>
      <c r="B66" s="26" t="s">
        <v>443</v>
      </c>
      <c r="C66" s="43">
        <v>1000</v>
      </c>
      <c r="D66" s="85"/>
      <c r="E66" s="43"/>
      <c r="F66" s="134"/>
      <c r="G66" s="135"/>
      <c r="H66" s="9" t="s">
        <v>524</v>
      </c>
    </row>
    <row r="67" spans="1:8" ht="31.5" hidden="1" customHeight="1">
      <c r="A67" s="37" t="s">
        <v>483</v>
      </c>
      <c r="B67" s="26" t="s">
        <v>490</v>
      </c>
      <c r="C67" s="43"/>
      <c r="D67" s="85"/>
      <c r="E67" s="43"/>
      <c r="F67" s="134"/>
      <c r="G67" s="135"/>
    </row>
    <row r="68" spans="1:8" ht="31.5" customHeight="1">
      <c r="A68" s="37" t="s">
        <v>491</v>
      </c>
      <c r="B68" s="26" t="s">
        <v>490</v>
      </c>
      <c r="C68" s="43"/>
      <c r="D68" s="85"/>
      <c r="E68" s="43">
        <v>95.4</v>
      </c>
      <c r="F68" s="134"/>
      <c r="G68" s="135"/>
      <c r="H68" s="9">
        <v>1410</v>
      </c>
    </row>
    <row r="69" spans="1:8" ht="15.75" customHeight="1">
      <c r="A69" s="105" t="s">
        <v>285</v>
      </c>
      <c r="B69" s="67"/>
      <c r="C69" s="141"/>
      <c r="D69" s="74"/>
      <c r="E69" s="141"/>
      <c r="F69" s="129"/>
      <c r="G69" s="130"/>
    </row>
    <row r="70" spans="1:8" ht="31" customHeight="1">
      <c r="A70" s="37" t="s">
        <v>473</v>
      </c>
      <c r="B70" s="67">
        <v>3490</v>
      </c>
      <c r="C70" s="123"/>
      <c r="D70" s="74">
        <f>'2. Розрахунки з бюджетом'!D22</f>
        <v>95.7</v>
      </c>
      <c r="E70" s="123">
        <f>'2. Розрахунки з бюджетом'!E10</f>
        <v>14</v>
      </c>
      <c r="F70" s="129">
        <f t="shared" ref="F70" si="14">E70-D70</f>
        <v>-81.7</v>
      </c>
      <c r="G70" s="130">
        <f t="shared" ref="G70" si="15">E70/D70*100</f>
        <v>14.629049111807731</v>
      </c>
    </row>
    <row r="71" spans="1:8" ht="77.5">
      <c r="A71" s="37" t="s">
        <v>474</v>
      </c>
      <c r="B71" s="67">
        <v>3500</v>
      </c>
      <c r="C71" s="123"/>
      <c r="D71" s="74">
        <f>'2. Розрахунки з бюджетом'!D23</f>
        <v>325.37999999999994</v>
      </c>
      <c r="E71" s="123">
        <f>'2. Розрахунки з бюджетом'!E11</f>
        <v>47</v>
      </c>
      <c r="F71" s="129"/>
      <c r="G71" s="130"/>
    </row>
    <row r="72" spans="1:8" ht="31.5" customHeight="1">
      <c r="A72" s="37" t="s">
        <v>95</v>
      </c>
      <c r="B72" s="67"/>
      <c r="C72" s="141"/>
      <c r="D72" s="74"/>
      <c r="E72" s="141"/>
      <c r="F72" s="129"/>
      <c r="G72" s="130"/>
    </row>
    <row r="73" spans="1:8">
      <c r="A73" s="37" t="s">
        <v>91</v>
      </c>
      <c r="B73" s="26">
        <v>3510</v>
      </c>
      <c r="C73" s="126"/>
      <c r="D73" s="30"/>
      <c r="E73" s="126"/>
      <c r="F73" s="131"/>
      <c r="G73" s="132"/>
    </row>
    <row r="74" spans="1:8" ht="15.65" customHeight="1">
      <c r="A74" s="37" t="s">
        <v>96</v>
      </c>
      <c r="B74" s="26">
        <v>3520</v>
      </c>
      <c r="C74" s="126"/>
      <c r="D74" s="30"/>
      <c r="E74" s="126"/>
      <c r="F74" s="131"/>
      <c r="G74" s="132"/>
    </row>
    <row r="75" spans="1:8">
      <c r="A75" s="37" t="s">
        <v>122</v>
      </c>
      <c r="B75" s="26">
        <v>3530</v>
      </c>
      <c r="C75" s="126"/>
      <c r="D75" s="30"/>
      <c r="E75" s="126"/>
      <c r="F75" s="131"/>
      <c r="G75" s="132"/>
    </row>
    <row r="76" spans="1:8" ht="31">
      <c r="A76" s="37" t="s">
        <v>93</v>
      </c>
      <c r="B76" s="67"/>
      <c r="C76" s="141"/>
      <c r="D76" s="74"/>
      <c r="E76" s="141"/>
      <c r="F76" s="129"/>
      <c r="G76" s="130"/>
    </row>
    <row r="77" spans="1:8" ht="15.75" customHeight="1">
      <c r="A77" s="37" t="s">
        <v>91</v>
      </c>
      <c r="B77" s="26">
        <v>3540</v>
      </c>
      <c r="C77" s="126"/>
      <c r="D77" s="30"/>
      <c r="E77" s="126"/>
      <c r="F77" s="131"/>
      <c r="G77" s="132"/>
    </row>
    <row r="78" spans="1:8">
      <c r="A78" s="37" t="s">
        <v>96</v>
      </c>
      <c r="B78" s="26">
        <v>3550</v>
      </c>
      <c r="C78" s="126"/>
      <c r="D78" s="30"/>
      <c r="E78" s="126"/>
      <c r="F78" s="131"/>
      <c r="G78" s="132"/>
    </row>
    <row r="79" spans="1:8" ht="15.75" customHeight="1">
      <c r="A79" s="37" t="s">
        <v>122</v>
      </c>
      <c r="B79" s="26">
        <v>3560</v>
      </c>
      <c r="C79" s="126"/>
      <c r="D79" s="30"/>
      <c r="E79" s="126"/>
      <c r="F79" s="131"/>
      <c r="G79" s="132"/>
    </row>
    <row r="80" spans="1:8" s="42" customFormat="1" ht="15.75" customHeight="1">
      <c r="A80" s="37" t="s">
        <v>113</v>
      </c>
      <c r="B80" s="26">
        <v>3570</v>
      </c>
      <c r="C80" s="126">
        <f>C81</f>
        <v>185</v>
      </c>
      <c r="D80" s="30"/>
      <c r="E80" s="126"/>
      <c r="F80" s="129">
        <f t="shared" ref="F80" si="16">E80-D80</f>
        <v>0</v>
      </c>
      <c r="G80" s="130" t="e">
        <f t="shared" ref="G80" si="17">E80/D80*100</f>
        <v>#DIV/0!</v>
      </c>
    </row>
    <row r="81" spans="1:9" s="42" customFormat="1" ht="15.75" customHeight="1">
      <c r="A81" s="38" t="s">
        <v>570</v>
      </c>
      <c r="B81" s="26" t="s">
        <v>571</v>
      </c>
      <c r="C81" s="128">
        <v>185</v>
      </c>
      <c r="D81" s="30"/>
      <c r="E81" s="128"/>
      <c r="F81" s="129"/>
      <c r="G81" s="130"/>
    </row>
    <row r="82" spans="1:9" s="42" customFormat="1" ht="15.65" customHeight="1">
      <c r="A82" s="105" t="s">
        <v>486</v>
      </c>
      <c r="B82" s="26">
        <v>3580</v>
      </c>
      <c r="C82" s="30">
        <f>C54+C56+C57+C58+C60+C61+C62+C63+C65-C70-C71-C73-C74-C75-C77-C78-C79-C80</f>
        <v>815</v>
      </c>
      <c r="D82" s="30">
        <f>D54+D56+D57+D58+D60+D61+D62+D63+D65-D70-D71-D73-D74-D75-D77-D78-D79-D80</f>
        <v>-421.07999999999993</v>
      </c>
      <c r="E82" s="128">
        <f>$E$54+$E$56+$E$57+$E$58+$E$60+$E$61+$E$62+$E$63+$E$65-$E$70-$E$71-$E$73-$E$74-$E$75-$E$77-$E$78-$E$79-$E$80</f>
        <v>34.400000000000006</v>
      </c>
      <c r="F82" s="129"/>
      <c r="G82" s="130"/>
    </row>
    <row r="83" spans="1:9" s="42" customFormat="1" ht="15.75" customHeight="1">
      <c r="A83" s="37" t="s">
        <v>487</v>
      </c>
      <c r="B83" s="26"/>
      <c r="C83" s="126"/>
      <c r="D83" s="30"/>
      <c r="E83" s="126"/>
      <c r="F83" s="129"/>
      <c r="G83" s="130"/>
    </row>
    <row r="84" spans="1:9" s="42" customFormat="1" ht="15.75" customHeight="1">
      <c r="A84" s="33" t="s">
        <v>34</v>
      </c>
      <c r="B84" s="26">
        <v>3600</v>
      </c>
      <c r="C84" s="126">
        <v>5915</v>
      </c>
      <c r="D84" s="30">
        <v>7588</v>
      </c>
      <c r="E84" s="128">
        <v>3582.3</v>
      </c>
      <c r="F84" s="129">
        <f t="shared" ref="F84" si="18">E84-D84</f>
        <v>-4005.7</v>
      </c>
      <c r="G84" s="130">
        <f t="shared" ref="G84" si="19">E84/D84*100</f>
        <v>47.210068529256723</v>
      </c>
      <c r="H84" s="42">
        <v>3582</v>
      </c>
    </row>
    <row r="85" spans="1:9" s="42" customFormat="1" ht="15.75" customHeight="1">
      <c r="A85" s="35" t="s">
        <v>286</v>
      </c>
      <c r="B85" s="26">
        <v>3610</v>
      </c>
      <c r="C85" s="126"/>
      <c r="D85" s="30"/>
      <c r="E85" s="126"/>
      <c r="F85" s="131"/>
      <c r="G85" s="132"/>
    </row>
    <row r="86" spans="1:9" s="42" customFormat="1" ht="15.75" customHeight="1">
      <c r="A86" s="33" t="s">
        <v>56</v>
      </c>
      <c r="B86" s="26">
        <v>3620</v>
      </c>
      <c r="C86" s="128">
        <f>C84+C30+C51+C82</f>
        <v>6991.1</v>
      </c>
      <c r="D86" s="30">
        <v>7670</v>
      </c>
      <c r="E86" s="128">
        <f>E84+E30+E51+E82</f>
        <v>3984.1000000000013</v>
      </c>
      <c r="F86" s="129">
        <f t="shared" ref="F86:F87" si="20">E86-D86</f>
        <v>-3685.8999999999987</v>
      </c>
      <c r="G86" s="130">
        <f t="shared" ref="G86:G87" si="21">E86/D86*100</f>
        <v>51.943937418513705</v>
      </c>
      <c r="H86" s="42">
        <v>3984</v>
      </c>
    </row>
    <row r="87" spans="1:9" ht="15.75" customHeight="1">
      <c r="A87" s="33" t="s">
        <v>35</v>
      </c>
      <c r="B87" s="26">
        <v>3630</v>
      </c>
      <c r="C87" s="128">
        <f>C86-C84</f>
        <v>1076.1000000000004</v>
      </c>
      <c r="D87" s="30">
        <f>D86-D84</f>
        <v>82</v>
      </c>
      <c r="E87" s="128">
        <f>E86-E84</f>
        <v>401.80000000000109</v>
      </c>
      <c r="F87" s="129">
        <f t="shared" si="20"/>
        <v>319.80000000000109</v>
      </c>
      <c r="G87" s="130">
        <f t="shared" si="21"/>
        <v>490.00000000000136</v>
      </c>
      <c r="H87" s="128">
        <f>H86-H84</f>
        <v>402</v>
      </c>
      <c r="I87" s="78">
        <f>E86-H86</f>
        <v>0.10000000000127329</v>
      </c>
    </row>
    <row r="88" spans="1:9" ht="15.75" customHeight="1">
      <c r="A88" s="5"/>
      <c r="B88" s="92"/>
      <c r="C88" s="46"/>
      <c r="D88" s="46"/>
      <c r="E88" s="146"/>
      <c r="F88" s="92"/>
      <c r="G88" s="92"/>
    </row>
    <row r="89" spans="1:9" ht="15.75" customHeight="1">
      <c r="A89" s="45"/>
      <c r="B89" s="46"/>
      <c r="C89" s="147"/>
      <c r="D89" s="148"/>
      <c r="E89" s="262"/>
      <c r="F89" s="263"/>
      <c r="G89" s="263"/>
    </row>
    <row r="90" spans="1:9" ht="30.5">
      <c r="A90" s="45" t="s">
        <v>529</v>
      </c>
      <c r="B90" s="46"/>
      <c r="C90" s="5"/>
      <c r="D90" s="5"/>
      <c r="E90" s="11"/>
      <c r="F90" s="47" t="s">
        <v>528</v>
      </c>
      <c r="G90" s="5"/>
    </row>
    <row r="91" spans="1:9">
      <c r="A91" s="23" t="s">
        <v>367</v>
      </c>
      <c r="B91" s="5"/>
      <c r="C91" s="224" t="s">
        <v>79</v>
      </c>
      <c r="D91" s="224"/>
      <c r="E91" s="5"/>
      <c r="F91" s="5" t="s">
        <v>103</v>
      </c>
      <c r="G91" s="5"/>
    </row>
    <row r="92" spans="1:9" ht="15.75" customHeight="1">
      <c r="A92" s="5"/>
      <c r="B92" s="5"/>
      <c r="C92" s="5"/>
      <c r="D92" s="5"/>
      <c r="E92" s="149"/>
      <c r="F92" s="5"/>
      <c r="G92" s="5"/>
    </row>
    <row r="93" spans="1:9" ht="15.65" customHeight="1">
      <c r="A93" s="223"/>
      <c r="B93" s="223"/>
      <c r="C93" s="223"/>
      <c r="D93" s="223"/>
      <c r="E93" s="223"/>
      <c r="F93" s="223"/>
      <c r="G93" s="223"/>
    </row>
    <row r="94" spans="1:9" ht="15.65" customHeight="1"/>
    <row r="96" spans="1:9" ht="15.75" customHeight="1"/>
    <row r="98" ht="15.65" customHeight="1"/>
    <row r="105" ht="15.75" customHeight="1"/>
    <row r="107" ht="15.65" customHeight="1"/>
    <row r="113" ht="15.75" customHeight="1"/>
    <row r="115" ht="15.65" customHeight="1"/>
  </sheetData>
  <sheetProtection formatCells="0" formatColumns="0" formatRows="0" insertRows="0" deleteRows="0"/>
  <mergeCells count="11">
    <mergeCell ref="A8:G8"/>
    <mergeCell ref="A3:G3"/>
    <mergeCell ref="A5:A6"/>
    <mergeCell ref="B5:B6"/>
    <mergeCell ref="D5:G5"/>
    <mergeCell ref="C5:C6"/>
    <mergeCell ref="A93:G93"/>
    <mergeCell ref="C91:D91"/>
    <mergeCell ref="A31:G31"/>
    <mergeCell ref="A52:G52"/>
    <mergeCell ref="E89:G89"/>
  </mergeCells>
  <phoneticPr fontId="3" type="noConversion"/>
  <pageMargins left="1.1811023622047243" right="0.43307086614173229" top="0.78740157480314965" bottom="0.78740157480314965" header="0" footer="0"/>
  <pageSetup paperSize="9" scale="64" fitToHeight="3" orientation="portrait" r:id="rId1"/>
  <headerFooter alignWithMargins="0"/>
  <rowBreaks count="1" manualBreakCount="1">
    <brk id="51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tabColor rgb="FFFFFF99"/>
  </sheetPr>
  <dimension ref="A1:N182"/>
  <sheetViews>
    <sheetView view="pageBreakPreview" topLeftCell="B1" zoomScale="80" zoomScaleNormal="75" zoomScaleSheetLayoutView="80" workbookViewId="0">
      <selection activeCell="I11" sqref="I11"/>
    </sheetView>
  </sheetViews>
  <sheetFormatPr defaultColWidth="9.1796875" defaultRowHeight="15.5"/>
  <cols>
    <col min="1" max="1" width="67.7265625" style="9" customWidth="1"/>
    <col min="2" max="2" width="9.81640625" style="50" customWidth="1"/>
    <col min="3" max="3" width="20.453125" style="50" customWidth="1"/>
    <col min="4" max="4" width="17.7265625" style="50" customWidth="1"/>
    <col min="5" max="5" width="18.453125" style="50" customWidth="1"/>
    <col min="6" max="6" width="18.81640625" style="50" customWidth="1"/>
    <col min="7" max="7" width="18.54296875" style="50" customWidth="1"/>
    <col min="8" max="8" width="9.54296875" style="9" customWidth="1"/>
    <col min="9" max="9" width="9.81640625" style="9" customWidth="1"/>
    <col min="10" max="16384" width="9.1796875" style="9"/>
  </cols>
  <sheetData>
    <row r="1" spans="1:14">
      <c r="A1" s="244" t="s">
        <v>359</v>
      </c>
      <c r="B1" s="244"/>
      <c r="C1" s="244"/>
      <c r="D1" s="244"/>
      <c r="E1" s="244"/>
      <c r="F1" s="244"/>
      <c r="G1" s="244"/>
    </row>
    <row r="2" spans="1:14">
      <c r="A2" s="268"/>
      <c r="B2" s="268"/>
      <c r="C2" s="268"/>
      <c r="D2" s="268"/>
      <c r="E2" s="268"/>
      <c r="F2" s="268"/>
      <c r="G2" s="268"/>
    </row>
    <row r="3" spans="1:14" ht="43.5" customHeight="1">
      <c r="A3" s="266" t="s">
        <v>283</v>
      </c>
      <c r="B3" s="239" t="s">
        <v>18</v>
      </c>
      <c r="C3" s="239" t="s">
        <v>346</v>
      </c>
      <c r="D3" s="265" t="s">
        <v>344</v>
      </c>
      <c r="E3" s="269"/>
      <c r="F3" s="269"/>
      <c r="G3" s="270"/>
    </row>
    <row r="4" spans="1:14" ht="56.25" customHeight="1">
      <c r="A4" s="267"/>
      <c r="B4" s="240"/>
      <c r="C4" s="240"/>
      <c r="D4" s="27" t="s">
        <v>261</v>
      </c>
      <c r="E4" s="27" t="s">
        <v>244</v>
      </c>
      <c r="F4" s="28" t="s">
        <v>271</v>
      </c>
      <c r="G4" s="28" t="s">
        <v>272</v>
      </c>
    </row>
    <row r="5" spans="1:14" ht="18" customHeight="1">
      <c r="A5" s="26">
        <v>1</v>
      </c>
      <c r="B5" s="27">
        <v>2</v>
      </c>
      <c r="C5" s="26">
        <v>3</v>
      </c>
      <c r="D5" s="26">
        <v>4</v>
      </c>
      <c r="E5" s="27">
        <v>5</v>
      </c>
      <c r="F5" s="26">
        <v>6</v>
      </c>
      <c r="G5" s="27">
        <v>7</v>
      </c>
    </row>
    <row r="6" spans="1:14" s="42" customFormat="1" ht="42.75" customHeight="1">
      <c r="A6" s="37" t="s">
        <v>82</v>
      </c>
      <c r="B6" s="67">
        <v>4000</v>
      </c>
      <c r="C6" s="27">
        <v>458</v>
      </c>
      <c r="D6" s="150">
        <v>113</v>
      </c>
      <c r="E6" s="74" t="e">
        <f>SUM(E7:E11)</f>
        <v>#REF!</v>
      </c>
      <c r="F6" s="74" t="e">
        <f>E6-D6</f>
        <v>#REF!</v>
      </c>
      <c r="G6" s="151" t="e">
        <f>E6/D6*100</f>
        <v>#REF!</v>
      </c>
    </row>
    <row r="7" spans="1:14" ht="20.149999999999999" customHeight="1">
      <c r="A7" s="37" t="s">
        <v>1</v>
      </c>
      <c r="B7" s="26" t="s">
        <v>220</v>
      </c>
      <c r="C7" s="74">
        <v>0</v>
      </c>
      <c r="D7" s="40"/>
      <c r="E7" s="30"/>
      <c r="F7" s="30"/>
      <c r="G7" s="31"/>
    </row>
    <row r="8" spans="1:14" ht="18">
      <c r="A8" s="37" t="s">
        <v>2</v>
      </c>
      <c r="B8" s="67">
        <v>4020</v>
      </c>
      <c r="C8" s="30">
        <v>217</v>
      </c>
      <c r="D8" s="40">
        <v>113</v>
      </c>
      <c r="E8" s="74" t="e">
        <f>'6.2. Інша інфо_2'!L32+'6.2. Інша інфо_2'!#REF!</f>
        <v>#REF!</v>
      </c>
      <c r="F8" s="74"/>
      <c r="G8" s="151"/>
      <c r="N8" s="51"/>
    </row>
    <row r="9" spans="1:14">
      <c r="A9" s="37" t="s">
        <v>30</v>
      </c>
      <c r="B9" s="26">
        <v>4030</v>
      </c>
      <c r="C9" s="74">
        <v>241</v>
      </c>
      <c r="D9" s="30"/>
      <c r="E9" s="30">
        <f>'6.2. Інша інфо_2'!L33</f>
        <v>3.2</v>
      </c>
      <c r="F9" s="30"/>
      <c r="G9" s="31"/>
      <c r="M9" s="51"/>
    </row>
    <row r="10" spans="1:14">
      <c r="A10" s="37" t="s">
        <v>3</v>
      </c>
      <c r="B10" s="67">
        <v>4040</v>
      </c>
      <c r="C10" s="30"/>
      <c r="D10" s="74"/>
      <c r="E10" s="74"/>
      <c r="F10" s="74"/>
      <c r="G10" s="151"/>
    </row>
    <row r="11" spans="1:14" ht="31">
      <c r="A11" s="37" t="s">
        <v>71</v>
      </c>
      <c r="B11" s="26">
        <v>4050</v>
      </c>
      <c r="C11" s="74"/>
      <c r="D11" s="30"/>
      <c r="E11" s="30"/>
      <c r="F11" s="30"/>
      <c r="G11" s="31"/>
    </row>
    <row r="12" spans="1:14" ht="20.149999999999999" customHeight="1">
      <c r="B12" s="9"/>
      <c r="C12" s="30"/>
      <c r="D12" s="9"/>
      <c r="E12" s="9"/>
      <c r="F12" s="9"/>
      <c r="G12" s="9"/>
    </row>
    <row r="13" spans="1:14" ht="20.149999999999999" customHeight="1">
      <c r="A13" s="5"/>
      <c r="B13" s="5"/>
      <c r="C13" s="5"/>
      <c r="D13" s="5"/>
      <c r="E13" s="5"/>
      <c r="F13" s="5"/>
      <c r="G13" s="5"/>
    </row>
    <row r="14" spans="1:14">
      <c r="A14" s="7"/>
      <c r="B14" s="5"/>
      <c r="C14" s="5"/>
      <c r="D14" s="5"/>
      <c r="E14" s="5"/>
      <c r="F14" s="5"/>
      <c r="G14" s="5"/>
    </row>
    <row r="15" spans="1:14" ht="30.5">
      <c r="A15" s="45" t="s">
        <v>529</v>
      </c>
      <c r="B15" s="46"/>
      <c r="C15" s="5"/>
      <c r="D15" s="5"/>
      <c r="E15" s="11"/>
      <c r="F15" s="47" t="s">
        <v>528</v>
      </c>
      <c r="G15" s="5"/>
    </row>
    <row r="16" spans="1:14">
      <c r="A16" s="23" t="s">
        <v>367</v>
      </c>
      <c r="B16" s="5"/>
      <c r="C16" s="224" t="s">
        <v>79</v>
      </c>
      <c r="D16" s="224"/>
      <c r="E16" s="5"/>
      <c r="F16" s="5" t="s">
        <v>103</v>
      </c>
      <c r="G16" s="5"/>
    </row>
    <row r="17" spans="1:8">
      <c r="A17" s="11"/>
      <c r="B17" s="7"/>
      <c r="C17" s="7"/>
      <c r="D17" s="7"/>
      <c r="E17" s="7"/>
      <c r="F17" s="7"/>
      <c r="G17" s="7"/>
    </row>
    <row r="18" spans="1:8">
      <c r="A18" s="11"/>
      <c r="B18" s="7"/>
      <c r="C18" s="7"/>
      <c r="D18" s="7"/>
      <c r="E18" s="7"/>
      <c r="F18" s="7"/>
      <c r="G18" s="7"/>
    </row>
    <row r="19" spans="1:8">
      <c r="A19" s="223"/>
      <c r="B19" s="223"/>
      <c r="C19" s="223"/>
      <c r="D19" s="223"/>
      <c r="E19" s="223"/>
      <c r="F19" s="223"/>
      <c r="G19" s="223"/>
      <c r="H19" s="223"/>
    </row>
    <row r="20" spans="1:8">
      <c r="A20" s="49"/>
    </row>
    <row r="21" spans="1:8">
      <c r="A21" s="49"/>
    </row>
    <row r="22" spans="1:8">
      <c r="A22" s="49"/>
    </row>
    <row r="23" spans="1:8">
      <c r="A23" s="49"/>
    </row>
    <row r="24" spans="1:8">
      <c r="A24" s="49"/>
    </row>
    <row r="25" spans="1:8">
      <c r="A25" s="49"/>
    </row>
    <row r="26" spans="1:8">
      <c r="A26" s="49"/>
    </row>
    <row r="27" spans="1:8">
      <c r="A27" s="49"/>
    </row>
    <row r="28" spans="1:8">
      <c r="A28" s="49"/>
    </row>
    <row r="29" spans="1:8">
      <c r="A29" s="49"/>
    </row>
    <row r="30" spans="1:8">
      <c r="A30" s="49"/>
    </row>
    <row r="31" spans="1:8">
      <c r="A31" s="49"/>
    </row>
    <row r="32" spans="1:8">
      <c r="A32" s="49"/>
    </row>
    <row r="33" spans="1:1">
      <c r="A33" s="49"/>
    </row>
    <row r="34" spans="1:1">
      <c r="A34" s="49"/>
    </row>
    <row r="35" spans="1:1">
      <c r="A35" s="49"/>
    </row>
    <row r="36" spans="1:1">
      <c r="A36" s="49"/>
    </row>
    <row r="37" spans="1:1">
      <c r="A37" s="49"/>
    </row>
    <row r="38" spans="1:1">
      <c r="A38" s="49"/>
    </row>
    <row r="39" spans="1:1">
      <c r="A39" s="49"/>
    </row>
    <row r="40" spans="1:1">
      <c r="A40" s="49"/>
    </row>
    <row r="41" spans="1:1">
      <c r="A41" s="49"/>
    </row>
    <row r="42" spans="1:1">
      <c r="A42" s="49"/>
    </row>
    <row r="43" spans="1:1">
      <c r="A43" s="49"/>
    </row>
    <row r="44" spans="1:1">
      <c r="A44" s="49"/>
    </row>
    <row r="45" spans="1:1">
      <c r="A45" s="49"/>
    </row>
    <row r="46" spans="1:1">
      <c r="A46" s="49"/>
    </row>
    <row r="47" spans="1:1">
      <c r="A47" s="49"/>
    </row>
    <row r="48" spans="1:1">
      <c r="A48" s="49"/>
    </row>
    <row r="49" spans="1:1">
      <c r="A49" s="49"/>
    </row>
    <row r="50" spans="1:1">
      <c r="A50" s="49"/>
    </row>
    <row r="51" spans="1:1">
      <c r="A51" s="49"/>
    </row>
    <row r="52" spans="1:1">
      <c r="A52" s="49"/>
    </row>
    <row r="53" spans="1:1">
      <c r="A53" s="49"/>
    </row>
    <row r="54" spans="1:1">
      <c r="A54" s="49"/>
    </row>
    <row r="55" spans="1:1">
      <c r="A55" s="49"/>
    </row>
    <row r="56" spans="1:1">
      <c r="A56" s="49"/>
    </row>
    <row r="57" spans="1:1">
      <c r="A57" s="49"/>
    </row>
    <row r="58" spans="1:1">
      <c r="A58" s="49"/>
    </row>
    <row r="59" spans="1:1">
      <c r="A59" s="49"/>
    </row>
    <row r="60" spans="1:1">
      <c r="A60" s="49"/>
    </row>
    <row r="61" spans="1:1">
      <c r="A61" s="49"/>
    </row>
    <row r="62" spans="1:1">
      <c r="A62" s="49"/>
    </row>
    <row r="63" spans="1:1">
      <c r="A63" s="49"/>
    </row>
    <row r="64" spans="1:1">
      <c r="A64" s="49"/>
    </row>
    <row r="65" spans="1:1">
      <c r="A65" s="49"/>
    </row>
    <row r="66" spans="1:1">
      <c r="A66" s="49"/>
    </row>
    <row r="67" spans="1:1">
      <c r="A67" s="49"/>
    </row>
    <row r="68" spans="1:1">
      <c r="A68" s="49"/>
    </row>
    <row r="69" spans="1:1">
      <c r="A69" s="49"/>
    </row>
    <row r="70" spans="1:1">
      <c r="A70" s="49"/>
    </row>
    <row r="71" spans="1:1">
      <c r="A71" s="49"/>
    </row>
    <row r="72" spans="1:1">
      <c r="A72" s="49"/>
    </row>
    <row r="73" spans="1:1">
      <c r="A73" s="49"/>
    </row>
    <row r="74" spans="1:1">
      <c r="A74" s="49"/>
    </row>
    <row r="75" spans="1:1">
      <c r="A75" s="49"/>
    </row>
    <row r="76" spans="1:1">
      <c r="A76" s="49"/>
    </row>
    <row r="77" spans="1:1">
      <c r="A77" s="49"/>
    </row>
    <row r="78" spans="1:1">
      <c r="A78" s="49"/>
    </row>
    <row r="79" spans="1:1">
      <c r="A79" s="49"/>
    </row>
    <row r="80" spans="1:1">
      <c r="A80" s="49"/>
    </row>
    <row r="81" spans="1:1">
      <c r="A81" s="49"/>
    </row>
    <row r="82" spans="1:1">
      <c r="A82" s="49"/>
    </row>
    <row r="83" spans="1:1">
      <c r="A83" s="49"/>
    </row>
    <row r="84" spans="1:1">
      <c r="A84" s="49"/>
    </row>
    <row r="85" spans="1:1">
      <c r="A85" s="49"/>
    </row>
    <row r="86" spans="1:1">
      <c r="A86" s="49"/>
    </row>
    <row r="87" spans="1:1">
      <c r="A87" s="49"/>
    </row>
    <row r="88" spans="1:1">
      <c r="A88" s="49"/>
    </row>
    <row r="89" spans="1:1">
      <c r="A89" s="49"/>
    </row>
    <row r="90" spans="1:1">
      <c r="A90" s="49"/>
    </row>
    <row r="91" spans="1:1">
      <c r="A91" s="49"/>
    </row>
    <row r="92" spans="1:1">
      <c r="A92" s="49"/>
    </row>
    <row r="93" spans="1:1">
      <c r="A93" s="49"/>
    </row>
    <row r="94" spans="1:1">
      <c r="A94" s="49"/>
    </row>
    <row r="95" spans="1:1">
      <c r="A95" s="49"/>
    </row>
    <row r="96" spans="1:1">
      <c r="A96" s="49"/>
    </row>
    <row r="97" spans="1:1">
      <c r="A97" s="49"/>
    </row>
    <row r="98" spans="1:1">
      <c r="A98" s="49"/>
    </row>
    <row r="99" spans="1:1">
      <c r="A99" s="49"/>
    </row>
    <row r="100" spans="1:1">
      <c r="A100" s="49"/>
    </row>
    <row r="101" spans="1:1">
      <c r="A101" s="49"/>
    </row>
    <row r="102" spans="1:1">
      <c r="A102" s="49"/>
    </row>
    <row r="103" spans="1:1">
      <c r="A103" s="49"/>
    </row>
    <row r="104" spans="1:1">
      <c r="A104" s="49"/>
    </row>
    <row r="105" spans="1:1">
      <c r="A105" s="49"/>
    </row>
    <row r="106" spans="1:1">
      <c r="A106" s="49"/>
    </row>
    <row r="107" spans="1:1">
      <c r="A107" s="49"/>
    </row>
    <row r="108" spans="1:1">
      <c r="A108" s="49"/>
    </row>
    <row r="109" spans="1:1">
      <c r="A109" s="49"/>
    </row>
    <row r="110" spans="1:1">
      <c r="A110" s="49"/>
    </row>
    <row r="111" spans="1:1">
      <c r="A111" s="49"/>
    </row>
    <row r="112" spans="1:1">
      <c r="A112" s="49"/>
    </row>
    <row r="113" spans="1:1">
      <c r="A113" s="49"/>
    </row>
    <row r="114" spans="1:1">
      <c r="A114" s="49"/>
    </row>
    <row r="115" spans="1:1">
      <c r="A115" s="49"/>
    </row>
    <row r="116" spans="1:1">
      <c r="A116" s="49"/>
    </row>
    <row r="117" spans="1:1">
      <c r="A117" s="49"/>
    </row>
    <row r="118" spans="1:1">
      <c r="A118" s="49"/>
    </row>
    <row r="119" spans="1:1">
      <c r="A119" s="49"/>
    </row>
    <row r="120" spans="1:1">
      <c r="A120" s="49"/>
    </row>
    <row r="121" spans="1:1">
      <c r="A121" s="49"/>
    </row>
    <row r="122" spans="1:1">
      <c r="A122" s="49"/>
    </row>
    <row r="123" spans="1:1">
      <c r="A123" s="49"/>
    </row>
    <row r="124" spans="1:1">
      <c r="A124" s="49"/>
    </row>
    <row r="125" spans="1:1">
      <c r="A125" s="49"/>
    </row>
    <row r="126" spans="1:1">
      <c r="A126" s="49"/>
    </row>
    <row r="127" spans="1:1">
      <c r="A127" s="49"/>
    </row>
    <row r="128" spans="1:1">
      <c r="A128" s="49"/>
    </row>
    <row r="129" spans="1:1">
      <c r="A129" s="49"/>
    </row>
    <row r="130" spans="1:1">
      <c r="A130" s="49"/>
    </row>
    <row r="131" spans="1:1">
      <c r="A131" s="49"/>
    </row>
    <row r="132" spans="1:1">
      <c r="A132" s="49"/>
    </row>
    <row r="133" spans="1:1">
      <c r="A133" s="49"/>
    </row>
    <row r="134" spans="1:1">
      <c r="A134" s="49"/>
    </row>
    <row r="135" spans="1:1">
      <c r="A135" s="49"/>
    </row>
    <row r="136" spans="1:1">
      <c r="A136" s="49"/>
    </row>
    <row r="137" spans="1:1">
      <c r="A137" s="49"/>
    </row>
    <row r="138" spans="1:1">
      <c r="A138" s="49"/>
    </row>
    <row r="139" spans="1:1">
      <c r="A139" s="49"/>
    </row>
    <row r="140" spans="1:1">
      <c r="A140" s="49"/>
    </row>
    <row r="141" spans="1:1">
      <c r="A141" s="49"/>
    </row>
    <row r="142" spans="1:1">
      <c r="A142" s="49"/>
    </row>
    <row r="143" spans="1:1">
      <c r="A143" s="49"/>
    </row>
    <row r="144" spans="1:1">
      <c r="A144" s="49"/>
    </row>
    <row r="145" spans="1:1">
      <c r="A145" s="49"/>
    </row>
    <row r="146" spans="1:1">
      <c r="A146" s="49"/>
    </row>
    <row r="147" spans="1:1">
      <c r="A147" s="49"/>
    </row>
    <row r="148" spans="1:1">
      <c r="A148" s="49"/>
    </row>
    <row r="149" spans="1:1">
      <c r="A149" s="49"/>
    </row>
    <row r="150" spans="1:1">
      <c r="A150" s="49"/>
    </row>
    <row r="151" spans="1:1">
      <c r="A151" s="49"/>
    </row>
    <row r="152" spans="1:1">
      <c r="A152" s="49"/>
    </row>
    <row r="153" spans="1:1">
      <c r="A153" s="49"/>
    </row>
    <row r="154" spans="1:1">
      <c r="A154" s="49"/>
    </row>
    <row r="155" spans="1:1">
      <c r="A155" s="49"/>
    </row>
    <row r="156" spans="1:1">
      <c r="A156" s="49"/>
    </row>
    <row r="157" spans="1:1">
      <c r="A157" s="49"/>
    </row>
    <row r="158" spans="1:1">
      <c r="A158" s="49"/>
    </row>
    <row r="159" spans="1:1">
      <c r="A159" s="49"/>
    </row>
    <row r="160" spans="1:1">
      <c r="A160" s="49"/>
    </row>
    <row r="161" spans="1:1">
      <c r="A161" s="49"/>
    </row>
    <row r="162" spans="1:1">
      <c r="A162" s="49"/>
    </row>
    <row r="163" spans="1:1">
      <c r="A163" s="49"/>
    </row>
    <row r="164" spans="1:1">
      <c r="A164" s="49"/>
    </row>
    <row r="165" spans="1:1">
      <c r="A165" s="49"/>
    </row>
    <row r="166" spans="1:1">
      <c r="A166" s="49"/>
    </row>
    <row r="167" spans="1:1">
      <c r="A167" s="49"/>
    </row>
    <row r="168" spans="1:1">
      <c r="A168" s="49"/>
    </row>
    <row r="169" spans="1:1">
      <c r="A169" s="49"/>
    </row>
    <row r="170" spans="1:1">
      <c r="A170" s="49"/>
    </row>
    <row r="171" spans="1:1">
      <c r="A171" s="49"/>
    </row>
    <row r="172" spans="1:1">
      <c r="A172" s="49"/>
    </row>
    <row r="173" spans="1:1">
      <c r="A173" s="49"/>
    </row>
    <row r="174" spans="1:1">
      <c r="A174" s="49"/>
    </row>
    <row r="175" spans="1:1">
      <c r="A175" s="49"/>
    </row>
    <row r="176" spans="1:1">
      <c r="A176" s="49"/>
    </row>
    <row r="177" spans="1:1">
      <c r="A177" s="49"/>
    </row>
    <row r="178" spans="1:1">
      <c r="A178" s="49"/>
    </row>
    <row r="179" spans="1:1">
      <c r="A179" s="49"/>
    </row>
    <row r="180" spans="1:1">
      <c r="A180" s="49"/>
    </row>
    <row r="181" spans="1:1">
      <c r="A181" s="49"/>
    </row>
    <row r="182" spans="1:1">
      <c r="A182" s="49"/>
    </row>
  </sheetData>
  <sheetProtection formatCells="0" formatColumns="0" formatRows="0" insertRows="0" deleteRows="0"/>
  <mergeCells count="8">
    <mergeCell ref="A19:H19"/>
    <mergeCell ref="A3:A4"/>
    <mergeCell ref="A1:G1"/>
    <mergeCell ref="B3:B4"/>
    <mergeCell ref="A2:G2"/>
    <mergeCell ref="C3:C4"/>
    <mergeCell ref="D3:G3"/>
    <mergeCell ref="C16:D16"/>
  </mergeCells>
  <phoneticPr fontId="0" type="noConversion"/>
  <pageMargins left="1.1811023622047243" right="0.43307086614173229" top="0.78740157480314965" bottom="0.78740157480314965" header="0" footer="0"/>
  <pageSetup paperSize="9" scale="50" firstPageNumber="9" orientation="portrait" useFirstPageNumber="1" r:id="rId1"/>
  <headerFooter alignWithMargins="0"/>
  <ignoredErrors>
    <ignoredError sqref="B7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tabColor indexed="43"/>
    <pageSetUpPr fitToPage="1"/>
  </sheetPr>
  <dimension ref="A1:I28"/>
  <sheetViews>
    <sheetView view="pageBreakPreview" zoomScale="75" zoomScaleNormal="75" zoomScaleSheetLayoutView="70" workbookViewId="0">
      <selection activeCell="A7" sqref="A1:XFD1048576"/>
    </sheetView>
  </sheetViews>
  <sheetFormatPr defaultColWidth="9.1796875" defaultRowHeight="15.5"/>
  <cols>
    <col min="1" max="1" width="66" style="9" customWidth="1"/>
    <col min="2" max="2" width="16.54296875" style="9" customWidth="1"/>
    <col min="3" max="3" width="19.7265625" style="9" customWidth="1"/>
    <col min="4" max="4" width="20" style="9" customWidth="1"/>
    <col min="5" max="5" width="19.7265625" style="9" customWidth="1"/>
    <col min="6" max="6" width="39" style="9" customWidth="1"/>
    <col min="7" max="7" width="9.54296875" style="9" customWidth="1"/>
    <col min="8" max="8" width="9.1796875" style="9"/>
    <col min="9" max="9" width="27.1796875" style="9" customWidth="1"/>
    <col min="10" max="16384" width="9.1796875" style="9"/>
  </cols>
  <sheetData>
    <row r="1" spans="1:6">
      <c r="A1" s="274" t="s">
        <v>360</v>
      </c>
      <c r="B1" s="274"/>
      <c r="C1" s="274"/>
      <c r="D1" s="274"/>
      <c r="E1" s="274"/>
      <c r="F1" s="274"/>
    </row>
    <row r="3" spans="1:6">
      <c r="A3" s="275" t="s">
        <v>283</v>
      </c>
      <c r="B3" s="275" t="s">
        <v>0</v>
      </c>
      <c r="C3" s="275" t="s">
        <v>101</v>
      </c>
      <c r="D3" s="231" t="s">
        <v>346</v>
      </c>
      <c r="E3" s="277" t="s">
        <v>344</v>
      </c>
      <c r="F3" s="275" t="s">
        <v>316</v>
      </c>
    </row>
    <row r="4" spans="1:6" ht="34" customHeight="1">
      <c r="A4" s="276"/>
      <c r="B4" s="276"/>
      <c r="C4" s="276"/>
      <c r="D4" s="231"/>
      <c r="E4" s="278"/>
      <c r="F4" s="276"/>
    </row>
    <row r="5" spans="1:6">
      <c r="A5" s="152">
        <v>1</v>
      </c>
      <c r="B5" s="152">
        <v>2</v>
      </c>
      <c r="C5" s="152">
        <v>3</v>
      </c>
      <c r="D5" s="152">
        <v>4</v>
      </c>
      <c r="E5" s="152">
        <v>5</v>
      </c>
      <c r="F5" s="152">
        <v>6</v>
      </c>
    </row>
    <row r="6" spans="1:6">
      <c r="A6" s="271" t="s">
        <v>187</v>
      </c>
      <c r="B6" s="272"/>
      <c r="C6" s="272"/>
      <c r="D6" s="272"/>
      <c r="E6" s="272"/>
      <c r="F6" s="273"/>
    </row>
    <row r="7" spans="1:6" ht="46.5">
      <c r="A7" s="37" t="s">
        <v>340</v>
      </c>
      <c r="B7" s="27">
        <v>5000</v>
      </c>
      <c r="C7" s="153" t="s">
        <v>331</v>
      </c>
      <c r="D7" s="154">
        <v>0.24729504785684561</v>
      </c>
      <c r="E7" s="154">
        <f>'фінплан - зведені показники'!E33/'фінплан - зведені показники'!E31</f>
        <v>-0.50524475524475543</v>
      </c>
      <c r="F7" s="155">
        <f>'фінплан - зведені показники'!C33</f>
        <v>2377</v>
      </c>
    </row>
    <row r="8" spans="1:6" ht="46.5">
      <c r="A8" s="37" t="s">
        <v>341</v>
      </c>
      <c r="B8" s="27">
        <v>5010</v>
      </c>
      <c r="C8" s="153" t="s">
        <v>331</v>
      </c>
      <c r="D8" s="154">
        <v>2.4032459425717852E-2</v>
      </c>
      <c r="E8" s="154">
        <f>'фінплан - зведені показники'!E38/'фінплан - зведені показники'!E31</f>
        <v>2.7457836281365527E-2</v>
      </c>
      <c r="F8" s="156"/>
    </row>
    <row r="9" spans="1:6" ht="46.5">
      <c r="A9" s="156" t="s">
        <v>368</v>
      </c>
      <c r="B9" s="27">
        <v>5020</v>
      </c>
      <c r="C9" s="153" t="s">
        <v>331</v>
      </c>
      <c r="D9" s="157">
        <v>4.608294930875576E-3</v>
      </c>
      <c r="E9" s="157">
        <f>'фінплан - зведені показники'!E44/'фінплан - зведені показники'!E70</f>
        <v>4.1490437082894894E-3</v>
      </c>
      <c r="F9" s="156" t="s">
        <v>332</v>
      </c>
    </row>
    <row r="10" spans="1:6" ht="46.5">
      <c r="A10" s="156" t="s">
        <v>321</v>
      </c>
      <c r="B10" s="27">
        <v>5030</v>
      </c>
      <c r="C10" s="153" t="s">
        <v>331</v>
      </c>
      <c r="D10" s="157">
        <v>5.8550373511003428E-3</v>
      </c>
      <c r="E10" s="157">
        <f>'фінплан - зведені показники'!E44/'фінплан - зведені показники'!E76</f>
        <v>7.9041158887099561E-3</v>
      </c>
      <c r="F10" s="156"/>
    </row>
    <row r="11" spans="1:6" ht="46.5">
      <c r="A11" s="156" t="s">
        <v>322</v>
      </c>
      <c r="B11" s="27">
        <v>5040</v>
      </c>
      <c r="C11" s="153" t="s">
        <v>102</v>
      </c>
      <c r="D11" s="157">
        <v>6.0341240116521012E-3</v>
      </c>
      <c r="E11" s="157">
        <f>'фінплан - зведені показники'!E44/'фінплан - зведені показники'!E31</f>
        <v>1.4140271493212505E-2</v>
      </c>
      <c r="F11" s="156" t="s">
        <v>333</v>
      </c>
    </row>
    <row r="12" spans="1:6">
      <c r="A12" s="271"/>
      <c r="B12" s="272"/>
      <c r="C12" s="272"/>
      <c r="D12" s="272"/>
      <c r="E12" s="272"/>
      <c r="F12" s="273"/>
    </row>
    <row r="13" spans="1:6" ht="46.5">
      <c r="A13" s="156" t="s">
        <v>327</v>
      </c>
      <c r="B13" s="27">
        <v>5100</v>
      </c>
      <c r="C13" s="153"/>
      <c r="D13" s="157">
        <v>11.601731601731602</v>
      </c>
      <c r="E13" s="157">
        <f>'фінплан - зведені показники'!E73/'фінплан - зведені показники'!E38</f>
        <v>58.966916354557164</v>
      </c>
      <c r="F13" s="156"/>
    </row>
    <row r="14" spans="1:6" ht="62">
      <c r="A14" s="156" t="s">
        <v>323</v>
      </c>
      <c r="B14" s="27">
        <v>5110</v>
      </c>
      <c r="C14" s="153" t="s">
        <v>174</v>
      </c>
      <c r="D14" s="157">
        <v>3.696268656716418</v>
      </c>
      <c r="E14" s="157">
        <f>'фінплан - зведені показники'!E76/'фінплан - зведені показники'!E73</f>
        <v>1.1049171650875984</v>
      </c>
      <c r="F14" s="156" t="s">
        <v>334</v>
      </c>
    </row>
    <row r="15" spans="1:6" ht="93">
      <c r="A15" s="156" t="s">
        <v>324</v>
      </c>
      <c r="B15" s="27">
        <v>5120</v>
      </c>
      <c r="C15" s="153" t="s">
        <v>174</v>
      </c>
      <c r="D15" s="157">
        <v>4.0852183061546556</v>
      </c>
      <c r="E15" s="157">
        <f>'фінплан - зведені показники'!E68/'фінплан - зведені показники'!E72</f>
        <v>2.5151546455651741</v>
      </c>
      <c r="F15" s="156" t="s">
        <v>336</v>
      </c>
    </row>
    <row r="16" spans="1:6">
      <c r="A16" s="271" t="s">
        <v>188</v>
      </c>
      <c r="B16" s="272"/>
      <c r="C16" s="272"/>
      <c r="D16" s="272"/>
      <c r="E16" s="272"/>
      <c r="F16" s="273"/>
    </row>
    <row r="17" spans="1:9" ht="31">
      <c r="A17" s="156" t="s">
        <v>325</v>
      </c>
      <c r="B17" s="27">
        <v>5200</v>
      </c>
      <c r="C17" s="153"/>
      <c r="D17" s="158">
        <v>1.4495412844036697</v>
      </c>
      <c r="E17" s="158" t="e">
        <f>'4. Кап. інвестиції'!E6/'1. Фін результат'!E142</f>
        <v>#REF!</v>
      </c>
      <c r="F17" s="156"/>
    </row>
    <row r="18" spans="1:9" ht="46.5">
      <c r="A18" s="156" t="s">
        <v>351</v>
      </c>
      <c r="B18" s="27">
        <v>5210</v>
      </c>
      <c r="C18" s="153"/>
      <c r="D18" s="158">
        <v>3.2875572201414897E-2</v>
      </c>
      <c r="E18" s="158" t="e">
        <f>'4. Кап. інвестиції'!E6/'1. Фін результат'!E9</f>
        <v>#REF!</v>
      </c>
      <c r="F18" s="156"/>
    </row>
    <row r="19" spans="1:9" ht="46.5">
      <c r="A19" s="156" t="s">
        <v>342</v>
      </c>
      <c r="B19" s="27">
        <v>5220</v>
      </c>
      <c r="C19" s="153" t="s">
        <v>331</v>
      </c>
      <c r="D19" s="157">
        <v>0.49801849405548215</v>
      </c>
      <c r="E19" s="157">
        <f>377/757</f>
        <v>0.49801849405548215</v>
      </c>
      <c r="F19" s="156" t="s">
        <v>335</v>
      </c>
    </row>
    <row r="20" spans="1:9">
      <c r="A20" s="271" t="s">
        <v>326</v>
      </c>
      <c r="B20" s="272"/>
      <c r="C20" s="272"/>
      <c r="D20" s="272"/>
      <c r="E20" s="272"/>
      <c r="F20" s="273"/>
    </row>
    <row r="21" spans="1:9" ht="62">
      <c r="A21" s="156" t="s">
        <v>343</v>
      </c>
      <c r="B21" s="27">
        <v>5300</v>
      </c>
      <c r="C21" s="153"/>
      <c r="D21" s="157"/>
      <c r="E21" s="157"/>
      <c r="F21" s="159"/>
    </row>
    <row r="22" spans="1:9">
      <c r="A22" s="5"/>
      <c r="B22" s="5"/>
      <c r="C22" s="5"/>
      <c r="D22" s="5"/>
      <c r="E22" s="5"/>
      <c r="F22" s="5"/>
    </row>
    <row r="23" spans="1:9" ht="30.5">
      <c r="A23" s="45" t="s">
        <v>529</v>
      </c>
      <c r="B23" s="46"/>
      <c r="C23" s="5"/>
      <c r="D23" s="5"/>
      <c r="E23" s="11"/>
      <c r="F23" s="47" t="s">
        <v>528</v>
      </c>
      <c r="G23" s="5"/>
    </row>
    <row r="24" spans="1:9">
      <c r="A24" s="23" t="s">
        <v>367</v>
      </c>
      <c r="B24" s="5"/>
      <c r="C24" s="224" t="s">
        <v>79</v>
      </c>
      <c r="D24" s="224"/>
      <c r="E24" s="5"/>
      <c r="F24" s="5" t="s">
        <v>103</v>
      </c>
      <c r="G24" s="5"/>
    </row>
    <row r="25" spans="1:9">
      <c r="A25" s="5"/>
      <c r="B25" s="5"/>
      <c r="C25" s="5"/>
      <c r="D25" s="5"/>
      <c r="E25" s="5"/>
      <c r="F25" s="5"/>
    </row>
    <row r="26" spans="1:9">
      <c r="A26" s="5"/>
      <c r="B26" s="5"/>
      <c r="C26" s="5"/>
      <c r="D26" s="5"/>
      <c r="E26" s="5"/>
      <c r="F26" s="5"/>
      <c r="I26" s="160"/>
    </row>
    <row r="27" spans="1:9">
      <c r="A27" s="223"/>
      <c r="B27" s="223"/>
      <c r="C27" s="223"/>
      <c r="D27" s="223"/>
      <c r="E27" s="223"/>
      <c r="F27" s="223"/>
      <c r="G27" s="223"/>
      <c r="H27" s="223"/>
    </row>
    <row r="28" spans="1:9">
      <c r="A28" s="25"/>
      <c r="C28" s="279"/>
      <c r="D28" s="279"/>
      <c r="F28" s="50"/>
    </row>
  </sheetData>
  <sheetProtection formatCells="0"/>
  <mergeCells count="14">
    <mergeCell ref="C28:D28"/>
    <mergeCell ref="A16:F16"/>
    <mergeCell ref="A20:F20"/>
    <mergeCell ref="A27:H27"/>
    <mergeCell ref="C24:D24"/>
    <mergeCell ref="A6:F6"/>
    <mergeCell ref="A12:F12"/>
    <mergeCell ref="A1:F1"/>
    <mergeCell ref="A3:A4"/>
    <mergeCell ref="B3:B4"/>
    <mergeCell ref="C3:C4"/>
    <mergeCell ref="F3:F4"/>
    <mergeCell ref="D3:D4"/>
    <mergeCell ref="E3:E4"/>
  </mergeCells>
  <phoneticPr fontId="3" type="noConversion"/>
  <pageMargins left="1.1811023622047243" right="0.43307086614173229" top="0.78740157480314965" bottom="0.78740157480314965" header="0" footer="0"/>
  <pageSetup paperSize="9" scale="47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>
    <tabColor indexed="43"/>
  </sheetPr>
  <dimension ref="A1:Q94"/>
  <sheetViews>
    <sheetView view="pageBreakPreview" topLeftCell="C40" zoomScale="70" zoomScaleNormal="75" zoomScaleSheetLayoutView="70" workbookViewId="0">
      <selection activeCell="O50" sqref="O50"/>
    </sheetView>
  </sheetViews>
  <sheetFormatPr defaultColWidth="9.1796875" defaultRowHeight="15.5" outlineLevelRow="1"/>
  <cols>
    <col min="1" max="1" width="44.81640625" style="9" customWidth="1"/>
    <col min="2" max="2" width="13.54296875" style="50" customWidth="1"/>
    <col min="3" max="3" width="18.54296875" style="9" customWidth="1"/>
    <col min="4" max="4" width="16.1796875" style="9" customWidth="1"/>
    <col min="5" max="5" width="12.54296875" style="9" customWidth="1"/>
    <col min="6" max="6" width="16.54296875" style="9" customWidth="1"/>
    <col min="7" max="7" width="15.26953125" style="9" customWidth="1"/>
    <col min="8" max="8" width="16.54296875" style="9" customWidth="1"/>
    <col min="9" max="9" width="16.1796875" style="9" customWidth="1"/>
    <col min="10" max="10" width="16.453125" style="9" customWidth="1"/>
    <col min="11" max="11" width="16.54296875" style="9" customWidth="1"/>
    <col min="12" max="12" width="20.81640625" style="9" customWidth="1"/>
    <col min="13" max="13" width="14.453125" style="9" customWidth="1"/>
    <col min="14" max="15" width="16.7265625" style="9" customWidth="1"/>
    <col min="16" max="16" width="9.1796875" style="9"/>
    <col min="17" max="17" width="18.1796875" style="9" customWidth="1"/>
    <col min="18" max="18" width="8.54296875" style="9" customWidth="1"/>
    <col min="19" max="16384" width="9.1796875" style="9"/>
  </cols>
  <sheetData>
    <row r="1" spans="1:15" outlineLevel="1">
      <c r="N1" s="288" t="s">
        <v>237</v>
      </c>
      <c r="O1" s="288"/>
    </row>
    <row r="2" spans="1:15" outlineLevel="1">
      <c r="N2" s="288" t="s">
        <v>257</v>
      </c>
      <c r="O2" s="288"/>
    </row>
    <row r="3" spans="1:15">
      <c r="A3" s="243" t="s">
        <v>541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4" spans="1:15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</row>
    <row r="5" spans="1:15">
      <c r="A5" s="224" t="s">
        <v>481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</row>
    <row r="6" spans="1:15">
      <c r="A6" s="224" t="s">
        <v>133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</row>
    <row r="7" spans="1:15">
      <c r="A7" s="243" t="s">
        <v>361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</row>
    <row r="8" spans="1:1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5">
      <c r="A9" s="289"/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</row>
    <row r="10" spans="1:15">
      <c r="B10" s="9" t="s">
        <v>561</v>
      </c>
      <c r="D10" s="9" t="s">
        <v>562</v>
      </c>
    </row>
    <row r="11" spans="1:15">
      <c r="A11" s="27" t="s">
        <v>283</v>
      </c>
      <c r="B11" s="231" t="s">
        <v>135</v>
      </c>
      <c r="C11" s="231"/>
      <c r="D11" s="231" t="s">
        <v>31</v>
      </c>
      <c r="E11" s="231"/>
      <c r="F11" s="231" t="s">
        <v>317</v>
      </c>
      <c r="G11" s="231"/>
      <c r="H11" s="231" t="s">
        <v>318</v>
      </c>
      <c r="I11" s="231"/>
      <c r="J11" s="231" t="s">
        <v>319</v>
      </c>
      <c r="K11" s="231"/>
      <c r="L11" s="231" t="s">
        <v>288</v>
      </c>
      <c r="M11" s="231"/>
      <c r="N11" s="231" t="s">
        <v>289</v>
      </c>
      <c r="O11" s="231"/>
    </row>
    <row r="12" spans="1:15">
      <c r="A12" s="27">
        <v>1</v>
      </c>
      <c r="B12" s="293">
        <v>2</v>
      </c>
      <c r="C12" s="295"/>
      <c r="D12" s="293">
        <v>3</v>
      </c>
      <c r="E12" s="295"/>
      <c r="F12" s="293">
        <v>4</v>
      </c>
      <c r="G12" s="295"/>
      <c r="H12" s="293">
        <v>5</v>
      </c>
      <c r="I12" s="295"/>
      <c r="J12" s="293">
        <v>6</v>
      </c>
      <c r="K12" s="295"/>
      <c r="L12" s="293">
        <v>7</v>
      </c>
      <c r="M12" s="295"/>
      <c r="N12" s="231">
        <v>8</v>
      </c>
      <c r="O12" s="231"/>
    </row>
    <row r="13" spans="1:15">
      <c r="A13" s="227" t="s">
        <v>134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9"/>
    </row>
    <row r="14" spans="1:15">
      <c r="A14" s="37" t="s">
        <v>290</v>
      </c>
      <c r="B14" s="286">
        <v>32</v>
      </c>
      <c r="C14" s="286"/>
      <c r="D14" s="286">
        <v>26</v>
      </c>
      <c r="E14" s="286"/>
      <c r="F14" s="293">
        <v>32</v>
      </c>
      <c r="G14" s="295"/>
      <c r="H14" s="286">
        <f>F14</f>
        <v>32</v>
      </c>
      <c r="I14" s="286"/>
      <c r="J14" s="286">
        <v>26</v>
      </c>
      <c r="K14" s="286"/>
      <c r="L14" s="286">
        <f>J14-H14</f>
        <v>-6</v>
      </c>
      <c r="M14" s="286"/>
      <c r="N14" s="287">
        <f>J14*100/H14</f>
        <v>81.25</v>
      </c>
      <c r="O14" s="287"/>
    </row>
    <row r="15" spans="1:15">
      <c r="A15" s="37" t="s">
        <v>291</v>
      </c>
      <c r="B15" s="286">
        <v>3</v>
      </c>
      <c r="C15" s="286"/>
      <c r="D15" s="286">
        <v>2</v>
      </c>
      <c r="E15" s="286"/>
      <c r="F15" s="293">
        <v>3</v>
      </c>
      <c r="G15" s="295"/>
      <c r="H15" s="286">
        <f t="shared" ref="H15:H19" si="0">F15</f>
        <v>3</v>
      </c>
      <c r="I15" s="286"/>
      <c r="J15" s="286">
        <v>2</v>
      </c>
      <c r="K15" s="286"/>
      <c r="L15" s="286">
        <f t="shared" ref="L15:L18" si="1">J15-H15</f>
        <v>-1</v>
      </c>
      <c r="M15" s="286"/>
      <c r="N15" s="287">
        <f t="shared" ref="N15:N18" si="2">J15*100/H15</f>
        <v>66.666666666666671</v>
      </c>
      <c r="O15" s="287"/>
    </row>
    <row r="16" spans="1:15">
      <c r="A16" s="37" t="s">
        <v>292</v>
      </c>
      <c r="B16" s="286">
        <v>3</v>
      </c>
      <c r="C16" s="286"/>
      <c r="D16" s="286">
        <v>2</v>
      </c>
      <c r="E16" s="286"/>
      <c r="F16" s="293">
        <v>3</v>
      </c>
      <c r="G16" s="295"/>
      <c r="H16" s="286">
        <f t="shared" si="0"/>
        <v>3</v>
      </c>
      <c r="I16" s="286"/>
      <c r="J16" s="286">
        <v>2</v>
      </c>
      <c r="K16" s="286"/>
      <c r="L16" s="286">
        <f t="shared" si="1"/>
        <v>-1</v>
      </c>
      <c r="M16" s="286"/>
      <c r="N16" s="287">
        <f t="shared" si="2"/>
        <v>66.666666666666671</v>
      </c>
      <c r="O16" s="287"/>
    </row>
    <row r="17" spans="1:16">
      <c r="A17" s="37" t="s">
        <v>293</v>
      </c>
      <c r="B17" s="286">
        <v>2</v>
      </c>
      <c r="C17" s="286"/>
      <c r="D17" s="286">
        <v>0</v>
      </c>
      <c r="E17" s="286"/>
      <c r="F17" s="293">
        <v>2</v>
      </c>
      <c r="G17" s="295"/>
      <c r="H17" s="286">
        <f t="shared" si="0"/>
        <v>2</v>
      </c>
      <c r="I17" s="286"/>
      <c r="J17" s="286">
        <v>2</v>
      </c>
      <c r="K17" s="286"/>
      <c r="L17" s="286">
        <f t="shared" si="1"/>
        <v>0</v>
      </c>
      <c r="M17" s="286"/>
      <c r="N17" s="287">
        <f t="shared" si="2"/>
        <v>100</v>
      </c>
      <c r="O17" s="287"/>
    </row>
    <row r="18" spans="1:16">
      <c r="A18" s="37" t="s">
        <v>294</v>
      </c>
      <c r="B18" s="286">
        <v>197</v>
      </c>
      <c r="C18" s="286"/>
      <c r="D18" s="286">
        <v>105</v>
      </c>
      <c r="E18" s="286"/>
      <c r="F18" s="293">
        <v>197</v>
      </c>
      <c r="G18" s="295"/>
      <c r="H18" s="286">
        <f t="shared" si="0"/>
        <v>197</v>
      </c>
      <c r="I18" s="286"/>
      <c r="J18" s="286">
        <f>148-J14-J15-J16-J17-J19</f>
        <v>109</v>
      </c>
      <c r="K18" s="286"/>
      <c r="L18" s="286">
        <f t="shared" si="1"/>
        <v>-88</v>
      </c>
      <c r="M18" s="286"/>
      <c r="N18" s="287">
        <f t="shared" si="2"/>
        <v>55.329949238578678</v>
      </c>
      <c r="O18" s="287"/>
    </row>
    <row r="19" spans="1:16">
      <c r="A19" s="37" t="s">
        <v>295</v>
      </c>
      <c r="B19" s="286">
        <v>15</v>
      </c>
      <c r="C19" s="286"/>
      <c r="D19" s="286">
        <v>7</v>
      </c>
      <c r="E19" s="286"/>
      <c r="F19" s="286">
        <v>15</v>
      </c>
      <c r="G19" s="286"/>
      <c r="H19" s="286">
        <f t="shared" si="0"/>
        <v>15</v>
      </c>
      <c r="I19" s="286"/>
      <c r="J19" s="286">
        <v>7</v>
      </c>
      <c r="K19" s="286"/>
      <c r="L19" s="286">
        <f t="shared" ref="L19" si="3">J19-H19</f>
        <v>-8</v>
      </c>
      <c r="M19" s="286"/>
      <c r="N19" s="287">
        <f t="shared" ref="N19" si="4">J19*100/H19</f>
        <v>46.666666666666664</v>
      </c>
      <c r="O19" s="287"/>
    </row>
    <row r="20" spans="1:16">
      <c r="A20" s="227" t="s">
        <v>352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9"/>
    </row>
    <row r="21" spans="1:16">
      <c r="A21" s="37" t="s">
        <v>297</v>
      </c>
      <c r="B21" s="286">
        <v>519</v>
      </c>
      <c r="C21" s="286"/>
      <c r="D21" s="286">
        <v>229</v>
      </c>
      <c r="E21" s="286"/>
      <c r="F21" s="231">
        <v>519</v>
      </c>
      <c r="G21" s="231"/>
      <c r="H21" s="286">
        <f>F21/12*3</f>
        <v>129.75</v>
      </c>
      <c r="I21" s="286"/>
      <c r="J21" s="286">
        <v>43</v>
      </c>
      <c r="K21" s="286"/>
      <c r="L21" s="286">
        <f t="shared" ref="L21:L23" si="5">J21-H21</f>
        <v>-86.75</v>
      </c>
      <c r="M21" s="286"/>
      <c r="N21" s="287">
        <f t="shared" ref="N21:N23" si="6">J21*100/H21</f>
        <v>33.140655105973025</v>
      </c>
      <c r="O21" s="287"/>
      <c r="P21" s="9" t="s">
        <v>482</v>
      </c>
    </row>
    <row r="22" spans="1:16">
      <c r="A22" s="37" t="s">
        <v>296</v>
      </c>
      <c r="B22" s="286">
        <v>4552</v>
      </c>
      <c r="C22" s="286"/>
      <c r="D22" s="286">
        <v>8647</v>
      </c>
      <c r="E22" s="286"/>
      <c r="F22" s="231">
        <v>4694</v>
      </c>
      <c r="G22" s="231"/>
      <c r="H22" s="286">
        <f t="shared" ref="H22:H23" si="7">F22/12*3</f>
        <v>1173.5</v>
      </c>
      <c r="I22" s="286"/>
      <c r="J22" s="286">
        <f>'1. Фін результат'!E43-'6.1. Інша інфо_1'!J21:K21</f>
        <v>1078.8</v>
      </c>
      <c r="K22" s="286"/>
      <c r="L22" s="286">
        <f t="shared" si="5"/>
        <v>-94.700000000000045</v>
      </c>
      <c r="M22" s="286"/>
      <c r="N22" s="287">
        <f t="shared" si="6"/>
        <v>91.930123561994037</v>
      </c>
      <c r="O22" s="287"/>
    </row>
    <row r="23" spans="1:16">
      <c r="A23" s="37" t="s">
        <v>298</v>
      </c>
      <c r="B23" s="286">
        <v>29393</v>
      </c>
      <c r="C23" s="286"/>
      <c r="D23" s="286">
        <v>14864</v>
      </c>
      <c r="E23" s="286"/>
      <c r="F23" s="231">
        <v>31490</v>
      </c>
      <c r="G23" s="231"/>
      <c r="H23" s="286">
        <f t="shared" si="7"/>
        <v>7872.5</v>
      </c>
      <c r="I23" s="286"/>
      <c r="J23" s="286">
        <f>'1. Фін результат'!E140-'6.1. Інша інфо_1'!J21:K21-'6.1. Інша інфо_1'!J22:K22</f>
        <v>4813.8</v>
      </c>
      <c r="K23" s="286"/>
      <c r="L23" s="286">
        <f t="shared" si="5"/>
        <v>-3058.7</v>
      </c>
      <c r="M23" s="286"/>
      <c r="N23" s="287">
        <f t="shared" si="6"/>
        <v>61.147030803429658</v>
      </c>
      <c r="O23" s="287"/>
    </row>
    <row r="24" spans="1:16">
      <c r="A24" s="227" t="s">
        <v>480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9"/>
    </row>
    <row r="25" spans="1:16">
      <c r="A25" s="37" t="s">
        <v>297</v>
      </c>
      <c r="B25" s="286">
        <v>633</v>
      </c>
      <c r="C25" s="286"/>
      <c r="D25" s="286">
        <v>279.38</v>
      </c>
      <c r="E25" s="286"/>
      <c r="F25" s="286">
        <v>633</v>
      </c>
      <c r="G25" s="286"/>
      <c r="H25" s="286">
        <f>F25/12*3</f>
        <v>158.25</v>
      </c>
      <c r="I25" s="286"/>
      <c r="J25" s="286">
        <f>J21/100*122</f>
        <v>52.46</v>
      </c>
      <c r="K25" s="286"/>
      <c r="L25" s="286">
        <f t="shared" ref="L25:L27" si="8">J25-H25</f>
        <v>-105.78999999999999</v>
      </c>
      <c r="M25" s="286"/>
      <c r="N25" s="287">
        <f t="shared" ref="N25:N27" si="9">J25*100/H25</f>
        <v>33.150078988941551</v>
      </c>
      <c r="O25" s="287"/>
      <c r="P25" s="9" t="s">
        <v>482</v>
      </c>
    </row>
    <row r="26" spans="1:16">
      <c r="A26" s="37" t="s">
        <v>296</v>
      </c>
      <c r="B26" s="286">
        <v>5553</v>
      </c>
      <c r="C26" s="286"/>
      <c r="D26" s="286">
        <v>10549.34</v>
      </c>
      <c r="E26" s="286"/>
      <c r="F26" s="286">
        <v>5726</v>
      </c>
      <c r="G26" s="286"/>
      <c r="H26" s="286">
        <f t="shared" ref="H26:H27" si="10">F26/12*3</f>
        <v>1431.5</v>
      </c>
      <c r="I26" s="286"/>
      <c r="J26" s="286">
        <f>'1. Фін результат'!E43+'1. Фін результат'!E44-J25</f>
        <v>1326.1399999999999</v>
      </c>
      <c r="K26" s="286"/>
      <c r="L26" s="286">
        <f t="shared" si="8"/>
        <v>-105.36000000000013</v>
      </c>
      <c r="M26" s="286"/>
      <c r="N26" s="287">
        <f t="shared" si="9"/>
        <v>92.639888229130278</v>
      </c>
      <c r="O26" s="287"/>
    </row>
    <row r="27" spans="1:16">
      <c r="A27" s="37" t="s">
        <v>298</v>
      </c>
      <c r="B27" s="286">
        <v>35687</v>
      </c>
      <c r="C27" s="286"/>
      <c r="D27" s="286">
        <v>18039.28</v>
      </c>
      <c r="E27" s="286"/>
      <c r="F27" s="286">
        <v>38235</v>
      </c>
      <c r="G27" s="286"/>
      <c r="H27" s="286">
        <f t="shared" si="10"/>
        <v>9558.75</v>
      </c>
      <c r="I27" s="286"/>
      <c r="J27" s="286">
        <f>'1. Фін результат'!E140+'1. Фін результат'!E141-'6.1. Інша інфо_1'!J25:K25-'6.1. Інша інфо_1'!J26:K26</f>
        <v>5869.6</v>
      </c>
      <c r="K27" s="286"/>
      <c r="L27" s="286">
        <f t="shared" si="8"/>
        <v>-3689.1499999999996</v>
      </c>
      <c r="M27" s="286"/>
      <c r="N27" s="287">
        <f t="shared" si="9"/>
        <v>61.405518503988489</v>
      </c>
      <c r="O27" s="287"/>
    </row>
    <row r="28" spans="1:16">
      <c r="A28" s="227" t="s">
        <v>299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9"/>
    </row>
    <row r="29" spans="1:16">
      <c r="A29" s="37" t="s">
        <v>297</v>
      </c>
      <c r="B29" s="286">
        <v>43225</v>
      </c>
      <c r="C29" s="286"/>
      <c r="D29" s="286">
        <v>19083.333333333332</v>
      </c>
      <c r="E29" s="286"/>
      <c r="F29" s="286">
        <v>43225</v>
      </c>
      <c r="G29" s="286"/>
      <c r="H29" s="286">
        <f>F29</f>
        <v>43225</v>
      </c>
      <c r="I29" s="286"/>
      <c r="J29" s="286">
        <f>J21/3*1000</f>
        <v>14333.333333333334</v>
      </c>
      <c r="K29" s="286"/>
      <c r="L29" s="286">
        <f t="shared" ref="L29:L31" si="11">J29-H29</f>
        <v>-28891.666666666664</v>
      </c>
      <c r="M29" s="286"/>
      <c r="N29" s="287">
        <f t="shared" ref="N29:N31" si="12">J29*100/H29</f>
        <v>33.159822633506849</v>
      </c>
      <c r="O29" s="287"/>
    </row>
    <row r="30" spans="1:16">
      <c r="A30" s="37" t="s">
        <v>296</v>
      </c>
      <c r="B30" s="286">
        <v>30344</v>
      </c>
      <c r="C30" s="286"/>
      <c r="D30" s="286">
        <v>24847.701149425287</v>
      </c>
      <c r="E30" s="286"/>
      <c r="F30" s="286">
        <v>31291</v>
      </c>
      <c r="G30" s="286"/>
      <c r="H30" s="286">
        <f>F30</f>
        <v>31291</v>
      </c>
      <c r="I30" s="286"/>
      <c r="J30" s="286">
        <f>J22/11/3*1000</f>
        <v>32690.909090909088</v>
      </c>
      <c r="K30" s="286"/>
      <c r="L30" s="286">
        <f t="shared" si="11"/>
        <v>1399.9090909090883</v>
      </c>
      <c r="M30" s="286"/>
      <c r="N30" s="287">
        <f t="shared" si="12"/>
        <v>104.47383941359844</v>
      </c>
      <c r="O30" s="287"/>
    </row>
    <row r="31" spans="1:16">
      <c r="A31" s="37" t="s">
        <v>298</v>
      </c>
      <c r="B31" s="286">
        <v>10249</v>
      </c>
      <c r="C31" s="286"/>
      <c r="D31" s="286">
        <v>11059.523809523811</v>
      </c>
      <c r="E31" s="286"/>
      <c r="F31" s="286">
        <v>10980</v>
      </c>
      <c r="G31" s="286"/>
      <c r="H31" s="286">
        <f t="shared" ref="H31" si="13">F31</f>
        <v>10980</v>
      </c>
      <c r="I31" s="286"/>
      <c r="J31" s="286">
        <f>J23*1000/(J14+J15+J16+J17+J18+J19-12)/3</f>
        <v>11798.529411764706</v>
      </c>
      <c r="K31" s="286"/>
      <c r="L31" s="286">
        <f t="shared" si="11"/>
        <v>818.52941176470631</v>
      </c>
      <c r="M31" s="286"/>
      <c r="N31" s="287">
        <f t="shared" si="12"/>
        <v>107.45473052609022</v>
      </c>
      <c r="O31" s="287"/>
    </row>
    <row r="32" spans="1:16">
      <c r="A32" s="227" t="s">
        <v>300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9"/>
    </row>
    <row r="33" spans="1:17">
      <c r="A33" s="37" t="s">
        <v>297</v>
      </c>
      <c r="B33" s="286">
        <v>43225</v>
      </c>
      <c r="C33" s="286"/>
      <c r="D33" s="286">
        <v>19083.333333333332</v>
      </c>
      <c r="E33" s="286"/>
      <c r="F33" s="286">
        <v>43225</v>
      </c>
      <c r="G33" s="286"/>
      <c r="H33" s="286">
        <f>F33</f>
        <v>43225</v>
      </c>
      <c r="I33" s="286"/>
      <c r="J33" s="286">
        <f>J29</f>
        <v>14333.333333333334</v>
      </c>
      <c r="K33" s="286"/>
      <c r="L33" s="286">
        <f t="shared" ref="L33:L35" si="14">J33-H33</f>
        <v>-28891.666666666664</v>
      </c>
      <c r="M33" s="286"/>
      <c r="N33" s="287">
        <f t="shared" ref="N33:N35" si="15">J33*100/H33</f>
        <v>33.159822633506849</v>
      </c>
      <c r="O33" s="287"/>
    </row>
    <row r="34" spans="1:17">
      <c r="A34" s="37" t="s">
        <v>296</v>
      </c>
      <c r="B34" s="286">
        <v>30344</v>
      </c>
      <c r="C34" s="286"/>
      <c r="D34" s="286">
        <v>24847.701149425287</v>
      </c>
      <c r="E34" s="286"/>
      <c r="F34" s="286">
        <v>31291</v>
      </c>
      <c r="G34" s="286"/>
      <c r="H34" s="286">
        <f t="shared" ref="H34" si="16">F34</f>
        <v>31291</v>
      </c>
      <c r="I34" s="286"/>
      <c r="J34" s="286">
        <f t="shared" ref="J34" si="17">J30</f>
        <v>32690.909090909088</v>
      </c>
      <c r="K34" s="286"/>
      <c r="L34" s="286">
        <f t="shared" si="14"/>
        <v>1399.9090909090883</v>
      </c>
      <c r="M34" s="286"/>
      <c r="N34" s="287">
        <f t="shared" si="15"/>
        <v>104.47383941359844</v>
      </c>
      <c r="O34" s="287"/>
    </row>
    <row r="35" spans="1:17">
      <c r="A35" s="37" t="s">
        <v>298</v>
      </c>
      <c r="B35" s="286">
        <v>10249</v>
      </c>
      <c r="C35" s="286"/>
      <c r="D35" s="286">
        <v>11059.523809523811</v>
      </c>
      <c r="E35" s="286"/>
      <c r="F35" s="286">
        <v>10980</v>
      </c>
      <c r="G35" s="286"/>
      <c r="H35" s="286">
        <f>F35</f>
        <v>10980</v>
      </c>
      <c r="I35" s="286"/>
      <c r="J35" s="286">
        <f>J31</f>
        <v>11798.529411764706</v>
      </c>
      <c r="K35" s="286"/>
      <c r="L35" s="286">
        <f t="shared" si="14"/>
        <v>818.52941176470631</v>
      </c>
      <c r="M35" s="286"/>
      <c r="N35" s="287">
        <f t="shared" si="15"/>
        <v>107.45473052609022</v>
      </c>
      <c r="O35" s="287"/>
    </row>
    <row r="36" spans="1:17">
      <c r="A36" s="48"/>
      <c r="B36" s="48"/>
      <c r="C36" s="48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2"/>
      <c r="O36" s="162"/>
    </row>
    <row r="37" spans="1:17">
      <c r="A37" s="283" t="s">
        <v>338</v>
      </c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</row>
    <row r="38" spans="1:17">
      <c r="A38" s="163"/>
      <c r="B38" s="163"/>
      <c r="C38" s="163"/>
      <c r="D38" s="163"/>
      <c r="E38" s="163"/>
      <c r="F38" s="163"/>
      <c r="G38" s="163"/>
      <c r="H38" s="163"/>
      <c r="I38" s="163"/>
    </row>
    <row r="39" spans="1:17">
      <c r="A39" s="296" t="s">
        <v>353</v>
      </c>
      <c r="B39" s="296"/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</row>
    <row r="40" spans="1:17">
      <c r="A40" s="164" t="s">
        <v>136</v>
      </c>
      <c r="B40" s="293" t="s">
        <v>354</v>
      </c>
      <c r="C40" s="294"/>
      <c r="D40" s="294"/>
      <c r="E40" s="295"/>
      <c r="F40" s="242" t="s">
        <v>86</v>
      </c>
      <c r="G40" s="242"/>
      <c r="H40" s="242"/>
      <c r="I40" s="242"/>
      <c r="J40" s="242"/>
      <c r="K40" s="242"/>
      <c r="L40" s="242"/>
      <c r="M40" s="242"/>
      <c r="N40" s="242"/>
      <c r="O40" s="242"/>
    </row>
    <row r="41" spans="1:17">
      <c r="A41" s="164">
        <v>1</v>
      </c>
      <c r="B41" s="291">
        <v>2</v>
      </c>
      <c r="C41" s="292"/>
      <c r="D41" s="292"/>
      <c r="E41" s="292"/>
      <c r="F41" s="242">
        <v>3</v>
      </c>
      <c r="G41" s="242"/>
      <c r="H41" s="242"/>
      <c r="I41" s="242"/>
      <c r="J41" s="242"/>
      <c r="K41" s="242"/>
      <c r="L41" s="242"/>
      <c r="M41" s="242"/>
      <c r="N41" s="242"/>
      <c r="O41" s="242"/>
    </row>
    <row r="42" spans="1:17">
      <c r="A42" s="164"/>
      <c r="B42" s="281"/>
      <c r="C42" s="282"/>
      <c r="D42" s="282"/>
      <c r="E42" s="282"/>
      <c r="F42" s="280"/>
      <c r="G42" s="280"/>
      <c r="H42" s="280"/>
      <c r="I42" s="280"/>
      <c r="J42" s="280"/>
      <c r="K42" s="280"/>
      <c r="L42" s="280"/>
      <c r="M42" s="280"/>
      <c r="N42" s="280"/>
      <c r="O42" s="280"/>
    </row>
    <row r="43" spans="1:17" outlineLevel="1">
      <c r="A43" s="50"/>
      <c r="B43" s="166"/>
      <c r="C43" s="166"/>
      <c r="D43" s="166"/>
      <c r="E43" s="166"/>
      <c r="F43" s="167"/>
      <c r="G43" s="167"/>
      <c r="H43" s="167"/>
      <c r="I43" s="167"/>
      <c r="J43" s="167"/>
      <c r="K43" s="167"/>
      <c r="L43" s="167"/>
      <c r="M43" s="284" t="s">
        <v>237</v>
      </c>
      <c r="N43" s="284"/>
      <c r="O43" s="284"/>
    </row>
    <row r="44" spans="1:17" outlineLevel="1">
      <c r="A44" s="50"/>
      <c r="B44" s="166"/>
      <c r="C44" s="166"/>
      <c r="D44" s="166"/>
      <c r="E44" s="166"/>
      <c r="F44" s="167"/>
      <c r="G44" s="167"/>
      <c r="H44" s="167"/>
      <c r="I44" s="167"/>
      <c r="J44" s="167"/>
      <c r="K44" s="167"/>
      <c r="L44" s="167"/>
      <c r="M44" s="285" t="s">
        <v>287</v>
      </c>
      <c r="N44" s="285"/>
      <c r="O44" s="285"/>
    </row>
    <row r="45" spans="1:17">
      <c r="A45" s="244" t="s">
        <v>247</v>
      </c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</row>
    <row r="47" spans="1:17">
      <c r="A47" s="305" t="s">
        <v>283</v>
      </c>
      <c r="B47" s="306"/>
      <c r="C47" s="277"/>
      <c r="D47" s="231" t="s">
        <v>238</v>
      </c>
      <c r="E47" s="231"/>
      <c r="F47" s="231"/>
      <c r="G47" s="231" t="s">
        <v>234</v>
      </c>
      <c r="H47" s="231"/>
      <c r="I47" s="231"/>
      <c r="J47" s="231" t="s">
        <v>288</v>
      </c>
      <c r="K47" s="231"/>
      <c r="L47" s="231"/>
      <c r="M47" s="293" t="s">
        <v>289</v>
      </c>
      <c r="N47" s="295"/>
      <c r="O47" s="239" t="s">
        <v>311</v>
      </c>
    </row>
    <row r="48" spans="1:17" ht="128.25" customHeight="1">
      <c r="A48" s="307"/>
      <c r="B48" s="308"/>
      <c r="C48" s="278"/>
      <c r="D48" s="27" t="s">
        <v>314</v>
      </c>
      <c r="E48" s="27" t="s">
        <v>313</v>
      </c>
      <c r="F48" s="27" t="s">
        <v>312</v>
      </c>
      <c r="G48" s="27" t="s">
        <v>314</v>
      </c>
      <c r="H48" s="27" t="s">
        <v>313</v>
      </c>
      <c r="I48" s="27" t="s">
        <v>312</v>
      </c>
      <c r="J48" s="27" t="s">
        <v>314</v>
      </c>
      <c r="K48" s="27" t="s">
        <v>313</v>
      </c>
      <c r="L48" s="27" t="s">
        <v>312</v>
      </c>
      <c r="M48" s="27" t="s">
        <v>239</v>
      </c>
      <c r="N48" s="27" t="s">
        <v>240</v>
      </c>
      <c r="O48" s="240"/>
      <c r="Q48" s="168" t="s">
        <v>458</v>
      </c>
    </row>
    <row r="49" spans="1:15">
      <c r="A49" s="293">
        <v>1</v>
      </c>
      <c r="B49" s="294"/>
      <c r="C49" s="295"/>
      <c r="D49" s="27">
        <v>4</v>
      </c>
      <c r="E49" s="27">
        <v>5</v>
      </c>
      <c r="F49" s="27">
        <v>6</v>
      </c>
      <c r="G49" s="27">
        <v>7</v>
      </c>
      <c r="H49" s="26">
        <v>8</v>
      </c>
      <c r="I49" s="26">
        <v>9</v>
      </c>
      <c r="J49" s="26">
        <v>10</v>
      </c>
      <c r="K49" s="26">
        <v>11</v>
      </c>
      <c r="L49" s="26">
        <v>12</v>
      </c>
      <c r="M49" s="26">
        <v>13</v>
      </c>
      <c r="N49" s="26">
        <v>14</v>
      </c>
      <c r="O49" s="26">
        <v>15</v>
      </c>
    </row>
    <row r="50" spans="1:15">
      <c r="A50" s="309" t="s">
        <v>444</v>
      </c>
      <c r="B50" s="232"/>
      <c r="C50" s="236"/>
      <c r="D50" s="3">
        <f>12283/4</f>
        <v>3070.75</v>
      </c>
      <c r="E50" s="3">
        <v>1</v>
      </c>
      <c r="F50" s="4">
        <f>D50/E50*1000</f>
        <v>3070750</v>
      </c>
      <c r="G50" s="4">
        <v>0</v>
      </c>
      <c r="H50" s="26"/>
      <c r="I50" s="342" t="e">
        <f>G50/H50*1000</f>
        <v>#DIV/0!</v>
      </c>
      <c r="J50" s="169">
        <f t="shared" ref="J50:L53" si="18">G50-D50</f>
        <v>-3070.75</v>
      </c>
      <c r="K50" s="169">
        <f t="shared" si="18"/>
        <v>-1</v>
      </c>
      <c r="L50" s="342" t="e">
        <f t="shared" si="18"/>
        <v>#DIV/0!</v>
      </c>
      <c r="M50" s="169">
        <f>G50/D50*100</f>
        <v>0</v>
      </c>
      <c r="N50" s="169">
        <f>H50*100/E50</f>
        <v>0</v>
      </c>
      <c r="O50" s="342" t="e">
        <f>I50-F50</f>
        <v>#DIV/0!</v>
      </c>
    </row>
    <row r="51" spans="1:15">
      <c r="A51" s="309" t="s">
        <v>445</v>
      </c>
      <c r="B51" s="232"/>
      <c r="C51" s="236"/>
      <c r="D51" s="3">
        <f>3500/4</f>
        <v>875</v>
      </c>
      <c r="E51" s="3">
        <f>600/4</f>
        <v>150</v>
      </c>
      <c r="F51" s="4">
        <f t="shared" ref="F51:F53" si="19">D51/E51*1000</f>
        <v>5833.333333333333</v>
      </c>
      <c r="G51" s="4">
        <f>(378460+758107.23)/1000</f>
        <v>1136.5672299999999</v>
      </c>
      <c r="H51" s="26">
        <v>254</v>
      </c>
      <c r="I51" s="4">
        <f t="shared" ref="I51:I53" si="20">G51/H51*1000</f>
        <v>4474.6741338582669</v>
      </c>
      <c r="J51" s="169">
        <f t="shared" si="18"/>
        <v>261.56722999999988</v>
      </c>
      <c r="K51" s="169">
        <f t="shared" si="18"/>
        <v>104</v>
      </c>
      <c r="L51" s="169">
        <f t="shared" si="18"/>
        <v>-1358.6591994750661</v>
      </c>
      <c r="M51" s="169">
        <f>G51/D51*100</f>
        <v>129.8933977142857</v>
      </c>
      <c r="N51" s="169">
        <f t="shared" ref="N51:N53" si="21">H51*100/E51</f>
        <v>169.33333333333334</v>
      </c>
      <c r="O51" s="169">
        <f>I51-F51</f>
        <v>-1358.6591994750661</v>
      </c>
    </row>
    <row r="52" spans="1:15">
      <c r="A52" s="309" t="s">
        <v>517</v>
      </c>
      <c r="B52" s="232"/>
      <c r="C52" s="236"/>
      <c r="D52" s="3">
        <f>16042/4</f>
        <v>4010.5</v>
      </c>
      <c r="E52" s="3">
        <f>17400/4</f>
        <v>4350</v>
      </c>
      <c r="F52" s="4">
        <f t="shared" si="19"/>
        <v>921.9540229885057</v>
      </c>
      <c r="G52" s="4">
        <f>(3151397.97+18020.8)/1000</f>
        <v>3169.4187700000002</v>
      </c>
      <c r="H52" s="26">
        <v>5105</v>
      </c>
      <c r="I52" s="4">
        <f t="shared" si="20"/>
        <v>620.84598824681689</v>
      </c>
      <c r="J52" s="169">
        <f t="shared" si="18"/>
        <v>-841.08122999999978</v>
      </c>
      <c r="K52" s="169">
        <f t="shared" si="18"/>
        <v>755</v>
      </c>
      <c r="L52" s="169">
        <f t="shared" si="18"/>
        <v>-301.10803474168881</v>
      </c>
      <c r="M52" s="169">
        <f>G52/D52*100</f>
        <v>79.02802069567386</v>
      </c>
      <c r="N52" s="169">
        <f t="shared" si="21"/>
        <v>117.35632183908046</v>
      </c>
      <c r="O52" s="169">
        <f>I52-F52</f>
        <v>-301.10803474168881</v>
      </c>
    </row>
    <row r="53" spans="1:15">
      <c r="A53" s="309" t="s">
        <v>544</v>
      </c>
      <c r="B53" s="232"/>
      <c r="C53" s="236"/>
      <c r="D53" s="3">
        <f>2002/4</f>
        <v>500.5</v>
      </c>
      <c r="E53" s="3">
        <f>7535/4</f>
        <v>1883.75</v>
      </c>
      <c r="F53" s="4">
        <f t="shared" si="19"/>
        <v>265.69343065693431</v>
      </c>
      <c r="G53" s="4">
        <f>1528455/1000</f>
        <v>1528.4549999999999</v>
      </c>
      <c r="H53" s="26">
        <v>5266</v>
      </c>
      <c r="I53" s="4">
        <f t="shared" si="20"/>
        <v>290.24971515381691</v>
      </c>
      <c r="J53" s="169">
        <f t="shared" si="18"/>
        <v>1027.9549999999999</v>
      </c>
      <c r="K53" s="169">
        <f t="shared" si="18"/>
        <v>3382.25</v>
      </c>
      <c r="L53" s="169">
        <f t="shared" si="18"/>
        <v>24.556284496882597</v>
      </c>
      <c r="M53" s="169">
        <f>G53/D53*100</f>
        <v>305.38561438561436</v>
      </c>
      <c r="N53" s="169">
        <f t="shared" si="21"/>
        <v>279.54877239548773</v>
      </c>
      <c r="O53" s="169">
        <f>I53-F53</f>
        <v>24.556284496882597</v>
      </c>
    </row>
    <row r="54" spans="1:15">
      <c r="A54" s="310" t="s">
        <v>58</v>
      </c>
      <c r="B54" s="311"/>
      <c r="C54" s="312"/>
      <c r="D54" s="170">
        <f>SUM(D50:D53)</f>
        <v>8456.75</v>
      </c>
      <c r="E54" s="170"/>
      <c r="F54" s="107"/>
      <c r="G54" s="107">
        <f>SUM(G50:G53)</f>
        <v>5834.4409999999998</v>
      </c>
      <c r="H54" s="107"/>
      <c r="I54" s="107"/>
      <c r="J54" s="30">
        <f>SUM(J50:J53)</f>
        <v>-2622.3090000000002</v>
      </c>
      <c r="K54" s="107"/>
      <c r="L54" s="107"/>
      <c r="M54" s="169">
        <f>G54/D54*100</f>
        <v>68.991527478050074</v>
      </c>
      <c r="N54" s="108"/>
      <c r="O54" s="107"/>
    </row>
    <row r="55" spans="1:15">
      <c r="A55" s="51"/>
      <c r="B55" s="171"/>
      <c r="C55" s="171"/>
      <c r="D55" s="97"/>
      <c r="E55" s="97"/>
      <c r="F55" s="24"/>
      <c r="G55" s="172">
        <f>'1. Фін результат'!E10</f>
        <v>5834.4</v>
      </c>
      <c r="H55" s="173">
        <f>G55-G54</f>
        <v>-4.1000000000167347E-2</v>
      </c>
      <c r="I55" s="42"/>
      <c r="J55" s="42"/>
      <c r="K55" s="42"/>
      <c r="L55" s="42"/>
      <c r="M55" s="42"/>
      <c r="N55" s="42"/>
      <c r="O55" s="42"/>
    </row>
    <row r="56" spans="1:15">
      <c r="A56" s="244" t="s">
        <v>75</v>
      </c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</row>
    <row r="58" spans="1:15">
      <c r="A58" s="27" t="s">
        <v>126</v>
      </c>
      <c r="B58" s="231" t="s">
        <v>74</v>
      </c>
      <c r="C58" s="231"/>
      <c r="D58" s="231" t="s">
        <v>69</v>
      </c>
      <c r="E58" s="231"/>
      <c r="F58" s="231" t="s">
        <v>70</v>
      </c>
      <c r="G58" s="231"/>
      <c r="H58" s="231" t="s">
        <v>90</v>
      </c>
      <c r="I58" s="231"/>
      <c r="J58" s="231"/>
      <c r="K58" s="293" t="s">
        <v>87</v>
      </c>
      <c r="L58" s="295"/>
      <c r="M58" s="293" t="s">
        <v>36</v>
      </c>
      <c r="N58" s="294"/>
      <c r="O58" s="295"/>
    </row>
    <row r="59" spans="1:15">
      <c r="A59" s="26">
        <v>1</v>
      </c>
      <c r="B59" s="242">
        <v>2</v>
      </c>
      <c r="C59" s="242"/>
      <c r="D59" s="242">
        <v>3</v>
      </c>
      <c r="E59" s="242"/>
      <c r="F59" s="242">
        <v>4</v>
      </c>
      <c r="G59" s="242"/>
      <c r="H59" s="242">
        <v>5</v>
      </c>
      <c r="I59" s="242"/>
      <c r="J59" s="242"/>
      <c r="K59" s="242">
        <v>6</v>
      </c>
      <c r="L59" s="242"/>
      <c r="M59" s="291">
        <v>7</v>
      </c>
      <c r="N59" s="292"/>
      <c r="O59" s="303"/>
    </row>
    <row r="60" spans="1:15">
      <c r="A60" s="165"/>
      <c r="B60" s="280"/>
      <c r="C60" s="280"/>
      <c r="D60" s="286"/>
      <c r="E60" s="286"/>
      <c r="F60" s="287" t="s">
        <v>255</v>
      </c>
      <c r="G60" s="287"/>
      <c r="H60" s="231"/>
      <c r="I60" s="231"/>
      <c r="J60" s="231"/>
      <c r="K60" s="298"/>
      <c r="L60" s="299"/>
      <c r="M60" s="286"/>
      <c r="N60" s="286"/>
      <c r="O60" s="286"/>
    </row>
    <row r="61" spans="1:15">
      <c r="A61" s="165"/>
      <c r="B61" s="313"/>
      <c r="C61" s="314"/>
      <c r="D61" s="298"/>
      <c r="E61" s="299"/>
      <c r="F61" s="300"/>
      <c r="G61" s="301"/>
      <c r="H61" s="293"/>
      <c r="I61" s="294"/>
      <c r="J61" s="295"/>
      <c r="K61" s="298"/>
      <c r="L61" s="299"/>
      <c r="M61" s="298"/>
      <c r="N61" s="304"/>
      <c r="O61" s="299"/>
    </row>
    <row r="62" spans="1:15">
      <c r="A62" s="165"/>
      <c r="B62" s="281"/>
      <c r="C62" s="297"/>
      <c r="D62" s="298"/>
      <c r="E62" s="299"/>
      <c r="F62" s="300"/>
      <c r="G62" s="301"/>
      <c r="H62" s="293"/>
      <c r="I62" s="294"/>
      <c r="J62" s="295"/>
      <c r="K62" s="298"/>
      <c r="L62" s="299"/>
      <c r="M62" s="298"/>
      <c r="N62" s="304"/>
      <c r="O62" s="299"/>
    </row>
    <row r="63" spans="1:15">
      <c r="A63" s="165"/>
      <c r="B63" s="280"/>
      <c r="C63" s="280"/>
      <c r="D63" s="286"/>
      <c r="E63" s="286"/>
      <c r="F63" s="287"/>
      <c r="G63" s="287"/>
      <c r="H63" s="231"/>
      <c r="I63" s="231"/>
      <c r="J63" s="231"/>
      <c r="K63" s="298"/>
      <c r="L63" s="299"/>
      <c r="M63" s="286"/>
      <c r="N63" s="286"/>
      <c r="O63" s="286"/>
    </row>
    <row r="64" spans="1:15">
      <c r="A64" s="174" t="s">
        <v>58</v>
      </c>
      <c r="B64" s="242" t="s">
        <v>37</v>
      </c>
      <c r="C64" s="242"/>
      <c r="D64" s="242" t="s">
        <v>37</v>
      </c>
      <c r="E64" s="242"/>
      <c r="F64" s="242" t="s">
        <v>37</v>
      </c>
      <c r="G64" s="242"/>
      <c r="H64" s="231"/>
      <c r="I64" s="231"/>
      <c r="J64" s="231"/>
      <c r="K64" s="298"/>
      <c r="L64" s="299"/>
      <c r="M64" s="286"/>
      <c r="N64" s="286"/>
      <c r="O64" s="286"/>
    </row>
    <row r="65" spans="1:15">
      <c r="A65" s="24"/>
      <c r="C65" s="50"/>
      <c r="D65" s="50"/>
      <c r="E65" s="50"/>
      <c r="F65" s="50"/>
      <c r="G65" s="50"/>
      <c r="H65" s="50"/>
      <c r="I65" s="50"/>
      <c r="J65" s="50"/>
    </row>
    <row r="66" spans="1:15">
      <c r="A66" s="244" t="s">
        <v>76</v>
      </c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</row>
    <row r="67" spans="1:15">
      <c r="A67" s="42"/>
      <c r="B67" s="42"/>
      <c r="C67" s="42"/>
      <c r="D67" s="42"/>
      <c r="E67" s="42"/>
      <c r="F67" s="42"/>
      <c r="G67" s="42"/>
      <c r="H67" s="42"/>
      <c r="I67" s="175"/>
    </row>
    <row r="68" spans="1:15">
      <c r="A68" s="231" t="s">
        <v>68</v>
      </c>
      <c r="B68" s="231"/>
      <c r="C68" s="231"/>
      <c r="D68" s="231" t="s">
        <v>241</v>
      </c>
      <c r="E68" s="231"/>
      <c r="F68" s="231" t="s">
        <v>242</v>
      </c>
      <c r="G68" s="231"/>
      <c r="H68" s="231"/>
      <c r="I68" s="231"/>
      <c r="J68" s="231" t="s">
        <v>245</v>
      </c>
      <c r="K68" s="231"/>
      <c r="L68" s="231"/>
      <c r="M68" s="231"/>
      <c r="N68" s="231" t="s">
        <v>246</v>
      </c>
      <c r="O68" s="231"/>
    </row>
    <row r="69" spans="1:15">
      <c r="A69" s="231"/>
      <c r="B69" s="231"/>
      <c r="C69" s="231"/>
      <c r="D69" s="231"/>
      <c r="E69" s="231"/>
      <c r="F69" s="242" t="s">
        <v>243</v>
      </c>
      <c r="G69" s="242"/>
      <c r="H69" s="231" t="s">
        <v>244</v>
      </c>
      <c r="I69" s="231"/>
      <c r="J69" s="242" t="s">
        <v>243</v>
      </c>
      <c r="K69" s="242"/>
      <c r="L69" s="231" t="s">
        <v>244</v>
      </c>
      <c r="M69" s="231"/>
      <c r="N69" s="231"/>
      <c r="O69" s="231"/>
    </row>
    <row r="70" spans="1:15">
      <c r="A70" s="231">
        <v>1</v>
      </c>
      <c r="B70" s="231"/>
      <c r="C70" s="231"/>
      <c r="D70" s="293">
        <v>2</v>
      </c>
      <c r="E70" s="295"/>
      <c r="F70" s="293">
        <v>3</v>
      </c>
      <c r="G70" s="295"/>
      <c r="H70" s="291">
        <v>4</v>
      </c>
      <c r="I70" s="303"/>
      <c r="J70" s="291">
        <v>5</v>
      </c>
      <c r="K70" s="303"/>
      <c r="L70" s="291">
        <v>6</v>
      </c>
      <c r="M70" s="303"/>
      <c r="N70" s="291">
        <v>7</v>
      </c>
      <c r="O70" s="303"/>
    </row>
    <row r="71" spans="1:15">
      <c r="A71" s="302" t="s">
        <v>308</v>
      </c>
      <c r="B71" s="302"/>
      <c r="C71" s="302"/>
      <c r="D71" s="298"/>
      <c r="E71" s="299"/>
      <c r="F71" s="298"/>
      <c r="G71" s="299"/>
      <c r="H71" s="298"/>
      <c r="I71" s="299"/>
      <c r="J71" s="298"/>
      <c r="K71" s="299"/>
      <c r="L71" s="298"/>
      <c r="M71" s="299"/>
      <c r="N71" s="298"/>
      <c r="O71" s="299"/>
    </row>
    <row r="72" spans="1:15">
      <c r="A72" s="302" t="s">
        <v>104</v>
      </c>
      <c r="B72" s="302"/>
      <c r="C72" s="302"/>
      <c r="D72" s="298"/>
      <c r="E72" s="299"/>
      <c r="F72" s="298"/>
      <c r="G72" s="299"/>
      <c r="H72" s="298"/>
      <c r="I72" s="299"/>
      <c r="J72" s="298"/>
      <c r="K72" s="299"/>
      <c r="L72" s="298"/>
      <c r="M72" s="299"/>
      <c r="N72" s="298"/>
      <c r="O72" s="299"/>
    </row>
    <row r="73" spans="1:15">
      <c r="A73" s="302"/>
      <c r="B73" s="302"/>
      <c r="C73" s="302"/>
      <c r="D73" s="298"/>
      <c r="E73" s="299"/>
      <c r="F73" s="298"/>
      <c r="G73" s="299"/>
      <c r="H73" s="298"/>
      <c r="I73" s="299"/>
      <c r="J73" s="298"/>
      <c r="K73" s="299"/>
      <c r="L73" s="298"/>
      <c r="M73" s="299"/>
      <c r="N73" s="298"/>
      <c r="O73" s="299"/>
    </row>
    <row r="74" spans="1:15">
      <c r="A74" s="302" t="s">
        <v>309</v>
      </c>
      <c r="B74" s="302"/>
      <c r="C74" s="302"/>
      <c r="D74" s="298"/>
      <c r="E74" s="299"/>
      <c r="F74" s="298"/>
      <c r="G74" s="299"/>
      <c r="H74" s="298"/>
      <c r="I74" s="299"/>
      <c r="J74" s="298"/>
      <c r="K74" s="299"/>
      <c r="L74" s="298"/>
      <c r="M74" s="299"/>
      <c r="N74" s="298"/>
      <c r="O74" s="299"/>
    </row>
    <row r="75" spans="1:15">
      <c r="A75" s="302" t="s">
        <v>466</v>
      </c>
      <c r="B75" s="302"/>
      <c r="C75" s="302"/>
      <c r="D75" s="298"/>
      <c r="E75" s="299"/>
      <c r="F75" s="298"/>
      <c r="G75" s="299"/>
      <c r="H75" s="298"/>
      <c r="I75" s="299"/>
      <c r="J75" s="298"/>
      <c r="K75" s="299"/>
      <c r="L75" s="298"/>
      <c r="M75" s="299"/>
      <c r="N75" s="298"/>
      <c r="O75" s="299"/>
    </row>
    <row r="76" spans="1:15">
      <c r="A76" s="302"/>
      <c r="B76" s="302"/>
      <c r="C76" s="302"/>
      <c r="D76" s="298"/>
      <c r="E76" s="299"/>
      <c r="F76" s="298"/>
      <c r="G76" s="299"/>
      <c r="H76" s="298"/>
      <c r="I76" s="299"/>
      <c r="J76" s="298"/>
      <c r="K76" s="299"/>
      <c r="L76" s="298"/>
      <c r="M76" s="299"/>
      <c r="N76" s="298"/>
      <c r="O76" s="299"/>
    </row>
    <row r="77" spans="1:15">
      <c r="A77" s="302" t="s">
        <v>310</v>
      </c>
      <c r="B77" s="302"/>
      <c r="C77" s="302"/>
      <c r="D77" s="298"/>
      <c r="E77" s="299"/>
      <c r="F77" s="298"/>
      <c r="G77" s="299"/>
      <c r="H77" s="298"/>
      <c r="I77" s="299"/>
      <c r="J77" s="298"/>
      <c r="K77" s="299"/>
      <c r="L77" s="298"/>
      <c r="M77" s="299"/>
      <c r="N77" s="298"/>
      <c r="O77" s="299"/>
    </row>
    <row r="78" spans="1:15">
      <c r="A78" s="302" t="s">
        <v>104</v>
      </c>
      <c r="B78" s="302"/>
      <c r="C78" s="302"/>
      <c r="D78" s="298"/>
      <c r="E78" s="299"/>
      <c r="F78" s="298"/>
      <c r="G78" s="299"/>
      <c r="H78" s="298"/>
      <c r="I78" s="299"/>
      <c r="J78" s="298"/>
      <c r="K78" s="299"/>
      <c r="L78" s="298"/>
      <c r="M78" s="299"/>
      <c r="N78" s="298"/>
      <c r="O78" s="299"/>
    </row>
    <row r="79" spans="1:15">
      <c r="A79" s="302"/>
      <c r="B79" s="302"/>
      <c r="C79" s="302"/>
      <c r="D79" s="298"/>
      <c r="E79" s="299"/>
      <c r="F79" s="298"/>
      <c r="G79" s="299"/>
      <c r="H79" s="298"/>
      <c r="I79" s="299"/>
      <c r="J79" s="298"/>
      <c r="K79" s="299"/>
      <c r="L79" s="298"/>
      <c r="M79" s="299"/>
      <c r="N79" s="298"/>
      <c r="O79" s="299"/>
    </row>
    <row r="80" spans="1:15">
      <c r="A80" s="302" t="s">
        <v>58</v>
      </c>
      <c r="B80" s="302"/>
      <c r="C80" s="302"/>
      <c r="D80" s="298"/>
      <c r="E80" s="299"/>
      <c r="F80" s="298"/>
      <c r="G80" s="299"/>
      <c r="H80" s="298"/>
      <c r="I80" s="299"/>
      <c r="J80" s="298"/>
      <c r="K80" s="299"/>
      <c r="L80" s="298"/>
      <c r="M80" s="299"/>
      <c r="N80" s="298"/>
      <c r="O80" s="299"/>
    </row>
    <row r="81" spans="3:5">
      <c r="C81" s="176"/>
      <c r="D81" s="176"/>
      <c r="E81" s="176"/>
    </row>
    <row r="82" spans="3:5">
      <c r="C82" s="176"/>
      <c r="D82" s="176"/>
      <c r="E82" s="176"/>
    </row>
    <row r="83" spans="3:5">
      <c r="C83" s="176"/>
      <c r="D83" s="176"/>
      <c r="E83" s="176"/>
    </row>
    <row r="84" spans="3:5">
      <c r="C84" s="176"/>
      <c r="D84" s="176"/>
      <c r="E84" s="176"/>
    </row>
    <row r="85" spans="3:5">
      <c r="C85" s="176"/>
      <c r="D85" s="176"/>
      <c r="E85" s="176"/>
    </row>
    <row r="86" spans="3:5">
      <c r="C86" s="176"/>
      <c r="D86" s="176"/>
      <c r="E86" s="176"/>
    </row>
    <row r="87" spans="3:5">
      <c r="C87" s="176"/>
      <c r="D87" s="176"/>
      <c r="E87" s="176"/>
    </row>
    <row r="88" spans="3:5">
      <c r="C88" s="176"/>
      <c r="D88" s="176"/>
      <c r="E88" s="176"/>
    </row>
    <row r="89" spans="3:5">
      <c r="C89" s="176"/>
      <c r="D89" s="176"/>
      <c r="E89" s="176"/>
    </row>
    <row r="90" spans="3:5">
      <c r="C90" s="176"/>
      <c r="D90" s="176"/>
      <c r="E90" s="176"/>
    </row>
    <row r="91" spans="3:5">
      <c r="C91" s="176"/>
      <c r="D91" s="176"/>
      <c r="E91" s="176"/>
    </row>
    <row r="92" spans="3:5">
      <c r="C92" s="176"/>
      <c r="D92" s="176"/>
      <c r="E92" s="176"/>
    </row>
    <row r="93" spans="3:5">
      <c r="C93" s="176"/>
      <c r="D93" s="176"/>
      <c r="E93" s="176"/>
    </row>
    <row r="94" spans="3:5">
      <c r="C94" s="176"/>
      <c r="D94" s="176"/>
      <c r="E94" s="176"/>
    </row>
  </sheetData>
  <sheetProtection formatCells="0" formatColumns="0" formatRows="0" insertRows="0" deleteRows="0"/>
  <mergeCells count="306">
    <mergeCell ref="O47:O48"/>
    <mergeCell ref="G47:I47"/>
    <mergeCell ref="J47:L47"/>
    <mergeCell ref="M47:N47"/>
    <mergeCell ref="A49:C49"/>
    <mergeCell ref="H62:J62"/>
    <mergeCell ref="B34:C34"/>
    <mergeCell ref="B35:C35"/>
    <mergeCell ref="J35:K35"/>
    <mergeCell ref="F35:G35"/>
    <mergeCell ref="D59:E59"/>
    <mergeCell ref="D35:E35"/>
    <mergeCell ref="H35:I35"/>
    <mergeCell ref="H34:I34"/>
    <mergeCell ref="D47:F47"/>
    <mergeCell ref="A47:C48"/>
    <mergeCell ref="A50:C50"/>
    <mergeCell ref="B58:C58"/>
    <mergeCell ref="A56:O56"/>
    <mergeCell ref="A54:C54"/>
    <mergeCell ref="A51:C51"/>
    <mergeCell ref="A52:C52"/>
    <mergeCell ref="A53:C53"/>
    <mergeCell ref="B61:C61"/>
    <mergeCell ref="B18:C18"/>
    <mergeCell ref="B19:C19"/>
    <mergeCell ref="B21:C21"/>
    <mergeCell ref="B22:C22"/>
    <mergeCell ref="B23:C23"/>
    <mergeCell ref="B14:C14"/>
    <mergeCell ref="B15:C15"/>
    <mergeCell ref="B16:C16"/>
    <mergeCell ref="B17:C17"/>
    <mergeCell ref="L33:M33"/>
    <mergeCell ref="J33:K33"/>
    <mergeCell ref="L34:M34"/>
    <mergeCell ref="L35:M35"/>
    <mergeCell ref="N29:O29"/>
    <mergeCell ref="N30:O30"/>
    <mergeCell ref="N31:O31"/>
    <mergeCell ref="N33:O33"/>
    <mergeCell ref="N34:O34"/>
    <mergeCell ref="N35:O35"/>
    <mergeCell ref="L29:M29"/>
    <mergeCell ref="L30:M30"/>
    <mergeCell ref="L31:M31"/>
    <mergeCell ref="F29:G29"/>
    <mergeCell ref="F30:G30"/>
    <mergeCell ref="F31:G31"/>
    <mergeCell ref="F33:G33"/>
    <mergeCell ref="J29:K29"/>
    <mergeCell ref="H29:I29"/>
    <mergeCell ref="H30:I30"/>
    <mergeCell ref="H31:I31"/>
    <mergeCell ref="H33:I33"/>
    <mergeCell ref="J31:K31"/>
    <mergeCell ref="N23:O23"/>
    <mergeCell ref="N25:O25"/>
    <mergeCell ref="N26:O26"/>
    <mergeCell ref="A24:O24"/>
    <mergeCell ref="D33:E33"/>
    <mergeCell ref="D34:E34"/>
    <mergeCell ref="B33:C33"/>
    <mergeCell ref="A32:O32"/>
    <mergeCell ref="F34:G34"/>
    <mergeCell ref="J34:K34"/>
    <mergeCell ref="N27:O27"/>
    <mergeCell ref="D29:E29"/>
    <mergeCell ref="D30:E30"/>
    <mergeCell ref="D31:E31"/>
    <mergeCell ref="B25:C25"/>
    <mergeCell ref="B26:C26"/>
    <mergeCell ref="B27:C27"/>
    <mergeCell ref="B29:C29"/>
    <mergeCell ref="B31:C31"/>
    <mergeCell ref="B30:C30"/>
    <mergeCell ref="L23:M23"/>
    <mergeCell ref="L25:M25"/>
    <mergeCell ref="L26:M26"/>
    <mergeCell ref="J30:K30"/>
    <mergeCell ref="L27:M27"/>
    <mergeCell ref="F27:G27"/>
    <mergeCell ref="H23:I23"/>
    <mergeCell ref="H25:I25"/>
    <mergeCell ref="H26:I26"/>
    <mergeCell ref="H27:I27"/>
    <mergeCell ref="F23:G23"/>
    <mergeCell ref="F25:G25"/>
    <mergeCell ref="F26:G26"/>
    <mergeCell ref="J23:K23"/>
    <mergeCell ref="J25:K25"/>
    <mergeCell ref="J26:K26"/>
    <mergeCell ref="J27:K27"/>
    <mergeCell ref="F19:G19"/>
    <mergeCell ref="F21:G21"/>
    <mergeCell ref="F22:G22"/>
    <mergeCell ref="D19:E19"/>
    <mergeCell ref="J19:K19"/>
    <mergeCell ref="J21:K21"/>
    <mergeCell ref="J22:K22"/>
    <mergeCell ref="A20:O20"/>
    <mergeCell ref="H19:I19"/>
    <mergeCell ref="H21:I21"/>
    <mergeCell ref="H22:I22"/>
    <mergeCell ref="N19:O19"/>
    <mergeCell ref="N21:O21"/>
    <mergeCell ref="N22:O22"/>
    <mergeCell ref="L19:M19"/>
    <mergeCell ref="L21:M21"/>
    <mergeCell ref="L22:M22"/>
    <mergeCell ref="N17:O17"/>
    <mergeCell ref="L18:M18"/>
    <mergeCell ref="N18:O18"/>
    <mergeCell ref="F17:G17"/>
    <mergeCell ref="F18:G18"/>
    <mergeCell ref="H17:I17"/>
    <mergeCell ref="H18:I18"/>
    <mergeCell ref="J17:K17"/>
    <mergeCell ref="J18:K18"/>
    <mergeCell ref="H80:I80"/>
    <mergeCell ref="J80:K80"/>
    <mergeCell ref="L80:M80"/>
    <mergeCell ref="F11:G11"/>
    <mergeCell ref="F12:G12"/>
    <mergeCell ref="B12:C12"/>
    <mergeCell ref="D16:E16"/>
    <mergeCell ref="H76:I76"/>
    <mergeCell ref="N80:O80"/>
    <mergeCell ref="D79:E79"/>
    <mergeCell ref="F79:G79"/>
    <mergeCell ref="H79:I79"/>
    <mergeCell ref="J79:K79"/>
    <mergeCell ref="D17:E17"/>
    <mergeCell ref="D18:E18"/>
    <mergeCell ref="A68:C69"/>
    <mergeCell ref="D27:E27"/>
    <mergeCell ref="D23:E23"/>
    <mergeCell ref="D25:E25"/>
    <mergeCell ref="D26:E26"/>
    <mergeCell ref="D21:E21"/>
    <mergeCell ref="D22:E22"/>
    <mergeCell ref="A28:O28"/>
    <mergeCell ref="L12:M12"/>
    <mergeCell ref="J78:K78"/>
    <mergeCell ref="H72:I72"/>
    <mergeCell ref="J72:K72"/>
    <mergeCell ref="L73:M73"/>
    <mergeCell ref="H73:I73"/>
    <mergeCell ref="J73:K73"/>
    <mergeCell ref="J74:K74"/>
    <mergeCell ref="L79:M79"/>
    <mergeCell ref="N79:O79"/>
    <mergeCell ref="H78:I78"/>
    <mergeCell ref="L74:M74"/>
    <mergeCell ref="N73:O73"/>
    <mergeCell ref="N78:O78"/>
    <mergeCell ref="N76:O76"/>
    <mergeCell ref="L78:M78"/>
    <mergeCell ref="N77:O77"/>
    <mergeCell ref="N74:O74"/>
    <mergeCell ref="N75:O75"/>
    <mergeCell ref="N72:O72"/>
    <mergeCell ref="J76:K76"/>
    <mergeCell ref="L76:M76"/>
    <mergeCell ref="L72:M72"/>
    <mergeCell ref="H77:I77"/>
    <mergeCell ref="J77:K77"/>
    <mergeCell ref="N68:O69"/>
    <mergeCell ref="M64:O64"/>
    <mergeCell ref="L70:M70"/>
    <mergeCell ref="N70:O70"/>
    <mergeCell ref="L71:M71"/>
    <mergeCell ref="N71:O71"/>
    <mergeCell ref="H69:I69"/>
    <mergeCell ref="J71:K71"/>
    <mergeCell ref="H71:I71"/>
    <mergeCell ref="A66:O66"/>
    <mergeCell ref="B64:C64"/>
    <mergeCell ref="D64:E64"/>
    <mergeCell ref="F64:G64"/>
    <mergeCell ref="A71:C71"/>
    <mergeCell ref="A70:C70"/>
    <mergeCell ref="D70:E70"/>
    <mergeCell ref="A80:C80"/>
    <mergeCell ref="D73:E73"/>
    <mergeCell ref="F73:G73"/>
    <mergeCell ref="A78:C78"/>
    <mergeCell ref="D76:E76"/>
    <mergeCell ref="F76:G76"/>
    <mergeCell ref="A77:C77"/>
    <mergeCell ref="A76:C76"/>
    <mergeCell ref="A79:C79"/>
    <mergeCell ref="D75:E75"/>
    <mergeCell ref="D80:E80"/>
    <mergeCell ref="F80:G80"/>
    <mergeCell ref="D78:E78"/>
    <mergeCell ref="F78:G78"/>
    <mergeCell ref="A73:C73"/>
    <mergeCell ref="D77:E77"/>
    <mergeCell ref="F77:G77"/>
    <mergeCell ref="H63:J63"/>
    <mergeCell ref="A74:C74"/>
    <mergeCell ref="H75:I75"/>
    <mergeCell ref="J75:K75"/>
    <mergeCell ref="A75:C75"/>
    <mergeCell ref="L75:M75"/>
    <mergeCell ref="D72:E72"/>
    <mergeCell ref="F72:G72"/>
    <mergeCell ref="B63:C63"/>
    <mergeCell ref="L69:M69"/>
    <mergeCell ref="L77:M77"/>
    <mergeCell ref="H74:I74"/>
    <mergeCell ref="K63:L63"/>
    <mergeCell ref="F75:G75"/>
    <mergeCell ref="D74:E74"/>
    <mergeCell ref="F74:G74"/>
    <mergeCell ref="H70:I70"/>
    <mergeCell ref="D71:E71"/>
    <mergeCell ref="M58:O58"/>
    <mergeCell ref="H64:J64"/>
    <mergeCell ref="D58:E58"/>
    <mergeCell ref="F58:G58"/>
    <mergeCell ref="H58:J58"/>
    <mergeCell ref="K58:L58"/>
    <mergeCell ref="D63:E63"/>
    <mergeCell ref="D61:E61"/>
    <mergeCell ref="F61:G61"/>
    <mergeCell ref="M63:O63"/>
    <mergeCell ref="K64:L64"/>
    <mergeCell ref="M62:O62"/>
    <mergeCell ref="M61:O61"/>
    <mergeCell ref="M59:O59"/>
    <mergeCell ref="M60:O60"/>
    <mergeCell ref="F63:G63"/>
    <mergeCell ref="B62:C62"/>
    <mergeCell ref="D62:E62"/>
    <mergeCell ref="F62:G62"/>
    <mergeCell ref="A72:C72"/>
    <mergeCell ref="H59:J59"/>
    <mergeCell ref="K61:L61"/>
    <mergeCell ref="K62:L62"/>
    <mergeCell ref="H61:J61"/>
    <mergeCell ref="F71:G71"/>
    <mergeCell ref="K59:L59"/>
    <mergeCell ref="B59:C59"/>
    <mergeCell ref="F59:G59"/>
    <mergeCell ref="F68:I68"/>
    <mergeCell ref="F69:G69"/>
    <mergeCell ref="D68:E69"/>
    <mergeCell ref="F70:G70"/>
    <mergeCell ref="B60:C60"/>
    <mergeCell ref="H60:J60"/>
    <mergeCell ref="F60:G60"/>
    <mergeCell ref="D60:E60"/>
    <mergeCell ref="K60:L60"/>
    <mergeCell ref="J70:K70"/>
    <mergeCell ref="J68:M68"/>
    <mergeCell ref="J69:K69"/>
    <mergeCell ref="N1:O1"/>
    <mergeCell ref="N2:O2"/>
    <mergeCell ref="A3:O3"/>
    <mergeCell ref="A4:O4"/>
    <mergeCell ref="A7:O7"/>
    <mergeCell ref="A9:O9"/>
    <mergeCell ref="B41:E41"/>
    <mergeCell ref="F40:O40"/>
    <mergeCell ref="B40:E40"/>
    <mergeCell ref="A39:O39"/>
    <mergeCell ref="N12:O12"/>
    <mergeCell ref="H12:I12"/>
    <mergeCell ref="J12:K12"/>
    <mergeCell ref="F14:G14"/>
    <mergeCell ref="F15:G15"/>
    <mergeCell ref="F16:G16"/>
    <mergeCell ref="D12:E12"/>
    <mergeCell ref="H16:I16"/>
    <mergeCell ref="H11:I11"/>
    <mergeCell ref="J11:K11"/>
    <mergeCell ref="L11:M11"/>
    <mergeCell ref="J16:K16"/>
    <mergeCell ref="J15:K15"/>
    <mergeCell ref="L15:M15"/>
    <mergeCell ref="A5:O5"/>
    <mergeCell ref="A6:O6"/>
    <mergeCell ref="F42:O42"/>
    <mergeCell ref="B42:E42"/>
    <mergeCell ref="A37:O37"/>
    <mergeCell ref="F41:O41"/>
    <mergeCell ref="A45:O45"/>
    <mergeCell ref="M43:O43"/>
    <mergeCell ref="M44:O44"/>
    <mergeCell ref="L16:M16"/>
    <mergeCell ref="N11:O11"/>
    <mergeCell ref="D14:E14"/>
    <mergeCell ref="D15:E15"/>
    <mergeCell ref="A13:O13"/>
    <mergeCell ref="N15:O15"/>
    <mergeCell ref="B11:C11"/>
    <mergeCell ref="D11:E11"/>
    <mergeCell ref="H14:I14"/>
    <mergeCell ref="J14:K14"/>
    <mergeCell ref="H15:I15"/>
    <mergeCell ref="N16:O16"/>
    <mergeCell ref="L14:M14"/>
    <mergeCell ref="N14:O14"/>
    <mergeCell ref="L17:M17"/>
  </mergeCells>
  <phoneticPr fontId="3" type="noConversion"/>
  <pageMargins left="0.78740157480314965" right="0.78740157480314965" top="1.1811023622047245" bottom="0.43307086614173229" header="0" footer="0"/>
  <pageSetup paperSize="9" scale="45" orientation="landscape" horizontalDpi="1200" verticalDpi="1200" r:id="rId1"/>
  <headerFooter alignWithMargins="0"/>
  <rowBreaks count="1" manualBreakCount="1">
    <brk id="38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tabColor indexed="43"/>
    <pageSetUpPr fitToPage="1"/>
  </sheetPr>
  <dimension ref="A1:AE60"/>
  <sheetViews>
    <sheetView tabSelected="1" view="pageBreakPreview" topLeftCell="A25" zoomScale="60" zoomScaleNormal="60" workbookViewId="0">
      <selection activeCell="A35" sqref="A35:B35"/>
    </sheetView>
  </sheetViews>
  <sheetFormatPr defaultColWidth="9.1796875" defaultRowHeight="18"/>
  <cols>
    <col min="1" max="1" width="4.453125" style="178" customWidth="1"/>
    <col min="2" max="2" width="92.81640625" style="178" customWidth="1"/>
    <col min="3" max="6" width="11.26953125" style="178" customWidth="1"/>
    <col min="7" max="12" width="11" style="178" customWidth="1"/>
    <col min="13" max="13" width="23" style="178" customWidth="1"/>
    <col min="14" max="31" width="11" style="178" customWidth="1"/>
    <col min="32" max="16384" width="9.1796875" style="178"/>
  </cols>
  <sheetData>
    <row r="1" spans="1:3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Q1" s="179"/>
      <c r="R1" s="179"/>
      <c r="S1" s="179"/>
      <c r="T1" s="179"/>
      <c r="U1" s="179"/>
      <c r="AB1" s="321"/>
      <c r="AC1" s="321"/>
      <c r="AD1" s="321"/>
      <c r="AE1" s="321"/>
    </row>
    <row r="2" spans="1:31" ht="18.75" customHeight="1">
      <c r="B2" s="180" t="s">
        <v>248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</row>
    <row r="3" spans="1:31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31" ht="18.75" customHeight="1">
      <c r="A4" s="322" t="s">
        <v>53</v>
      </c>
      <c r="B4" s="322" t="s">
        <v>192</v>
      </c>
      <c r="C4" s="317" t="s">
        <v>193</v>
      </c>
      <c r="D4" s="317" t="s">
        <v>337</v>
      </c>
      <c r="E4" s="317" t="s">
        <v>194</v>
      </c>
      <c r="F4" s="315" t="s">
        <v>301</v>
      </c>
      <c r="G4" s="320"/>
      <c r="H4" s="320"/>
      <c r="I4" s="320"/>
      <c r="J4" s="316"/>
    </row>
    <row r="5" spans="1:31" ht="71.25" customHeight="1">
      <c r="A5" s="323"/>
      <c r="B5" s="323"/>
      <c r="C5" s="319"/>
      <c r="D5" s="319"/>
      <c r="E5" s="319"/>
      <c r="F5" s="183" t="s">
        <v>195</v>
      </c>
      <c r="G5" s="183" t="s">
        <v>196</v>
      </c>
      <c r="H5" s="183" t="s">
        <v>41</v>
      </c>
      <c r="I5" s="183" t="s">
        <v>197</v>
      </c>
      <c r="J5" s="183" t="s">
        <v>198</v>
      </c>
    </row>
    <row r="6" spans="1:31" ht="18" customHeight="1">
      <c r="A6" s="184">
        <v>1</v>
      </c>
      <c r="B6" s="184">
        <v>2</v>
      </c>
      <c r="C6" s="184">
        <v>3</v>
      </c>
      <c r="D6" s="184">
        <v>4</v>
      </c>
      <c r="E6" s="184">
        <v>5</v>
      </c>
      <c r="F6" s="184">
        <v>6</v>
      </c>
      <c r="G6" s="184">
        <v>7</v>
      </c>
      <c r="H6" s="184">
        <v>8</v>
      </c>
      <c r="I6" s="184">
        <v>9</v>
      </c>
      <c r="J6" s="184">
        <v>10</v>
      </c>
    </row>
    <row r="7" spans="1:31" ht="20.149999999999999" customHeight="1">
      <c r="A7" s="324" t="s">
        <v>58</v>
      </c>
      <c r="B7" s="325"/>
      <c r="C7" s="184"/>
      <c r="D7" s="184"/>
      <c r="E7" s="184"/>
      <c r="F7" s="184"/>
      <c r="G7" s="184"/>
      <c r="H7" s="184"/>
      <c r="I7" s="184"/>
      <c r="J7" s="184"/>
    </row>
    <row r="8" spans="1:31" ht="18.75" customHeight="1">
      <c r="A8" s="186"/>
      <c r="B8" s="186"/>
      <c r="C8" s="186"/>
      <c r="D8" s="186"/>
      <c r="E8" s="186"/>
      <c r="F8" s="186"/>
      <c r="G8" s="186"/>
      <c r="H8" s="186"/>
      <c r="I8" s="186"/>
      <c r="J8" s="186"/>
    </row>
    <row r="9" spans="1:31" s="180" customFormat="1" ht="18.75" customHeight="1">
      <c r="B9" s="180" t="s">
        <v>249</v>
      </c>
    </row>
    <row r="10" spans="1:31" s="180" customFormat="1" ht="18.75" customHeight="1"/>
    <row r="11" spans="1:31" ht="18.75" customHeight="1">
      <c r="A11" s="322" t="s">
        <v>53</v>
      </c>
      <c r="B11" s="322" t="s">
        <v>199</v>
      </c>
      <c r="C11" s="317" t="s">
        <v>192</v>
      </c>
      <c r="D11" s="317" t="s">
        <v>337</v>
      </c>
      <c r="E11" s="317" t="s">
        <v>200</v>
      </c>
      <c r="F11" s="315" t="s">
        <v>201</v>
      </c>
      <c r="G11" s="320"/>
      <c r="H11" s="320"/>
      <c r="I11" s="320"/>
      <c r="J11" s="316"/>
    </row>
    <row r="12" spans="1:31" ht="18.75" customHeight="1">
      <c r="A12" s="326"/>
      <c r="B12" s="326"/>
      <c r="C12" s="318"/>
      <c r="D12" s="318"/>
      <c r="E12" s="318"/>
      <c r="F12" s="317" t="s">
        <v>500</v>
      </c>
      <c r="G12" s="315" t="s">
        <v>501</v>
      </c>
      <c r="H12" s="320"/>
      <c r="I12" s="320"/>
      <c r="J12" s="316"/>
    </row>
    <row r="13" spans="1:31" ht="52.5" customHeight="1">
      <c r="A13" s="323"/>
      <c r="B13" s="323"/>
      <c r="C13" s="319"/>
      <c r="D13" s="319"/>
      <c r="E13" s="319"/>
      <c r="F13" s="319"/>
      <c r="G13" s="183" t="s">
        <v>502</v>
      </c>
      <c r="H13" s="183" t="s">
        <v>503</v>
      </c>
      <c r="I13" s="183" t="s">
        <v>504</v>
      </c>
      <c r="J13" s="183" t="s">
        <v>505</v>
      </c>
    </row>
    <row r="14" spans="1:31" ht="18" customHeight="1">
      <c r="A14" s="183">
        <v>1</v>
      </c>
      <c r="B14" s="183">
        <v>2</v>
      </c>
      <c r="C14" s="183">
        <v>3</v>
      </c>
      <c r="D14" s="183">
        <v>4</v>
      </c>
      <c r="E14" s="183">
        <v>5</v>
      </c>
      <c r="F14" s="183"/>
      <c r="G14" s="183"/>
      <c r="H14" s="183"/>
      <c r="I14" s="183"/>
      <c r="J14" s="183"/>
    </row>
    <row r="15" spans="1:31" ht="20.149999999999999" customHeight="1">
      <c r="A15" s="315" t="s">
        <v>58</v>
      </c>
      <c r="B15" s="316"/>
      <c r="C15" s="183"/>
      <c r="D15" s="183"/>
      <c r="E15" s="183"/>
      <c r="F15" s="183"/>
      <c r="G15" s="183"/>
      <c r="H15" s="183"/>
      <c r="I15" s="183"/>
      <c r="J15" s="183"/>
    </row>
    <row r="16" spans="1:31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Q16" s="179"/>
      <c r="R16" s="179"/>
      <c r="S16" s="179"/>
      <c r="T16" s="179"/>
      <c r="U16" s="179"/>
      <c r="AE16" s="179"/>
    </row>
    <row r="17" spans="1:30" s="180" customFormat="1" ht="18.75" customHeight="1">
      <c r="B17" s="180" t="s">
        <v>213</v>
      </c>
      <c r="AB17" s="187"/>
      <c r="AC17" s="187"/>
      <c r="AD17" s="187"/>
    </row>
    <row r="18" spans="1:30" ht="20.5">
      <c r="A18" s="188"/>
      <c r="B18" s="188"/>
      <c r="C18" s="188"/>
      <c r="D18" s="188"/>
      <c r="E18" s="188"/>
      <c r="F18" s="188"/>
      <c r="G18" s="188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U18" s="185"/>
      <c r="V18" s="190" t="s">
        <v>233</v>
      </c>
      <c r="AC18" s="185"/>
      <c r="AD18" s="190"/>
    </row>
    <row r="19" spans="1:30" ht="30" customHeight="1">
      <c r="A19" s="317" t="s">
        <v>53</v>
      </c>
      <c r="B19" s="317" t="s">
        <v>250</v>
      </c>
      <c r="C19" s="315" t="s">
        <v>57</v>
      </c>
      <c r="D19" s="320"/>
      <c r="E19" s="320"/>
      <c r="F19" s="316"/>
      <c r="G19" s="315" t="s">
        <v>88</v>
      </c>
      <c r="H19" s="320"/>
      <c r="I19" s="320"/>
      <c r="J19" s="316"/>
      <c r="K19" s="315" t="s">
        <v>307</v>
      </c>
      <c r="L19" s="320"/>
      <c r="M19" s="320"/>
      <c r="N19" s="316"/>
      <c r="O19" s="315" t="s">
        <v>127</v>
      </c>
      <c r="P19" s="320"/>
      <c r="Q19" s="320"/>
      <c r="R19" s="316"/>
      <c r="S19" s="315" t="s">
        <v>58</v>
      </c>
      <c r="T19" s="320"/>
      <c r="U19" s="320"/>
      <c r="V19" s="316"/>
      <c r="X19" s="185"/>
      <c r="Y19" s="185"/>
      <c r="Z19" s="185"/>
    </row>
    <row r="20" spans="1:30" ht="30" customHeight="1">
      <c r="A20" s="318"/>
      <c r="B20" s="318"/>
      <c r="C20" s="315" t="s">
        <v>501</v>
      </c>
      <c r="D20" s="320"/>
      <c r="E20" s="320"/>
      <c r="F20" s="316"/>
      <c r="G20" s="315" t="s">
        <v>501</v>
      </c>
      <c r="H20" s="320"/>
      <c r="I20" s="320"/>
      <c r="J20" s="316"/>
      <c r="K20" s="315" t="s">
        <v>501</v>
      </c>
      <c r="L20" s="320"/>
      <c r="M20" s="320"/>
      <c r="N20" s="316"/>
      <c r="O20" s="315" t="s">
        <v>501</v>
      </c>
      <c r="P20" s="320"/>
      <c r="Q20" s="320"/>
      <c r="R20" s="316"/>
      <c r="S20" s="315" t="s">
        <v>501</v>
      </c>
      <c r="T20" s="320"/>
      <c r="U20" s="320"/>
      <c r="V20" s="316"/>
      <c r="X20" s="185"/>
      <c r="Y20" s="185"/>
      <c r="Z20" s="185"/>
    </row>
    <row r="21" spans="1:30" ht="40" customHeight="1">
      <c r="A21" s="319"/>
      <c r="B21" s="319"/>
      <c r="C21" s="191" t="s">
        <v>243</v>
      </c>
      <c r="D21" s="191" t="s">
        <v>244</v>
      </c>
      <c r="E21" s="191" t="s">
        <v>542</v>
      </c>
      <c r="F21" s="191" t="s">
        <v>543</v>
      </c>
      <c r="G21" s="191" t="s">
        <v>243</v>
      </c>
      <c r="H21" s="191" t="s">
        <v>244</v>
      </c>
      <c r="I21" s="191" t="s">
        <v>542</v>
      </c>
      <c r="J21" s="191" t="s">
        <v>543</v>
      </c>
      <c r="K21" s="191" t="s">
        <v>243</v>
      </c>
      <c r="L21" s="191" t="s">
        <v>244</v>
      </c>
      <c r="M21" s="191" t="s">
        <v>542</v>
      </c>
      <c r="N21" s="191" t="s">
        <v>543</v>
      </c>
      <c r="O21" s="191" t="s">
        <v>243</v>
      </c>
      <c r="P21" s="191" t="s">
        <v>244</v>
      </c>
      <c r="Q21" s="191" t="s">
        <v>542</v>
      </c>
      <c r="R21" s="191" t="s">
        <v>543</v>
      </c>
      <c r="S21" s="191" t="s">
        <v>243</v>
      </c>
      <c r="T21" s="191" t="s">
        <v>244</v>
      </c>
      <c r="U21" s="191" t="s">
        <v>542</v>
      </c>
      <c r="V21" s="191" t="s">
        <v>543</v>
      </c>
      <c r="X21" s="185"/>
      <c r="Y21" s="185"/>
      <c r="Z21" s="185"/>
    </row>
    <row r="22" spans="1:30" ht="26.25" customHeight="1">
      <c r="A22" s="191">
        <v>1</v>
      </c>
      <c r="B22" s="183">
        <v>2</v>
      </c>
      <c r="C22" s="191">
        <v>3</v>
      </c>
      <c r="D22" s="191">
        <v>4</v>
      </c>
      <c r="E22" s="191">
        <v>5</v>
      </c>
      <c r="F22" s="191">
        <v>6</v>
      </c>
      <c r="G22" s="191">
        <v>7</v>
      </c>
      <c r="H22" s="191">
        <v>8</v>
      </c>
      <c r="I22" s="191">
        <v>9</v>
      </c>
      <c r="J22" s="191">
        <v>10</v>
      </c>
      <c r="K22" s="191">
        <v>11</v>
      </c>
      <c r="L22" s="191">
        <v>12</v>
      </c>
      <c r="M22" s="191">
        <v>13</v>
      </c>
      <c r="N22" s="191">
        <v>14</v>
      </c>
      <c r="O22" s="191">
        <v>15</v>
      </c>
      <c r="P22" s="191">
        <v>16</v>
      </c>
      <c r="Q22" s="191">
        <v>17</v>
      </c>
      <c r="R22" s="191">
        <v>18</v>
      </c>
      <c r="S22" s="191">
        <v>19</v>
      </c>
      <c r="T22" s="191">
        <v>20</v>
      </c>
      <c r="U22" s="191">
        <v>21</v>
      </c>
      <c r="V22" s="191">
        <v>22</v>
      </c>
      <c r="X22" s="185"/>
      <c r="Y22" s="185"/>
      <c r="Z22" s="185"/>
    </row>
    <row r="23" spans="1:30" ht="26.25" customHeight="1">
      <c r="A23" s="192">
        <v>1</v>
      </c>
      <c r="B23" s="193" t="s">
        <v>532</v>
      </c>
      <c r="C23" s="194"/>
      <c r="D23" s="195"/>
      <c r="E23" s="194">
        <f>D23-C23</f>
        <v>0</v>
      </c>
      <c r="F23" s="196" t="e">
        <f>D23/C23</f>
        <v>#DIV/0!</v>
      </c>
      <c r="G23" s="195"/>
      <c r="H23" s="195"/>
      <c r="I23" s="194">
        <f>H23-G23</f>
        <v>0</v>
      </c>
      <c r="J23" s="196" t="e">
        <f>H23/G23</f>
        <v>#DIV/0!</v>
      </c>
      <c r="K23" s="197">
        <v>75</v>
      </c>
      <c r="L23" s="197"/>
      <c r="M23" s="194">
        <f>L23-K23</f>
        <v>-75</v>
      </c>
      <c r="N23" s="198">
        <f>L23/K23</f>
        <v>0</v>
      </c>
      <c r="O23" s="191"/>
      <c r="P23" s="191"/>
      <c r="Q23" s="194">
        <f>P23-O23</f>
        <v>0</v>
      </c>
      <c r="R23" s="196" t="e">
        <f>P23/O23</f>
        <v>#DIV/0!</v>
      </c>
      <c r="S23" s="199">
        <f>C23+G23+K23+O23</f>
        <v>75</v>
      </c>
      <c r="T23" s="199">
        <f>D23+H23+L23+P23</f>
        <v>0</v>
      </c>
      <c r="U23" s="194">
        <f>T23-S23</f>
        <v>-75</v>
      </c>
      <c r="V23" s="198">
        <f>T23/S23</f>
        <v>0</v>
      </c>
      <c r="X23" s="185"/>
      <c r="Y23" s="185"/>
      <c r="Z23" s="185"/>
    </row>
    <row r="24" spans="1:30" ht="26.25" customHeight="1">
      <c r="A24" s="192">
        <v>2</v>
      </c>
      <c r="B24" s="193" t="s">
        <v>533</v>
      </c>
      <c r="C24" s="194"/>
      <c r="D24" s="195"/>
      <c r="E24" s="194">
        <f t="shared" ref="E24:E34" si="0">D24-C24</f>
        <v>0</v>
      </c>
      <c r="F24" s="196" t="e">
        <f t="shared" ref="F24:F34" si="1">D24/C24</f>
        <v>#DIV/0!</v>
      </c>
      <c r="G24" s="195"/>
      <c r="H24" s="195"/>
      <c r="I24" s="194">
        <f t="shared" ref="I24:I34" si="2">H24-G24</f>
        <v>0</v>
      </c>
      <c r="J24" s="196" t="e">
        <f t="shared" ref="J24:J34" si="3">H24/G24</f>
        <v>#DIV/0!</v>
      </c>
      <c r="K24" s="197"/>
      <c r="L24" s="197"/>
      <c r="M24" s="194">
        <f t="shared" ref="M24:M34" si="4">L24-K24</f>
        <v>0</v>
      </c>
      <c r="N24" s="196" t="e">
        <f t="shared" ref="N24:N34" si="5">L24/K24</f>
        <v>#DIV/0!</v>
      </c>
      <c r="O24" s="191"/>
      <c r="P24" s="191"/>
      <c r="Q24" s="194">
        <f t="shared" ref="Q24:Q34" si="6">P24-O24</f>
        <v>0</v>
      </c>
      <c r="R24" s="196" t="e">
        <f t="shared" ref="R24:R34" si="7">P24/O24</f>
        <v>#DIV/0!</v>
      </c>
      <c r="S24" s="199">
        <f t="shared" ref="S24:S34" si="8">C24+G24+K24+O24</f>
        <v>0</v>
      </c>
      <c r="T24" s="199">
        <f t="shared" ref="T24:T34" si="9">D24+H24+L24+P24</f>
        <v>0</v>
      </c>
      <c r="U24" s="194">
        <f t="shared" ref="U24:U34" si="10">T24-S24</f>
        <v>0</v>
      </c>
      <c r="V24" s="196" t="e">
        <f t="shared" ref="V24:V34" si="11">T24/S24</f>
        <v>#DIV/0!</v>
      </c>
      <c r="X24" s="185"/>
      <c r="Y24" s="185"/>
      <c r="Z24" s="185"/>
    </row>
    <row r="25" spans="1:30" ht="20.5">
      <c r="A25" s="192">
        <v>4</v>
      </c>
      <c r="B25" s="193" t="s">
        <v>534</v>
      </c>
      <c r="C25" s="194"/>
      <c r="D25" s="195"/>
      <c r="E25" s="194">
        <f t="shared" si="0"/>
        <v>0</v>
      </c>
      <c r="F25" s="196" t="e">
        <f t="shared" si="1"/>
        <v>#DIV/0!</v>
      </c>
      <c r="G25" s="195"/>
      <c r="H25" s="195"/>
      <c r="I25" s="194">
        <f t="shared" si="2"/>
        <v>0</v>
      </c>
      <c r="J25" s="196" t="e">
        <f t="shared" si="3"/>
        <v>#DIV/0!</v>
      </c>
      <c r="K25" s="197"/>
      <c r="L25" s="197"/>
      <c r="M25" s="194">
        <f t="shared" si="4"/>
        <v>0</v>
      </c>
      <c r="N25" s="196" t="e">
        <f t="shared" si="5"/>
        <v>#DIV/0!</v>
      </c>
      <c r="O25" s="191"/>
      <c r="P25" s="191"/>
      <c r="Q25" s="194">
        <f t="shared" si="6"/>
        <v>0</v>
      </c>
      <c r="R25" s="196" t="e">
        <f t="shared" si="7"/>
        <v>#DIV/0!</v>
      </c>
      <c r="S25" s="199">
        <f t="shared" si="8"/>
        <v>0</v>
      </c>
      <c r="T25" s="199">
        <f t="shared" si="9"/>
        <v>0</v>
      </c>
      <c r="U25" s="194">
        <f t="shared" si="10"/>
        <v>0</v>
      </c>
      <c r="V25" s="196" t="e">
        <f t="shared" si="11"/>
        <v>#DIV/0!</v>
      </c>
      <c r="X25" s="185"/>
      <c r="Y25" s="185"/>
      <c r="Z25" s="185"/>
    </row>
    <row r="26" spans="1:30" s="185" customFormat="1" ht="20.5">
      <c r="A26" s="192">
        <v>5</v>
      </c>
      <c r="B26" s="193" t="s">
        <v>535</v>
      </c>
      <c r="C26" s="194"/>
      <c r="D26" s="195"/>
      <c r="E26" s="194">
        <f t="shared" si="0"/>
        <v>0</v>
      </c>
      <c r="F26" s="196" t="e">
        <f t="shared" si="1"/>
        <v>#DIV/0!</v>
      </c>
      <c r="G26" s="195"/>
      <c r="H26" s="195"/>
      <c r="I26" s="194">
        <f t="shared" si="2"/>
        <v>0</v>
      </c>
      <c r="J26" s="196" t="e">
        <f t="shared" si="3"/>
        <v>#DIV/0!</v>
      </c>
      <c r="K26" s="197"/>
      <c r="L26" s="197">
        <v>68</v>
      </c>
      <c r="M26" s="194">
        <f t="shared" si="4"/>
        <v>68</v>
      </c>
      <c r="N26" s="196" t="e">
        <f t="shared" si="5"/>
        <v>#DIV/0!</v>
      </c>
      <c r="O26" s="191"/>
      <c r="P26" s="191"/>
      <c r="Q26" s="194">
        <f t="shared" si="6"/>
        <v>0</v>
      </c>
      <c r="R26" s="196" t="e">
        <f t="shared" si="7"/>
        <v>#DIV/0!</v>
      </c>
      <c r="S26" s="199">
        <f t="shared" si="8"/>
        <v>0</v>
      </c>
      <c r="T26" s="199">
        <f t="shared" si="9"/>
        <v>68</v>
      </c>
      <c r="U26" s="194">
        <f t="shared" si="10"/>
        <v>68</v>
      </c>
      <c r="V26" s="196" t="e">
        <f t="shared" si="11"/>
        <v>#DIV/0!</v>
      </c>
    </row>
    <row r="27" spans="1:30" s="185" customFormat="1" ht="20.5">
      <c r="A27" s="192">
        <v>6</v>
      </c>
      <c r="B27" s="193" t="s">
        <v>536</v>
      </c>
      <c r="C27" s="194"/>
      <c r="D27" s="195"/>
      <c r="E27" s="194">
        <f t="shared" si="0"/>
        <v>0</v>
      </c>
      <c r="F27" s="196" t="e">
        <f t="shared" si="1"/>
        <v>#DIV/0!</v>
      </c>
      <c r="G27" s="195"/>
      <c r="H27" s="195"/>
      <c r="I27" s="194">
        <f t="shared" si="2"/>
        <v>0</v>
      </c>
      <c r="J27" s="196" t="e">
        <f t="shared" si="3"/>
        <v>#DIV/0!</v>
      </c>
      <c r="K27" s="197">
        <v>18</v>
      </c>
      <c r="L27" s="197"/>
      <c r="M27" s="194">
        <f t="shared" si="4"/>
        <v>-18</v>
      </c>
      <c r="N27" s="198">
        <f t="shared" si="5"/>
        <v>0</v>
      </c>
      <c r="O27" s="191"/>
      <c r="P27" s="191"/>
      <c r="Q27" s="194">
        <f t="shared" si="6"/>
        <v>0</v>
      </c>
      <c r="R27" s="196" t="e">
        <f t="shared" si="7"/>
        <v>#DIV/0!</v>
      </c>
      <c r="S27" s="199">
        <f t="shared" si="8"/>
        <v>18</v>
      </c>
      <c r="T27" s="199">
        <f t="shared" si="9"/>
        <v>0</v>
      </c>
      <c r="U27" s="194">
        <f t="shared" si="10"/>
        <v>-18</v>
      </c>
      <c r="V27" s="198">
        <f t="shared" si="11"/>
        <v>0</v>
      </c>
    </row>
    <row r="28" spans="1:30" s="185" customFormat="1" ht="20.5">
      <c r="A28" s="192">
        <v>7</v>
      </c>
      <c r="B28" s="193" t="s">
        <v>537</v>
      </c>
      <c r="C28" s="194"/>
      <c r="D28" s="195"/>
      <c r="E28" s="194">
        <f t="shared" si="0"/>
        <v>0</v>
      </c>
      <c r="F28" s="196" t="e">
        <f t="shared" si="1"/>
        <v>#DIV/0!</v>
      </c>
      <c r="G28" s="195"/>
      <c r="H28" s="195"/>
      <c r="I28" s="194">
        <f t="shared" si="2"/>
        <v>0</v>
      </c>
      <c r="J28" s="196" t="e">
        <f t="shared" si="3"/>
        <v>#DIV/0!</v>
      </c>
      <c r="K28" s="197"/>
      <c r="L28" s="197"/>
      <c r="M28" s="194">
        <f t="shared" si="4"/>
        <v>0</v>
      </c>
      <c r="N28" s="196" t="e">
        <f t="shared" si="5"/>
        <v>#DIV/0!</v>
      </c>
      <c r="O28" s="191"/>
      <c r="P28" s="191"/>
      <c r="Q28" s="194">
        <f t="shared" si="6"/>
        <v>0</v>
      </c>
      <c r="R28" s="196" t="e">
        <f t="shared" si="7"/>
        <v>#DIV/0!</v>
      </c>
      <c r="S28" s="199">
        <f t="shared" si="8"/>
        <v>0</v>
      </c>
      <c r="T28" s="199">
        <f t="shared" si="9"/>
        <v>0</v>
      </c>
      <c r="U28" s="194">
        <f t="shared" si="10"/>
        <v>0</v>
      </c>
      <c r="V28" s="196" t="e">
        <f t="shared" si="11"/>
        <v>#DIV/0!</v>
      </c>
    </row>
    <row r="29" spans="1:30" s="185" customFormat="1" ht="20.5">
      <c r="A29" s="192">
        <v>8</v>
      </c>
      <c r="B29" s="193" t="s">
        <v>538</v>
      </c>
      <c r="C29" s="194"/>
      <c r="D29" s="195"/>
      <c r="E29" s="194">
        <f t="shared" si="0"/>
        <v>0</v>
      </c>
      <c r="F29" s="196" t="e">
        <f t="shared" si="1"/>
        <v>#DIV/0!</v>
      </c>
      <c r="G29" s="195"/>
      <c r="H29" s="195"/>
      <c r="I29" s="194">
        <f t="shared" si="2"/>
        <v>0</v>
      </c>
      <c r="J29" s="196" t="e">
        <f t="shared" si="3"/>
        <v>#DIV/0!</v>
      </c>
      <c r="K29" s="197"/>
      <c r="L29" s="197"/>
      <c r="M29" s="194">
        <f t="shared" si="4"/>
        <v>0</v>
      </c>
      <c r="N29" s="196" t="e">
        <f t="shared" si="5"/>
        <v>#DIV/0!</v>
      </c>
      <c r="O29" s="191"/>
      <c r="P29" s="191"/>
      <c r="Q29" s="194">
        <f t="shared" si="6"/>
        <v>0</v>
      </c>
      <c r="R29" s="196" t="e">
        <f t="shared" si="7"/>
        <v>#DIV/0!</v>
      </c>
      <c r="S29" s="199">
        <f t="shared" si="8"/>
        <v>0</v>
      </c>
      <c r="T29" s="199">
        <f t="shared" si="9"/>
        <v>0</v>
      </c>
      <c r="U29" s="194">
        <f t="shared" si="10"/>
        <v>0</v>
      </c>
      <c r="V29" s="196" t="e">
        <f t="shared" si="11"/>
        <v>#DIV/0!</v>
      </c>
    </row>
    <row r="30" spans="1:30" s="185" customFormat="1" ht="18.75" customHeight="1">
      <c r="A30" s="192">
        <v>9</v>
      </c>
      <c r="B30" s="193" t="s">
        <v>539</v>
      </c>
      <c r="C30" s="194"/>
      <c r="D30" s="195"/>
      <c r="E30" s="194">
        <f t="shared" si="0"/>
        <v>0</v>
      </c>
      <c r="F30" s="196" t="e">
        <f t="shared" si="1"/>
        <v>#DIV/0!</v>
      </c>
      <c r="G30" s="195"/>
      <c r="H30" s="195"/>
      <c r="I30" s="194">
        <f t="shared" si="2"/>
        <v>0</v>
      </c>
      <c r="J30" s="196" t="e">
        <f t="shared" si="3"/>
        <v>#DIV/0!</v>
      </c>
      <c r="K30" s="197">
        <v>20</v>
      </c>
      <c r="L30" s="197"/>
      <c r="M30" s="194">
        <f t="shared" si="4"/>
        <v>-20</v>
      </c>
      <c r="N30" s="198">
        <f t="shared" si="5"/>
        <v>0</v>
      </c>
      <c r="O30" s="191"/>
      <c r="P30" s="191"/>
      <c r="Q30" s="194">
        <f t="shared" si="6"/>
        <v>0</v>
      </c>
      <c r="R30" s="196" t="e">
        <f t="shared" si="7"/>
        <v>#DIV/0!</v>
      </c>
      <c r="S30" s="199">
        <f t="shared" si="8"/>
        <v>20</v>
      </c>
      <c r="T30" s="199">
        <f t="shared" si="9"/>
        <v>0</v>
      </c>
      <c r="U30" s="194">
        <f t="shared" si="10"/>
        <v>-20</v>
      </c>
      <c r="V30" s="198">
        <f t="shared" si="11"/>
        <v>0</v>
      </c>
    </row>
    <row r="31" spans="1:30" s="185" customFormat="1" ht="20.5">
      <c r="A31" s="192">
        <v>10</v>
      </c>
      <c r="B31" s="193" t="s">
        <v>540</v>
      </c>
      <c r="C31" s="194"/>
      <c r="D31" s="195"/>
      <c r="E31" s="194">
        <f t="shared" si="0"/>
        <v>0</v>
      </c>
      <c r="F31" s="196" t="e">
        <f t="shared" si="1"/>
        <v>#DIV/0!</v>
      </c>
      <c r="G31" s="195"/>
      <c r="H31" s="195"/>
      <c r="I31" s="194">
        <f t="shared" si="2"/>
        <v>0</v>
      </c>
      <c r="J31" s="196" t="e">
        <f t="shared" si="3"/>
        <v>#DIV/0!</v>
      </c>
      <c r="K31" s="197"/>
      <c r="L31" s="197"/>
      <c r="M31" s="194">
        <f t="shared" si="4"/>
        <v>0</v>
      </c>
      <c r="N31" s="196" t="e">
        <f t="shared" si="5"/>
        <v>#DIV/0!</v>
      </c>
      <c r="O31" s="191"/>
      <c r="P31" s="191"/>
      <c r="Q31" s="194">
        <f t="shared" si="6"/>
        <v>0</v>
      </c>
      <c r="R31" s="196" t="e">
        <f t="shared" si="7"/>
        <v>#DIV/0!</v>
      </c>
      <c r="S31" s="199">
        <f t="shared" si="8"/>
        <v>0</v>
      </c>
      <c r="T31" s="199">
        <f t="shared" si="9"/>
        <v>0</v>
      </c>
      <c r="U31" s="194">
        <f t="shared" si="10"/>
        <v>0</v>
      </c>
      <c r="V31" s="196" t="e">
        <f t="shared" si="11"/>
        <v>#DIV/0!</v>
      </c>
    </row>
    <row r="32" spans="1:30" s="185" customFormat="1" ht="20.5">
      <c r="A32" s="192">
        <v>11</v>
      </c>
      <c r="B32" s="183" t="s">
        <v>554</v>
      </c>
      <c r="C32" s="194"/>
      <c r="D32" s="195"/>
      <c r="E32" s="194">
        <f t="shared" si="0"/>
        <v>0</v>
      </c>
      <c r="F32" s="196" t="e">
        <f t="shared" si="1"/>
        <v>#DIV/0!</v>
      </c>
      <c r="G32" s="195"/>
      <c r="H32" s="195"/>
      <c r="I32" s="194">
        <f t="shared" si="2"/>
        <v>0</v>
      </c>
      <c r="J32" s="196" t="e">
        <f t="shared" si="3"/>
        <v>#DIV/0!</v>
      </c>
      <c r="K32" s="197"/>
      <c r="L32" s="197">
        <v>646.4</v>
      </c>
      <c r="M32" s="194">
        <f t="shared" si="4"/>
        <v>646.4</v>
      </c>
      <c r="N32" s="196" t="e">
        <f t="shared" si="5"/>
        <v>#DIV/0!</v>
      </c>
      <c r="O32" s="191"/>
      <c r="P32" s="191"/>
      <c r="Q32" s="194">
        <f t="shared" si="6"/>
        <v>0</v>
      </c>
      <c r="R32" s="196" t="e">
        <f t="shared" si="7"/>
        <v>#DIV/0!</v>
      </c>
      <c r="S32" s="199">
        <f t="shared" si="8"/>
        <v>0</v>
      </c>
      <c r="T32" s="199">
        <f t="shared" si="9"/>
        <v>646.4</v>
      </c>
      <c r="U32" s="194">
        <f t="shared" si="10"/>
        <v>646.4</v>
      </c>
      <c r="V32" s="196" t="e">
        <f t="shared" si="11"/>
        <v>#DIV/0!</v>
      </c>
    </row>
    <row r="33" spans="1:26" s="185" customFormat="1" ht="20.5">
      <c r="A33" s="192">
        <v>12</v>
      </c>
      <c r="B33" s="183" t="s">
        <v>555</v>
      </c>
      <c r="C33" s="194"/>
      <c r="D33" s="195"/>
      <c r="E33" s="194">
        <f t="shared" si="0"/>
        <v>0</v>
      </c>
      <c r="F33" s="196" t="e">
        <f t="shared" si="1"/>
        <v>#DIV/0!</v>
      </c>
      <c r="G33" s="195"/>
      <c r="H33" s="195"/>
      <c r="I33" s="194">
        <f t="shared" si="2"/>
        <v>0</v>
      </c>
      <c r="J33" s="196" t="e">
        <f t="shared" si="3"/>
        <v>#DIV/0!</v>
      </c>
      <c r="K33" s="197"/>
      <c r="L33" s="197">
        <v>3.2</v>
      </c>
      <c r="M33" s="194">
        <f t="shared" si="4"/>
        <v>3.2</v>
      </c>
      <c r="N33" s="196" t="e">
        <f t="shared" si="5"/>
        <v>#DIV/0!</v>
      </c>
      <c r="O33" s="191"/>
      <c r="P33" s="191"/>
      <c r="Q33" s="194">
        <f t="shared" si="6"/>
        <v>0</v>
      </c>
      <c r="R33" s="196" t="e">
        <f t="shared" si="7"/>
        <v>#DIV/0!</v>
      </c>
      <c r="S33" s="199">
        <f t="shared" si="8"/>
        <v>0</v>
      </c>
      <c r="T33" s="199">
        <f t="shared" si="9"/>
        <v>3.2</v>
      </c>
      <c r="U33" s="194">
        <f t="shared" si="10"/>
        <v>3.2</v>
      </c>
      <c r="V33" s="196" t="e">
        <f t="shared" si="11"/>
        <v>#DIV/0!</v>
      </c>
    </row>
    <row r="34" spans="1:26" s="185" customFormat="1" ht="18.75" customHeight="1">
      <c r="A34" s="192"/>
      <c r="B34" s="183"/>
      <c r="C34" s="194"/>
      <c r="D34" s="195"/>
      <c r="E34" s="194">
        <f t="shared" si="0"/>
        <v>0</v>
      </c>
      <c r="F34" s="196" t="e">
        <f t="shared" si="1"/>
        <v>#DIV/0!</v>
      </c>
      <c r="G34" s="195"/>
      <c r="H34" s="195"/>
      <c r="I34" s="194">
        <f t="shared" si="2"/>
        <v>0</v>
      </c>
      <c r="J34" s="196" t="e">
        <f t="shared" si="3"/>
        <v>#DIV/0!</v>
      </c>
      <c r="K34" s="197"/>
      <c r="L34" s="197"/>
      <c r="M34" s="194">
        <f t="shared" si="4"/>
        <v>0</v>
      </c>
      <c r="N34" s="196" t="e">
        <f t="shared" si="5"/>
        <v>#DIV/0!</v>
      </c>
      <c r="O34" s="191"/>
      <c r="P34" s="191"/>
      <c r="Q34" s="194">
        <f t="shared" si="6"/>
        <v>0</v>
      </c>
      <c r="R34" s="196" t="e">
        <f t="shared" si="7"/>
        <v>#DIV/0!</v>
      </c>
      <c r="S34" s="199">
        <f t="shared" si="8"/>
        <v>0</v>
      </c>
      <c r="T34" s="199">
        <f t="shared" si="9"/>
        <v>0</v>
      </c>
      <c r="U34" s="194">
        <f t="shared" si="10"/>
        <v>0</v>
      </c>
      <c r="V34" s="196" t="e">
        <f t="shared" si="11"/>
        <v>#DIV/0!</v>
      </c>
    </row>
    <row r="35" spans="1:26" ht="26" customHeight="1">
      <c r="A35" s="315" t="s">
        <v>58</v>
      </c>
      <c r="B35" s="316"/>
      <c r="C35" s="200">
        <f>SUM(C23:C34)</f>
        <v>0</v>
      </c>
      <c r="D35" s="200">
        <f t="shared" ref="D35:U35" si="12">SUM(D23:D34)</f>
        <v>0</v>
      </c>
      <c r="E35" s="200">
        <f t="shared" si="12"/>
        <v>0</v>
      </c>
      <c r="F35" s="201"/>
      <c r="G35" s="200">
        <f t="shared" si="12"/>
        <v>0</v>
      </c>
      <c r="H35" s="200">
        <f t="shared" si="12"/>
        <v>0</v>
      </c>
      <c r="I35" s="200">
        <f t="shared" si="12"/>
        <v>0</v>
      </c>
      <c r="J35" s="201"/>
      <c r="K35" s="200">
        <f t="shared" si="12"/>
        <v>113</v>
      </c>
      <c r="L35" s="200">
        <f>SUM(L23:L34)</f>
        <v>717.6</v>
      </c>
      <c r="M35" s="200">
        <f t="shared" si="12"/>
        <v>604.6</v>
      </c>
      <c r="N35" s="200"/>
      <c r="O35" s="200">
        <f t="shared" si="12"/>
        <v>0</v>
      </c>
      <c r="P35" s="200">
        <f t="shared" si="12"/>
        <v>0</v>
      </c>
      <c r="Q35" s="200">
        <f t="shared" si="12"/>
        <v>0</v>
      </c>
      <c r="R35" s="201"/>
      <c r="S35" s="200">
        <f t="shared" si="12"/>
        <v>113</v>
      </c>
      <c r="T35" s="200">
        <f t="shared" si="12"/>
        <v>717.6</v>
      </c>
      <c r="U35" s="200">
        <f t="shared" si="12"/>
        <v>604.6</v>
      </c>
      <c r="V35" s="200"/>
      <c r="X35" s="185"/>
      <c r="Y35" s="185"/>
      <c r="Z35" s="185"/>
    </row>
    <row r="36" spans="1:26" ht="30" customHeight="1">
      <c r="A36" s="315" t="s">
        <v>59</v>
      </c>
      <c r="B36" s="316"/>
      <c r="C36" s="191"/>
      <c r="D36" s="191"/>
      <c r="E36" s="191"/>
      <c r="F36" s="196" t="e">
        <f>D35/C35</f>
        <v>#DIV/0!</v>
      </c>
      <c r="G36" s="202"/>
      <c r="H36" s="191"/>
      <c r="I36" s="191"/>
      <c r="J36" s="196" t="e">
        <f>H35/G35</f>
        <v>#DIV/0!</v>
      </c>
      <c r="K36" s="191"/>
      <c r="L36" s="191"/>
      <c r="M36" s="191"/>
      <c r="N36" s="198">
        <f>L35/K35</f>
        <v>6.3504424778761068</v>
      </c>
      <c r="O36" s="191"/>
      <c r="P36" s="191"/>
      <c r="Q36" s="191"/>
      <c r="R36" s="196" t="e">
        <f>P35/O35</f>
        <v>#DIV/0!</v>
      </c>
      <c r="S36" s="203"/>
      <c r="T36" s="203"/>
      <c r="U36" s="203"/>
      <c r="V36" s="198">
        <f>T35/S35</f>
        <v>6.3504424778761068</v>
      </c>
      <c r="X36" s="185"/>
      <c r="Y36" s="185"/>
      <c r="Z36" s="185"/>
    </row>
    <row r="37" spans="1:26" ht="18" customHeight="1">
      <c r="A37" s="204"/>
      <c r="B37" s="204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X37" s="185"/>
      <c r="Y37" s="185"/>
      <c r="Z37" s="185"/>
    </row>
    <row r="38" spans="1:26" s="180" customFormat="1" ht="20">
      <c r="B38" s="180" t="s">
        <v>251</v>
      </c>
      <c r="X38" s="187"/>
      <c r="Y38" s="187"/>
      <c r="Z38" s="187"/>
    </row>
    <row r="39" spans="1:26" s="206" customFormat="1" ht="20.5">
      <c r="A39" s="178"/>
      <c r="B39" s="178"/>
      <c r="C39" s="178"/>
      <c r="D39" s="178"/>
      <c r="E39" s="178"/>
      <c r="F39" s="178"/>
      <c r="G39" s="178"/>
      <c r="H39" s="178"/>
      <c r="I39" s="178"/>
      <c r="K39" s="178"/>
      <c r="N39" s="207"/>
      <c r="O39" s="207"/>
      <c r="P39" s="190" t="s">
        <v>233</v>
      </c>
      <c r="X39" s="207"/>
      <c r="Y39" s="207"/>
      <c r="Z39" s="190"/>
    </row>
    <row r="40" spans="1:26" s="208" customFormat="1">
      <c r="A40" s="333" t="s">
        <v>206</v>
      </c>
      <c r="B40" s="317" t="s">
        <v>506</v>
      </c>
      <c r="C40" s="336" t="s">
        <v>507</v>
      </c>
      <c r="D40" s="337"/>
      <c r="E40" s="317" t="s">
        <v>207</v>
      </c>
      <c r="F40" s="317" t="s">
        <v>208</v>
      </c>
      <c r="G40" s="317" t="s">
        <v>508</v>
      </c>
      <c r="H40" s="315" t="s">
        <v>509</v>
      </c>
      <c r="I40" s="320"/>
      <c r="J40" s="320"/>
      <c r="K40" s="320"/>
      <c r="L40" s="316"/>
      <c r="M40" s="317" t="s">
        <v>510</v>
      </c>
      <c r="N40" s="317" t="s">
        <v>328</v>
      </c>
    </row>
    <row r="41" spans="1:26" s="208" customFormat="1">
      <c r="A41" s="334"/>
      <c r="B41" s="318"/>
      <c r="C41" s="338"/>
      <c r="D41" s="339"/>
      <c r="E41" s="318"/>
      <c r="F41" s="318"/>
      <c r="G41" s="318"/>
      <c r="H41" s="317" t="s">
        <v>302</v>
      </c>
      <c r="I41" s="317" t="s">
        <v>305</v>
      </c>
      <c r="J41" s="315" t="s">
        <v>306</v>
      </c>
      <c r="K41" s="320"/>
      <c r="L41" s="316"/>
      <c r="M41" s="318"/>
      <c r="N41" s="318"/>
    </row>
    <row r="42" spans="1:26" s="209" customFormat="1" ht="108">
      <c r="A42" s="335"/>
      <c r="B42" s="319"/>
      <c r="C42" s="340"/>
      <c r="D42" s="341"/>
      <c r="E42" s="319"/>
      <c r="F42" s="319"/>
      <c r="G42" s="319"/>
      <c r="H42" s="319"/>
      <c r="I42" s="319"/>
      <c r="J42" s="183" t="s">
        <v>303</v>
      </c>
      <c r="K42" s="183" t="s">
        <v>304</v>
      </c>
      <c r="L42" s="183" t="s">
        <v>511</v>
      </c>
      <c r="M42" s="319"/>
      <c r="N42" s="319"/>
    </row>
    <row r="43" spans="1:26" s="208" customFormat="1">
      <c r="A43" s="210">
        <v>1</v>
      </c>
      <c r="B43" s="191">
        <v>2</v>
      </c>
      <c r="C43" s="315">
        <v>3</v>
      </c>
      <c r="D43" s="316"/>
      <c r="E43" s="183">
        <v>4</v>
      </c>
      <c r="F43" s="183">
        <v>5</v>
      </c>
      <c r="G43" s="183">
        <v>6</v>
      </c>
      <c r="H43" s="183">
        <v>7</v>
      </c>
      <c r="I43" s="183">
        <v>8</v>
      </c>
      <c r="J43" s="183">
        <v>9</v>
      </c>
      <c r="K43" s="183">
        <v>10</v>
      </c>
      <c r="L43" s="183">
        <v>11</v>
      </c>
      <c r="M43" s="183">
        <v>12</v>
      </c>
      <c r="N43" s="183">
        <v>13</v>
      </c>
    </row>
    <row r="44" spans="1:26" s="208" customFormat="1" ht="20.149999999999999" customHeight="1">
      <c r="A44" s="330" t="s">
        <v>58</v>
      </c>
      <c r="B44" s="331"/>
      <c r="C44" s="331"/>
      <c r="D44" s="332"/>
      <c r="E44" s="211"/>
      <c r="F44" s="211"/>
      <c r="G44" s="211"/>
      <c r="H44" s="183"/>
      <c r="I44" s="183"/>
      <c r="J44" s="183"/>
      <c r="K44" s="183"/>
      <c r="L44" s="183"/>
      <c r="M44" s="183"/>
      <c r="N44" s="183"/>
    </row>
    <row r="45" spans="1:26" ht="20.149999999999999" customHeight="1">
      <c r="A45" s="204"/>
      <c r="B45" s="204"/>
      <c r="C45" s="205"/>
      <c r="D45" s="205"/>
      <c r="E45" s="205"/>
      <c r="F45" s="212"/>
      <c r="G45" s="205"/>
      <c r="H45" s="213"/>
      <c r="I45" s="213"/>
      <c r="J45" s="213"/>
      <c r="K45" s="213"/>
      <c r="L45" s="213"/>
      <c r="M45" s="213"/>
      <c r="N45" s="213"/>
      <c r="O45" s="213"/>
    </row>
    <row r="46" spans="1:26" ht="20.149999999999999" customHeight="1">
      <c r="A46" s="214"/>
      <c r="B46" s="214" t="s">
        <v>530</v>
      </c>
      <c r="C46" s="215"/>
      <c r="D46" s="216"/>
      <c r="E46" s="216"/>
      <c r="F46" s="216"/>
      <c r="G46" s="217"/>
      <c r="H46" s="327" t="s">
        <v>528</v>
      </c>
      <c r="I46" s="327"/>
      <c r="J46" s="327"/>
    </row>
    <row r="47" spans="1:26" ht="21" customHeight="1">
      <c r="B47" s="218" t="s">
        <v>78</v>
      </c>
      <c r="C47" s="328" t="s">
        <v>79</v>
      </c>
      <c r="D47" s="328"/>
      <c r="E47" s="328"/>
      <c r="F47" s="328"/>
      <c r="G47" s="219"/>
      <c r="H47" s="329" t="s">
        <v>103</v>
      </c>
      <c r="I47" s="329"/>
      <c r="J47" s="329"/>
    </row>
    <row r="48" spans="1:26"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</row>
    <row r="49" spans="2:21"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</row>
    <row r="50" spans="2:21"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</row>
    <row r="51" spans="2:21">
      <c r="B51" s="204"/>
    </row>
    <row r="54" spans="2:21">
      <c r="B54" s="221"/>
    </row>
    <row r="55" spans="2:21">
      <c r="B55" s="221"/>
    </row>
    <row r="56" spans="2:21">
      <c r="B56" s="221"/>
    </row>
    <row r="57" spans="2:21">
      <c r="B57" s="221"/>
    </row>
    <row r="58" spans="2:21">
      <c r="B58" s="221"/>
    </row>
    <row r="59" spans="2:21">
      <c r="B59" s="221"/>
    </row>
    <row r="60" spans="2:21">
      <c r="B60" s="221"/>
    </row>
  </sheetData>
  <sheetProtection formatCells="0" formatColumns="0" formatRows="0" insertRows="0" deleteRows="0"/>
  <mergeCells count="48">
    <mergeCell ref="H46:J46"/>
    <mergeCell ref="C47:F47"/>
    <mergeCell ref="H47:J47"/>
    <mergeCell ref="A44:D44"/>
    <mergeCell ref="B19:B21"/>
    <mergeCell ref="A36:B36"/>
    <mergeCell ref="A40:A42"/>
    <mergeCell ref="B40:B42"/>
    <mergeCell ref="C40:D42"/>
    <mergeCell ref="E40:E42"/>
    <mergeCell ref="O19:R19"/>
    <mergeCell ref="S19:V19"/>
    <mergeCell ref="C20:F20"/>
    <mergeCell ref="G20:J20"/>
    <mergeCell ref="K20:N20"/>
    <mergeCell ref="O20:R20"/>
    <mergeCell ref="S20:V20"/>
    <mergeCell ref="A7:B7"/>
    <mergeCell ref="A11:A13"/>
    <mergeCell ref="B11:B13"/>
    <mergeCell ref="C11:C13"/>
    <mergeCell ref="D11:D13"/>
    <mergeCell ref="AB1:AE1"/>
    <mergeCell ref="A4:A5"/>
    <mergeCell ref="B4:B5"/>
    <mergeCell ref="C4:C5"/>
    <mergeCell ref="D4:D5"/>
    <mergeCell ref="E4:E5"/>
    <mergeCell ref="F4:J4"/>
    <mergeCell ref="N40:N42"/>
    <mergeCell ref="C43:D43"/>
    <mergeCell ref="G19:J19"/>
    <mergeCell ref="E11:E13"/>
    <mergeCell ref="F11:J11"/>
    <mergeCell ref="F12:F13"/>
    <mergeCell ref="K19:N19"/>
    <mergeCell ref="F40:F42"/>
    <mergeCell ref="G40:G42"/>
    <mergeCell ref="H40:L40"/>
    <mergeCell ref="M40:M42"/>
    <mergeCell ref="H41:H42"/>
    <mergeCell ref="I41:I42"/>
    <mergeCell ref="J41:L41"/>
    <mergeCell ref="A15:B15"/>
    <mergeCell ref="A19:A21"/>
    <mergeCell ref="C19:F19"/>
    <mergeCell ref="A35:B35"/>
    <mergeCell ref="G12:J12"/>
  </mergeCells>
  <phoneticPr fontId="3" type="noConversion"/>
  <pageMargins left="0.78740157480314965" right="0.78740157480314965" top="1.1811023622047245" bottom="0.43307086614173229" header="0" footer="0"/>
  <pageSetup paperSize="9" scale="39" fitToHeight="0" orientation="landscape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13</vt:i4>
      </vt:variant>
    </vt:vector>
  </HeadingPairs>
  <TitlesOfParts>
    <vt:vector size="22" baseType="lpstr">
      <vt:lpstr>фінплан - зведені показники</vt:lpstr>
      <vt:lpstr>1. Фін результат</vt:lpstr>
      <vt:lpstr>2. Розрахунки з бюджетом</vt:lpstr>
      <vt:lpstr>3. Рух грошових коштів</vt:lpstr>
      <vt:lpstr>4. Кап. інвестиції</vt:lpstr>
      <vt:lpstr> 5. Коефіцієнти</vt:lpstr>
      <vt:lpstr>6.1. Інша інфо_1</vt:lpstr>
      <vt:lpstr>6.2. Інша інфо_2</vt:lpstr>
      <vt:lpstr>Лист1</vt:lpstr>
      <vt:lpstr>' 5. Коефіцієнти'!Заголовки_для_печати</vt:lpstr>
      <vt:lpstr>'1. Фін результат'!Заголовки_для_печати</vt:lpstr>
      <vt:lpstr>'2. Розрахунки з бюджетом'!Заголовки_для_печати</vt:lpstr>
      <vt:lpstr>'3. Рух грошових коштів'!Заголовки_для_печати</vt:lpstr>
      <vt:lpstr>'фінплан - зведені показники'!Заголовки_для_печати</vt:lpstr>
      <vt:lpstr>' 5. Коефіцієнти'!Область_печати</vt:lpstr>
      <vt:lpstr>'1. Фін результат'!Область_печати</vt:lpstr>
      <vt:lpstr>'2. Розрахунки з бюджетом'!Область_печати</vt:lpstr>
      <vt:lpstr>'3. Рух грошових коштів'!Область_печати</vt:lpstr>
      <vt:lpstr>'4. Кап. інвестиції'!Область_печати</vt:lpstr>
      <vt:lpstr>'6.1. Інша інфо_1'!Область_печати</vt:lpstr>
      <vt:lpstr>'6.2. Інша інфо_2'!Область_печати</vt:lpstr>
      <vt:lpstr>'фінплан - зведені показники'!Область_печати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2023-05-17T06:54:38Z</cp:lastPrinted>
  <dcterms:created xsi:type="dcterms:W3CDTF">2003-03-13T16:00:22Z</dcterms:created>
  <dcterms:modified xsi:type="dcterms:W3CDTF">2023-05-17T06:55:56Z</dcterms:modified>
</cp:coreProperties>
</file>