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ФИН плани\Фінплан 2023\финплан 2023 затверд\"/>
    </mc:Choice>
  </mc:AlternateContent>
  <xr:revisionPtr revIDLastSave="0" documentId="13_ncr:1_{76A47C2C-6811-4B8F-99FE-CBBEAFA2E446}" xr6:coauthVersionLast="47" xr6:coauthVersionMax="47" xr10:uidLastSave="{00000000-0000-0000-0000-000000000000}"/>
  <bookViews>
    <workbookView xWindow="-110" yWindow="-110" windowWidth="19420" windowHeight="10420" tabRatio="823" activeTab="2" xr2:uid="{00000000-000D-0000-FFFF-FFFF00000000}"/>
  </bookViews>
  <sheets>
    <sheet name="титул" sheetId="25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6.2. Інша інфо_2 (2)" sheetId="20" r:id="rId9"/>
    <sheet name="штатка" sheetId="2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[1]GDP!#REF!</definedName>
    <definedName name="_xlnm._FilterDatabase" localSheetId="2" hidden="1">'I. Фін результат'!$A$7:$M$145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пок.'!$9:$9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Коефіцієнти'!$A$1:$I$26</definedName>
    <definedName name="_xlnm.Print_Area" localSheetId="7">'6.1. Інша інфо_1'!$A$1:$O$73</definedName>
    <definedName name="_xlnm.Print_Area" localSheetId="8">'6.2. Інша інфо_2 (2)'!$A$1:$V$60</definedName>
    <definedName name="_xlnm.Print_Area" localSheetId="2">'I. Фін результат'!$A$1:$L$148</definedName>
    <definedName name="_xlnm.Print_Area" localSheetId="5">'IV. Кап. інвестиції'!$A$1:$I$16</definedName>
    <definedName name="_xlnm.Print_Area" localSheetId="3">'ІІ. Розр. з бюджетом'!$A$1:$L$43</definedName>
    <definedName name="_xlnm.Print_Area" localSheetId="4">'ІІІ. Рух грош. коштів'!$A$1:$R$87</definedName>
    <definedName name="_xlnm.Print_Area" localSheetId="1">'Осн. фін. пок.'!$A$1:$N$60</definedName>
    <definedName name="_xlnm.Print_Area" localSheetId="0">титул!$A$1:$G$33</definedName>
    <definedName name="_xlnm.Print_Area" localSheetId="9">штатка!$A$1:$M$37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 refMode="R1C1"/>
</workbook>
</file>

<file path=xl/calcChain.xml><?xml version="1.0" encoding="utf-8"?>
<calcChain xmlns="http://schemas.openxmlformats.org/spreadsheetml/2006/main">
  <c r="T45" i="20" l="1"/>
  <c r="U45" i="20"/>
  <c r="V45" i="20"/>
  <c r="S45" i="20"/>
  <c r="H38" i="18"/>
  <c r="I38" i="18"/>
  <c r="J38" i="18"/>
  <c r="S33" i="20"/>
  <c r="T33" i="20"/>
  <c r="U33" i="20"/>
  <c r="V33" i="20"/>
  <c r="S34" i="20"/>
  <c r="T34" i="20"/>
  <c r="U34" i="20"/>
  <c r="V34" i="20"/>
  <c r="S35" i="20"/>
  <c r="T35" i="20"/>
  <c r="U35" i="20"/>
  <c r="V35" i="20"/>
  <c r="S36" i="20"/>
  <c r="T36" i="20"/>
  <c r="U36" i="20"/>
  <c r="V36" i="20"/>
  <c r="S37" i="20"/>
  <c r="T37" i="20"/>
  <c r="U37" i="20"/>
  <c r="V37" i="20"/>
  <c r="S38" i="20"/>
  <c r="T38" i="20"/>
  <c r="U38" i="20"/>
  <c r="V38" i="20"/>
  <c r="S39" i="20"/>
  <c r="T39" i="20"/>
  <c r="U39" i="20"/>
  <c r="V39" i="20"/>
  <c r="S40" i="20"/>
  <c r="T40" i="20"/>
  <c r="U40" i="20"/>
  <c r="V40" i="20"/>
  <c r="S41" i="20"/>
  <c r="T41" i="20"/>
  <c r="U41" i="20"/>
  <c r="V41" i="20"/>
  <c r="S42" i="20"/>
  <c r="T42" i="20"/>
  <c r="U42" i="20"/>
  <c r="V42" i="20"/>
  <c r="S43" i="20"/>
  <c r="T43" i="20"/>
  <c r="U43" i="20"/>
  <c r="V43" i="20"/>
  <c r="S44" i="20"/>
  <c r="T44" i="20"/>
  <c r="U44" i="20"/>
  <c r="V44" i="20"/>
  <c r="T32" i="20"/>
  <c r="U32" i="20"/>
  <c r="V32" i="20"/>
  <c r="S32" i="20"/>
  <c r="M45" i="20"/>
  <c r="N45" i="20"/>
  <c r="H8" i="3" l="1"/>
  <c r="F124" i="2" l="1"/>
  <c r="J37" i="2" l="1"/>
  <c r="J19" i="20" l="1"/>
  <c r="F19" i="20"/>
  <c r="F61" i="18" l="1"/>
  <c r="F62" i="18"/>
  <c r="F63" i="18"/>
  <c r="H31" i="21"/>
  <c r="J36" i="21"/>
  <c r="J37" i="21"/>
  <c r="J35" i="21"/>
  <c r="J31" i="21"/>
  <c r="J32" i="21"/>
  <c r="J30" i="21"/>
  <c r="J21" i="21"/>
  <c r="J22" i="21"/>
  <c r="J23" i="21"/>
  <c r="J24" i="21"/>
  <c r="J25" i="21"/>
  <c r="J26" i="21"/>
  <c r="J27" i="21"/>
  <c r="J20" i="21"/>
  <c r="J6" i="21"/>
  <c r="K6" i="21"/>
  <c r="L6" i="21"/>
  <c r="M6" i="21"/>
  <c r="J7" i="21"/>
  <c r="K7" i="21"/>
  <c r="L7" i="21"/>
  <c r="M7" i="21"/>
  <c r="J8" i="21"/>
  <c r="G43" i="2" s="1"/>
  <c r="K8" i="21"/>
  <c r="H43" i="2" s="1"/>
  <c r="L8" i="21"/>
  <c r="I43" i="2" s="1"/>
  <c r="M8" i="21"/>
  <c r="J43" i="2" s="1"/>
  <c r="J63" i="2" s="1"/>
  <c r="J9" i="21"/>
  <c r="G44" i="2" s="1"/>
  <c r="K9" i="21"/>
  <c r="H44" i="2" s="1"/>
  <c r="L9" i="21"/>
  <c r="I44" i="2" s="1"/>
  <c r="M9" i="21"/>
  <c r="J44" i="2" s="1"/>
  <c r="J10" i="21"/>
  <c r="K10" i="21"/>
  <c r="L10" i="21"/>
  <c r="M10" i="21"/>
  <c r="J11" i="21"/>
  <c r="K11" i="21"/>
  <c r="L11" i="21"/>
  <c r="M11" i="21"/>
  <c r="J12" i="21"/>
  <c r="K12" i="21"/>
  <c r="L12" i="21"/>
  <c r="M12" i="21"/>
  <c r="J13" i="21"/>
  <c r="K13" i="21"/>
  <c r="L13" i="21"/>
  <c r="M13" i="21"/>
  <c r="J14" i="21"/>
  <c r="K14" i="21"/>
  <c r="L14" i="21"/>
  <c r="M14" i="21"/>
  <c r="J15" i="21"/>
  <c r="K15" i="21"/>
  <c r="L15" i="21"/>
  <c r="M15" i="21"/>
  <c r="J16" i="21"/>
  <c r="K16" i="21"/>
  <c r="L16" i="21"/>
  <c r="M16" i="21"/>
  <c r="J17" i="21"/>
  <c r="K17" i="21"/>
  <c r="L17" i="21"/>
  <c r="M17" i="21"/>
  <c r="K5" i="21"/>
  <c r="L5" i="21"/>
  <c r="M5" i="21"/>
  <c r="J5" i="21"/>
  <c r="E8" i="21"/>
  <c r="E9" i="21"/>
  <c r="E10" i="21"/>
  <c r="E11" i="21"/>
  <c r="E7" i="21"/>
  <c r="R45" i="20" l="1"/>
  <c r="Q45" i="20"/>
  <c r="P45" i="20"/>
  <c r="O45" i="20"/>
  <c r="L45" i="20"/>
  <c r="K45" i="20"/>
  <c r="J45" i="20"/>
  <c r="I45" i="20"/>
  <c r="H45" i="20"/>
  <c r="G45" i="20"/>
  <c r="F45" i="20"/>
  <c r="E45" i="20"/>
  <c r="D45" i="20"/>
  <c r="C45" i="20"/>
  <c r="J23" i="20"/>
  <c r="F23" i="20"/>
  <c r="J11" i="20"/>
  <c r="I11" i="20"/>
  <c r="H11" i="20"/>
  <c r="G11" i="20"/>
  <c r="F11" i="20"/>
  <c r="E11" i="20" s="1"/>
  <c r="E10" i="20"/>
  <c r="E9" i="20"/>
  <c r="E8" i="20"/>
  <c r="E7" i="20"/>
  <c r="K58" i="10"/>
  <c r="D51" i="10"/>
  <c r="N50" i="10"/>
  <c r="M50" i="10"/>
  <c r="N49" i="10"/>
  <c r="M49" i="10"/>
  <c r="O48" i="10"/>
  <c r="P18" i="10"/>
  <c r="P17" i="10"/>
  <c r="N17" i="10"/>
  <c r="N16" i="10"/>
  <c r="L16" i="10"/>
  <c r="N15" i="10"/>
  <c r="L15" i="10"/>
  <c r="N14" i="10"/>
  <c r="L14" i="10"/>
  <c r="N13" i="10"/>
  <c r="L13" i="10"/>
  <c r="N12" i="10"/>
  <c r="L12" i="10"/>
  <c r="G19" i="11"/>
  <c r="F19" i="11"/>
  <c r="D19" i="11"/>
  <c r="G15" i="11"/>
  <c r="E15" i="11"/>
  <c r="D15" i="11"/>
  <c r="H7" i="3"/>
  <c r="E6" i="3"/>
  <c r="D6" i="3"/>
  <c r="C6" i="3"/>
  <c r="F79" i="18"/>
  <c r="J75" i="18"/>
  <c r="I75" i="18"/>
  <c r="H75" i="18"/>
  <c r="G75" i="18"/>
  <c r="F75" i="18"/>
  <c r="E75" i="18"/>
  <c r="D75" i="18"/>
  <c r="C75" i="18"/>
  <c r="C77" i="18" s="1"/>
  <c r="C37" i="14" s="1"/>
  <c r="E66" i="18"/>
  <c r="E65" i="18"/>
  <c r="F60" i="18"/>
  <c r="E60" i="18"/>
  <c r="D60" i="18"/>
  <c r="C60" i="18"/>
  <c r="H59" i="18"/>
  <c r="G59" i="18"/>
  <c r="H56" i="18"/>
  <c r="G56" i="18"/>
  <c r="F56" i="18"/>
  <c r="E56" i="18"/>
  <c r="D56" i="18"/>
  <c r="C56" i="18"/>
  <c r="I40" i="18"/>
  <c r="I39" i="18" s="1"/>
  <c r="H40" i="18"/>
  <c r="G40" i="18"/>
  <c r="H39" i="18"/>
  <c r="G39" i="18"/>
  <c r="F39" i="18"/>
  <c r="E39" i="18"/>
  <c r="E44" i="18" s="1"/>
  <c r="D39" i="18"/>
  <c r="F37" i="18"/>
  <c r="F44" i="18" s="1"/>
  <c r="D37" i="18"/>
  <c r="C37" i="18"/>
  <c r="C44" i="18" s="1"/>
  <c r="C36" i="14" s="1"/>
  <c r="C24" i="18"/>
  <c r="C25" i="18" s="1"/>
  <c r="F22" i="18"/>
  <c r="F21" i="18" s="1"/>
  <c r="J21" i="18"/>
  <c r="I21" i="18"/>
  <c r="H21" i="18"/>
  <c r="G21" i="18"/>
  <c r="E21" i="18"/>
  <c r="D21" i="18"/>
  <c r="F20" i="18"/>
  <c r="F19" i="18" s="1"/>
  <c r="J19" i="18"/>
  <c r="I19" i="18"/>
  <c r="H19" i="18"/>
  <c r="G19" i="18"/>
  <c r="E19" i="18"/>
  <c r="D19" i="18"/>
  <c r="F12" i="18"/>
  <c r="D12" i="18"/>
  <c r="C12" i="18"/>
  <c r="F10" i="18"/>
  <c r="E9" i="18"/>
  <c r="F9" i="18" s="1"/>
  <c r="E38" i="19"/>
  <c r="F38" i="19" s="1"/>
  <c r="F31" i="14" s="1"/>
  <c r="G31" i="14" s="1"/>
  <c r="F37" i="19"/>
  <c r="F36" i="19"/>
  <c r="F35" i="19" s="1"/>
  <c r="C35" i="19"/>
  <c r="F34" i="19"/>
  <c r="J34" i="19" s="1"/>
  <c r="H34" i="19" s="1"/>
  <c r="H33" i="19"/>
  <c r="F33" i="19"/>
  <c r="E33" i="19"/>
  <c r="C33" i="19"/>
  <c r="J23" i="19"/>
  <c r="I22" i="19"/>
  <c r="I24" i="18" s="1"/>
  <c r="H22" i="19"/>
  <c r="H24" i="18" s="1"/>
  <c r="G22" i="19"/>
  <c r="G24" i="18" s="1"/>
  <c r="F22" i="19"/>
  <c r="F24" i="18" s="1"/>
  <c r="E22" i="19"/>
  <c r="E24" i="18" s="1"/>
  <c r="D22" i="19"/>
  <c r="D24" i="18" s="1"/>
  <c r="C22" i="19"/>
  <c r="C28" i="14" s="1"/>
  <c r="E21" i="19"/>
  <c r="C21" i="19"/>
  <c r="E20" i="19"/>
  <c r="E19" i="19" s="1"/>
  <c r="C20" i="19"/>
  <c r="C19" i="19" s="1"/>
  <c r="C8" i="19"/>
  <c r="J31" i="10"/>
  <c r="J27" i="10"/>
  <c r="N27" i="10" s="1"/>
  <c r="J23" i="10"/>
  <c r="J20" i="10"/>
  <c r="J19" i="10"/>
  <c r="N19" i="10" s="1"/>
  <c r="I74" i="2"/>
  <c r="G74" i="2"/>
  <c r="F9" i="21"/>
  <c r="E4" i="21"/>
  <c r="H2" i="21"/>
  <c r="K142" i="2"/>
  <c r="K141" i="2"/>
  <c r="K130" i="2" s="1"/>
  <c r="F141" i="2"/>
  <c r="F130" i="2" s="1"/>
  <c r="D141" i="2"/>
  <c r="D130" i="2" s="1"/>
  <c r="C141" i="2"/>
  <c r="C9" i="18" s="1"/>
  <c r="K140" i="2"/>
  <c r="F140" i="2"/>
  <c r="D140" i="2"/>
  <c r="D38" i="19" s="1"/>
  <c r="D31" i="14" s="1"/>
  <c r="C140" i="2"/>
  <c r="C38" i="19" s="1"/>
  <c r="C31" i="14" s="1"/>
  <c r="K139" i="2"/>
  <c r="F139" i="2"/>
  <c r="F29" i="19" s="1"/>
  <c r="D139" i="2"/>
  <c r="D37" i="19" s="1"/>
  <c r="D35" i="19" s="1"/>
  <c r="C139" i="2"/>
  <c r="K138" i="2"/>
  <c r="E138" i="2"/>
  <c r="F138" i="2" s="1"/>
  <c r="D138" i="2"/>
  <c r="C138" i="2"/>
  <c r="K137" i="2"/>
  <c r="E137" i="2"/>
  <c r="D137" i="2"/>
  <c r="C137" i="2"/>
  <c r="C136" i="2" s="1"/>
  <c r="K132" i="2"/>
  <c r="J132" i="2"/>
  <c r="I132" i="2"/>
  <c r="H132" i="2"/>
  <c r="G132" i="2"/>
  <c r="F132" i="2"/>
  <c r="E132" i="2"/>
  <c r="D132" i="2"/>
  <c r="C132" i="2"/>
  <c r="K131" i="2"/>
  <c r="J131" i="2"/>
  <c r="I131" i="2"/>
  <c r="H131" i="2"/>
  <c r="G131" i="2"/>
  <c r="F131" i="2"/>
  <c r="E131" i="2"/>
  <c r="D131" i="2"/>
  <c r="C131" i="2"/>
  <c r="E130" i="2"/>
  <c r="K129" i="2"/>
  <c r="K127" i="2"/>
  <c r="K126" i="2"/>
  <c r="K125" i="2"/>
  <c r="K124" i="2"/>
  <c r="J124" i="2"/>
  <c r="E20" i="14" s="1"/>
  <c r="G20" i="14" s="1"/>
  <c r="H20" i="14" s="1"/>
  <c r="I20" i="14" s="1"/>
  <c r="J20" i="14" s="1"/>
  <c r="I124" i="2"/>
  <c r="H124" i="2"/>
  <c r="G124" i="2"/>
  <c r="K123" i="2"/>
  <c r="L121" i="2"/>
  <c r="K120" i="2"/>
  <c r="L120" i="2" s="1"/>
  <c r="K119" i="2"/>
  <c r="L119" i="2" s="1"/>
  <c r="L118" i="2"/>
  <c r="L117" i="2"/>
  <c r="L116" i="2"/>
  <c r="L115" i="2"/>
  <c r="L114" i="2"/>
  <c r="L113" i="2"/>
  <c r="L112" i="2"/>
  <c r="L111" i="2"/>
  <c r="L110" i="2"/>
  <c r="L109" i="2"/>
  <c r="J109" i="2"/>
  <c r="I109" i="2"/>
  <c r="H109" i="2"/>
  <c r="G109" i="2"/>
  <c r="F109" i="2"/>
  <c r="E109" i="2"/>
  <c r="D109" i="2"/>
  <c r="C109" i="2"/>
  <c r="L108" i="2"/>
  <c r="L107" i="2"/>
  <c r="F107" i="2"/>
  <c r="L106" i="2"/>
  <c r="F106" i="2"/>
  <c r="F105" i="2" s="1"/>
  <c r="F125" i="2" s="1"/>
  <c r="F21" i="14" s="1"/>
  <c r="L105" i="2"/>
  <c r="E105" i="2"/>
  <c r="D105" i="2"/>
  <c r="C105" i="2"/>
  <c r="L104" i="2"/>
  <c r="L103" i="2"/>
  <c r="L102" i="2"/>
  <c r="L101" i="2"/>
  <c r="E101" i="2"/>
  <c r="E124" i="2" s="1"/>
  <c r="D101" i="2"/>
  <c r="D124" i="2" s="1"/>
  <c r="D20" i="14" s="1"/>
  <c r="C101" i="2"/>
  <c r="C124" i="2" s="1"/>
  <c r="C20" i="14" s="1"/>
  <c r="L100" i="2"/>
  <c r="L99" i="2"/>
  <c r="L98" i="2"/>
  <c r="F98" i="2"/>
  <c r="L97" i="2"/>
  <c r="L96" i="2"/>
  <c r="F96" i="2"/>
  <c r="L95" i="2"/>
  <c r="I95" i="2"/>
  <c r="I92" i="2" s="1"/>
  <c r="I87" i="2" s="1"/>
  <c r="H95" i="2"/>
  <c r="G95" i="2"/>
  <c r="G92" i="2" s="1"/>
  <c r="G87" i="2" s="1"/>
  <c r="L94" i="2"/>
  <c r="F94" i="2"/>
  <c r="L93" i="2"/>
  <c r="F93" i="2"/>
  <c r="L92" i="2"/>
  <c r="J92" i="2"/>
  <c r="J87" i="2" s="1"/>
  <c r="H92" i="2"/>
  <c r="H87" i="2" s="1"/>
  <c r="E92" i="2"/>
  <c r="L91" i="2"/>
  <c r="L90" i="2"/>
  <c r="L89" i="2"/>
  <c r="L88" i="2"/>
  <c r="L87" i="2"/>
  <c r="D87" i="2"/>
  <c r="D123" i="2" s="1"/>
  <c r="D16" i="14" s="1"/>
  <c r="C87" i="2"/>
  <c r="C123" i="2" s="1"/>
  <c r="C16" i="14" s="1"/>
  <c r="I86" i="2"/>
  <c r="H86" i="2"/>
  <c r="G86" i="2"/>
  <c r="F86" i="2"/>
  <c r="I85" i="2"/>
  <c r="H85" i="2"/>
  <c r="G85" i="2"/>
  <c r="F85" i="2"/>
  <c r="L84" i="2"/>
  <c r="I84" i="2"/>
  <c r="H84" i="2"/>
  <c r="G84" i="2"/>
  <c r="F84" i="2"/>
  <c r="L83" i="2"/>
  <c r="I83" i="2"/>
  <c r="H83" i="2"/>
  <c r="G83" i="2"/>
  <c r="F83" i="2"/>
  <c r="L82" i="2"/>
  <c r="I82" i="2"/>
  <c r="H82" i="2"/>
  <c r="G82" i="2"/>
  <c r="F82" i="2"/>
  <c r="L81" i="2"/>
  <c r="J81" i="2" s="1"/>
  <c r="I81" i="2" s="1"/>
  <c r="F81" i="2"/>
  <c r="L80" i="2"/>
  <c r="J80" i="2" s="1"/>
  <c r="F80" i="2"/>
  <c r="L79" i="2"/>
  <c r="F79" i="2"/>
  <c r="C79" i="2"/>
  <c r="C73" i="2" s="1"/>
  <c r="C67" i="2" s="1"/>
  <c r="C15" i="14" s="1"/>
  <c r="L78" i="2"/>
  <c r="I78" i="2"/>
  <c r="H78" i="2"/>
  <c r="G78" i="2"/>
  <c r="F78" i="2"/>
  <c r="L77" i="2"/>
  <c r="I77" i="2"/>
  <c r="H77" i="2"/>
  <c r="G77" i="2"/>
  <c r="F77" i="2"/>
  <c r="L76" i="2"/>
  <c r="I76" i="2"/>
  <c r="H76" i="2"/>
  <c r="G76" i="2"/>
  <c r="F76" i="2"/>
  <c r="L75" i="2"/>
  <c r="F75" i="2"/>
  <c r="L74" i="2"/>
  <c r="J74" i="2"/>
  <c r="H74" i="2"/>
  <c r="F74" i="2"/>
  <c r="L73" i="2"/>
  <c r="E73" i="2"/>
  <c r="D73" i="2"/>
  <c r="D67" i="2" s="1"/>
  <c r="D15" i="14" s="1"/>
  <c r="L72" i="2"/>
  <c r="F72" i="2"/>
  <c r="L71" i="2"/>
  <c r="I71" i="2"/>
  <c r="H71" i="2"/>
  <c r="G71" i="2"/>
  <c r="F71" i="2"/>
  <c r="L70" i="2"/>
  <c r="J70" i="2"/>
  <c r="J75" i="2" s="1"/>
  <c r="I70" i="2"/>
  <c r="I75" i="2" s="1"/>
  <c r="H70" i="2"/>
  <c r="H75" i="2" s="1"/>
  <c r="G70" i="2"/>
  <c r="G75" i="2" s="1"/>
  <c r="F70" i="2"/>
  <c r="L69" i="2"/>
  <c r="F69" i="2"/>
  <c r="L68" i="2"/>
  <c r="F68" i="2"/>
  <c r="L67" i="2"/>
  <c r="E67" i="2"/>
  <c r="I66" i="2"/>
  <c r="H66" i="2"/>
  <c r="G66" i="2"/>
  <c r="F66" i="2"/>
  <c r="L65" i="2"/>
  <c r="I65" i="2"/>
  <c r="H65" i="2"/>
  <c r="G65" i="2"/>
  <c r="F65" i="2"/>
  <c r="L64" i="2"/>
  <c r="I64" i="2"/>
  <c r="H64" i="2"/>
  <c r="G64" i="2"/>
  <c r="F64" i="2"/>
  <c r="L63" i="2"/>
  <c r="F63" i="2"/>
  <c r="L62" i="2"/>
  <c r="I62" i="2"/>
  <c r="H62" i="2"/>
  <c r="G62" i="2"/>
  <c r="F62" i="2"/>
  <c r="L61" i="2"/>
  <c r="J61" i="2"/>
  <c r="I61" i="2"/>
  <c r="H61" i="2"/>
  <c r="G61" i="2"/>
  <c r="F61" i="2"/>
  <c r="L60" i="2"/>
  <c r="I60" i="2"/>
  <c r="H60" i="2"/>
  <c r="G60" i="2"/>
  <c r="F60" i="2"/>
  <c r="L59" i="2"/>
  <c r="I59" i="2"/>
  <c r="H59" i="2"/>
  <c r="G59" i="2"/>
  <c r="F59" i="2"/>
  <c r="L58" i="2"/>
  <c r="I58" i="2"/>
  <c r="H58" i="2"/>
  <c r="G58" i="2"/>
  <c r="F58" i="2"/>
  <c r="L57" i="2"/>
  <c r="E57" i="2"/>
  <c r="D57" i="2"/>
  <c r="D35" i="2" s="1"/>
  <c r="D14" i="14" s="1"/>
  <c r="C57" i="2"/>
  <c r="C35" i="2" s="1"/>
  <c r="C14" i="14" s="1"/>
  <c r="L56" i="2"/>
  <c r="J56" i="2" s="1"/>
  <c r="L55" i="2"/>
  <c r="J55" i="2" s="1"/>
  <c r="L54" i="2"/>
  <c r="J54" i="2" s="1"/>
  <c r="L53" i="2"/>
  <c r="J53" i="2" s="1"/>
  <c r="L52" i="2"/>
  <c r="J52" i="2" s="1"/>
  <c r="L51" i="2"/>
  <c r="I51" i="2"/>
  <c r="H51" i="2"/>
  <c r="G51" i="2"/>
  <c r="F51" i="2"/>
  <c r="L50" i="2"/>
  <c r="J50" i="2" s="1"/>
  <c r="F50" i="2"/>
  <c r="L49" i="2"/>
  <c r="I49" i="2"/>
  <c r="H49" i="2"/>
  <c r="G49" i="2"/>
  <c r="F49" i="2"/>
  <c r="L48" i="2"/>
  <c r="J48" i="2" s="1"/>
  <c r="L47" i="2"/>
  <c r="J47" i="2" s="1"/>
  <c r="L46" i="2"/>
  <c r="J46" i="2" s="1"/>
  <c r="L45" i="2"/>
  <c r="I45" i="2"/>
  <c r="H45" i="2"/>
  <c r="G45" i="2"/>
  <c r="F45" i="2"/>
  <c r="L44" i="2"/>
  <c r="F44" i="2"/>
  <c r="L43" i="2"/>
  <c r="I63" i="2"/>
  <c r="H63" i="2"/>
  <c r="G63" i="2"/>
  <c r="F43" i="2"/>
  <c r="L42" i="2"/>
  <c r="J42" i="2" s="1"/>
  <c r="F42" i="2"/>
  <c r="L41" i="2"/>
  <c r="J41" i="2" s="1"/>
  <c r="F41" i="2"/>
  <c r="L40" i="2"/>
  <c r="L39" i="2"/>
  <c r="L38" i="2"/>
  <c r="L37" i="2"/>
  <c r="I37" i="2"/>
  <c r="I19" i="20" s="1"/>
  <c r="I23" i="20" s="1"/>
  <c r="H37" i="2"/>
  <c r="H19" i="20" s="1"/>
  <c r="H23" i="20" s="1"/>
  <c r="G37" i="2"/>
  <c r="G19" i="20" s="1"/>
  <c r="G23" i="20" s="1"/>
  <c r="L36" i="2"/>
  <c r="L35" i="2"/>
  <c r="E35" i="2"/>
  <c r="L34" i="2"/>
  <c r="L33" i="2"/>
  <c r="L32" i="2"/>
  <c r="F32" i="2"/>
  <c r="L31" i="2"/>
  <c r="I31" i="2"/>
  <c r="H31" i="2"/>
  <c r="G31" i="2"/>
  <c r="F31" i="2"/>
  <c r="L30" i="2"/>
  <c r="J30" i="2"/>
  <c r="M47" i="10" s="1"/>
  <c r="O47" i="10" s="1"/>
  <c r="E30" i="2"/>
  <c r="L29" i="2"/>
  <c r="H28" i="2"/>
  <c r="G28" i="2"/>
  <c r="F28" i="2"/>
  <c r="L27" i="2"/>
  <c r="I27" i="2"/>
  <c r="H27" i="2"/>
  <c r="G27" i="2"/>
  <c r="F27" i="2"/>
  <c r="L26" i="2"/>
  <c r="I26" i="2"/>
  <c r="H26" i="2"/>
  <c r="G26" i="2"/>
  <c r="F26" i="2"/>
  <c r="L25" i="2"/>
  <c r="J25" i="2" s="1"/>
  <c r="I25" i="2" s="1"/>
  <c r="F25" i="2"/>
  <c r="L24" i="2"/>
  <c r="J24" i="2" s="1"/>
  <c r="F24" i="2"/>
  <c r="L23" i="2"/>
  <c r="J23" i="2" s="1"/>
  <c r="I23" i="2" s="1"/>
  <c r="F23" i="2"/>
  <c r="L22" i="2"/>
  <c r="I22" i="2"/>
  <c r="H22" i="2"/>
  <c r="G22" i="2"/>
  <c r="F22" i="2"/>
  <c r="L21" i="2"/>
  <c r="I21" i="2"/>
  <c r="H21" i="2"/>
  <c r="G21" i="2"/>
  <c r="F21" i="2"/>
  <c r="L20" i="2"/>
  <c r="I20" i="2"/>
  <c r="H20" i="2"/>
  <c r="G20" i="2"/>
  <c r="F20" i="2"/>
  <c r="L19" i="2"/>
  <c r="I19" i="2"/>
  <c r="H19" i="2"/>
  <c r="G19" i="2"/>
  <c r="F19" i="2"/>
  <c r="L18" i="2"/>
  <c r="J18" i="2" s="1"/>
  <c r="I18" i="2" s="1"/>
  <c r="F18" i="2"/>
  <c r="L17" i="2"/>
  <c r="E17" i="2"/>
  <c r="E9" i="2" s="1"/>
  <c r="C17" i="2"/>
  <c r="L16" i="2"/>
  <c r="J16" i="2" s="1"/>
  <c r="F16" i="2"/>
  <c r="L15" i="2"/>
  <c r="I15" i="2"/>
  <c r="H15" i="2"/>
  <c r="G15" i="2"/>
  <c r="F15" i="2"/>
  <c r="L14" i="2"/>
  <c r="F14" i="2"/>
  <c r="L13" i="2"/>
  <c r="J13" i="2"/>
  <c r="J139" i="2" s="1"/>
  <c r="I13" i="2"/>
  <c r="H13" i="2"/>
  <c r="H139" i="2" s="1"/>
  <c r="G13" i="2"/>
  <c r="F13" i="2"/>
  <c r="L12" i="2"/>
  <c r="I12" i="2"/>
  <c r="H12" i="2"/>
  <c r="G12" i="2"/>
  <c r="F12" i="2"/>
  <c r="L11" i="2"/>
  <c r="J11" i="2"/>
  <c r="J138" i="2" s="1"/>
  <c r="H11" i="2"/>
  <c r="F11" i="2"/>
  <c r="L10" i="2"/>
  <c r="J10" i="2" s="1"/>
  <c r="F10" i="2"/>
  <c r="D9" i="2"/>
  <c r="C9" i="2"/>
  <c r="C12" i="14" s="1"/>
  <c r="F8" i="2"/>
  <c r="F7" i="2" s="1"/>
  <c r="F11" i="14" s="1"/>
  <c r="E7" i="2"/>
  <c r="C7" i="2"/>
  <c r="C11" i="14" s="1"/>
  <c r="F56" i="14"/>
  <c r="G14" i="11" s="1"/>
  <c r="F45" i="14" s="1"/>
  <c r="D53" i="14"/>
  <c r="C53" i="14"/>
  <c r="E52" i="14"/>
  <c r="E53" i="14" s="1"/>
  <c r="F50" i="14"/>
  <c r="D50" i="14"/>
  <c r="D56" i="14" s="1"/>
  <c r="E14" i="11" s="1"/>
  <c r="C50" i="14"/>
  <c r="C56" i="14" s="1"/>
  <c r="D14" i="11" s="1"/>
  <c r="E48" i="14"/>
  <c r="H15" i="11" s="1"/>
  <c r="B45" i="14"/>
  <c r="B44" i="14"/>
  <c r="B43" i="14"/>
  <c r="F41" i="14"/>
  <c r="D41" i="14"/>
  <c r="G41" i="14" s="1"/>
  <c r="J41" i="14" s="1"/>
  <c r="C41" i="14"/>
  <c r="B41" i="14"/>
  <c r="B39" i="14"/>
  <c r="F38" i="14"/>
  <c r="E38" i="14"/>
  <c r="G38" i="14" s="1"/>
  <c r="H38" i="14" s="1"/>
  <c r="I38" i="14" s="1"/>
  <c r="J38" i="14" s="1"/>
  <c r="D38" i="14"/>
  <c r="C38" i="14"/>
  <c r="B38" i="14"/>
  <c r="B37" i="14"/>
  <c r="F36" i="14"/>
  <c r="B36" i="14"/>
  <c r="B35" i="14"/>
  <c r="F34" i="14"/>
  <c r="D34" i="14"/>
  <c r="C34" i="14"/>
  <c r="B34" i="14"/>
  <c r="B32" i="14"/>
  <c r="B31" i="14"/>
  <c r="B30" i="14"/>
  <c r="F29" i="14"/>
  <c r="E29" i="14"/>
  <c r="G29" i="14" s="1"/>
  <c r="H29" i="14" s="1"/>
  <c r="I29" i="14" s="1"/>
  <c r="J29" i="14" s="1"/>
  <c r="D29" i="14"/>
  <c r="C29" i="14"/>
  <c r="B28" i="14"/>
  <c r="C27" i="14"/>
  <c r="B27" i="14"/>
  <c r="B25" i="14"/>
  <c r="B24" i="14"/>
  <c r="F23" i="14"/>
  <c r="D23" i="14"/>
  <c r="C23" i="14"/>
  <c r="B23" i="14"/>
  <c r="B22" i="14"/>
  <c r="B21" i="14"/>
  <c r="F20" i="14"/>
  <c r="B20" i="14"/>
  <c r="B19" i="14"/>
  <c r="B18" i="14"/>
  <c r="B17" i="14"/>
  <c r="B16" i="14"/>
  <c r="B15" i="14"/>
  <c r="B14" i="14"/>
  <c r="B13" i="14"/>
  <c r="B12" i="14"/>
  <c r="D11" i="14"/>
  <c r="B11" i="14"/>
  <c r="D17" i="11" l="1"/>
  <c r="F57" i="2"/>
  <c r="F35" i="2" s="1"/>
  <c r="F14" i="14" s="1"/>
  <c r="H30" i="2"/>
  <c r="G30" i="2"/>
  <c r="G123" i="2" s="1"/>
  <c r="I30" i="2"/>
  <c r="I123" i="2" s="1"/>
  <c r="C125" i="2"/>
  <c r="C21" i="14" s="1"/>
  <c r="E125" i="2"/>
  <c r="C126" i="2"/>
  <c r="F17" i="2"/>
  <c r="D28" i="14"/>
  <c r="E126" i="2"/>
  <c r="F73" i="2"/>
  <c r="F67" i="2" s="1"/>
  <c r="F15" i="14" s="1"/>
  <c r="K136" i="2"/>
  <c r="K143" i="2" s="1"/>
  <c r="D29" i="19"/>
  <c r="D25" i="19" s="1"/>
  <c r="D30" i="14" s="1"/>
  <c r="I24" i="2"/>
  <c r="I17" i="2" s="1"/>
  <c r="J17" i="2"/>
  <c r="I80" i="2"/>
  <c r="I79" i="2" s="1"/>
  <c r="I73" i="2" s="1"/>
  <c r="I67" i="2" s="1"/>
  <c r="J79" i="2"/>
  <c r="J73" i="2" s="1"/>
  <c r="J67" i="2" s="1"/>
  <c r="E15" i="14" s="1"/>
  <c r="G15" i="14" s="1"/>
  <c r="H15" i="14" s="1"/>
  <c r="I15" i="14" s="1"/>
  <c r="J15" i="14" s="1"/>
  <c r="F92" i="2"/>
  <c r="F87" i="2" s="1"/>
  <c r="C130" i="2"/>
  <c r="K134" i="2"/>
  <c r="H31" i="14"/>
  <c r="I31" i="14" s="1"/>
  <c r="J31" i="14" s="1"/>
  <c r="I50" i="2"/>
  <c r="H50" i="2"/>
  <c r="C81" i="18"/>
  <c r="C39" i="14" s="1"/>
  <c r="C35" i="14"/>
  <c r="G17" i="11"/>
  <c r="I41" i="14"/>
  <c r="F9" i="2"/>
  <c r="F12" i="14" s="1"/>
  <c r="F13" i="14" s="1"/>
  <c r="G7" i="11" s="1"/>
  <c r="G11" i="2"/>
  <c r="G138" i="2" s="1"/>
  <c r="I11" i="2"/>
  <c r="H18" i="2"/>
  <c r="H23" i="2"/>
  <c r="H24" i="2"/>
  <c r="H25" i="2"/>
  <c r="C127" i="2"/>
  <c r="H123" i="2"/>
  <c r="C143" i="2"/>
  <c r="E39" i="19"/>
  <c r="C25" i="19"/>
  <c r="C30" i="14" s="1"/>
  <c r="E77" i="18"/>
  <c r="F8" i="3"/>
  <c r="G38" i="18"/>
  <c r="G37" i="18" s="1"/>
  <c r="G44" i="18" s="1"/>
  <c r="H80" i="2"/>
  <c r="H81" i="2"/>
  <c r="E87" i="2"/>
  <c r="E123" i="2" s="1"/>
  <c r="D125" i="2"/>
  <c r="D21" i="14" s="1"/>
  <c r="D136" i="2"/>
  <c r="D143" i="2" s="1"/>
  <c r="F25" i="19"/>
  <c r="F30" i="14" s="1"/>
  <c r="C39" i="19"/>
  <c r="C32" i="14" s="1"/>
  <c r="D44" i="18"/>
  <c r="D36" i="14" s="1"/>
  <c r="G8" i="3"/>
  <c r="J123" i="2"/>
  <c r="E16" i="14" s="1"/>
  <c r="G16" i="14" s="1"/>
  <c r="J137" i="2"/>
  <c r="J136" i="2" s="1"/>
  <c r="H10" i="2"/>
  <c r="H137" i="2" s="1"/>
  <c r="I10" i="2"/>
  <c r="I137" i="2" s="1"/>
  <c r="G10" i="2"/>
  <c r="G137" i="2" s="1"/>
  <c r="J106" i="2"/>
  <c r="J105" i="2" s="1"/>
  <c r="J16" i="18" s="1"/>
  <c r="J12" i="18" s="1"/>
  <c r="J141" i="2"/>
  <c r="H16" i="2"/>
  <c r="H106" i="2" s="1"/>
  <c r="H105" i="2" s="1"/>
  <c r="H16" i="18" s="1"/>
  <c r="H12" i="18" s="1"/>
  <c r="I16" i="2"/>
  <c r="I106" i="2" s="1"/>
  <c r="I105" i="2" s="1"/>
  <c r="G16" i="2"/>
  <c r="G141" i="2" s="1"/>
  <c r="G9" i="18" s="1"/>
  <c r="H42" i="2"/>
  <c r="I42" i="2"/>
  <c r="G42" i="2"/>
  <c r="D127" i="2"/>
  <c r="I138" i="2"/>
  <c r="D29" i="2"/>
  <c r="I23" i="19"/>
  <c r="G23" i="19"/>
  <c r="I34" i="19"/>
  <c r="I33" i="19" s="1"/>
  <c r="C82" i="18"/>
  <c r="F15" i="11"/>
  <c r="D18" i="11"/>
  <c r="B50" i="10"/>
  <c r="B47" i="10"/>
  <c r="D12" i="14"/>
  <c r="E18" i="11"/>
  <c r="H138" i="2"/>
  <c r="G139" i="2"/>
  <c r="G29" i="19" s="1"/>
  <c r="I139" i="2"/>
  <c r="I37" i="19" s="1"/>
  <c r="I35" i="19" s="1"/>
  <c r="G18" i="2"/>
  <c r="G23" i="2"/>
  <c r="G24" i="2"/>
  <c r="G25" i="2"/>
  <c r="C29" i="2"/>
  <c r="E29" i="2"/>
  <c r="F30" i="2"/>
  <c r="G50" i="2"/>
  <c r="G80" i="2"/>
  <c r="G81" i="2"/>
  <c r="D126" i="2"/>
  <c r="F137" i="2"/>
  <c r="E136" i="2"/>
  <c r="F136" i="2" s="1"/>
  <c r="H23" i="19"/>
  <c r="J33" i="19"/>
  <c r="G34" i="19"/>
  <c r="G33" i="19" s="1"/>
  <c r="D9" i="18"/>
  <c r="I7" i="3"/>
  <c r="I59" i="18"/>
  <c r="I56" i="18" s="1"/>
  <c r="E17" i="11"/>
  <c r="G18" i="11"/>
  <c r="B48" i="10"/>
  <c r="B49" i="10"/>
  <c r="F28" i="14"/>
  <c r="I37" i="18"/>
  <c r="I44" i="18" s="1"/>
  <c r="H37" i="18"/>
  <c r="H44" i="18" s="1"/>
  <c r="G6" i="3"/>
  <c r="O49" i="10"/>
  <c r="O50" i="10"/>
  <c r="M51" i="10"/>
  <c r="H37" i="19"/>
  <c r="H35" i="19" s="1"/>
  <c r="H29" i="19"/>
  <c r="J37" i="19"/>
  <c r="J35" i="19" s="1"/>
  <c r="J29" i="19"/>
  <c r="H57" i="2"/>
  <c r="J57" i="2"/>
  <c r="J35" i="2" s="1"/>
  <c r="L23" i="10"/>
  <c r="N23" i="10"/>
  <c r="G57" i="2"/>
  <c r="I57" i="2"/>
  <c r="L20" i="10"/>
  <c r="N20" i="10"/>
  <c r="L31" i="10"/>
  <c r="N31" i="10"/>
  <c r="J21" i="10"/>
  <c r="J25" i="10"/>
  <c r="H36" i="21"/>
  <c r="J32" i="10" s="1"/>
  <c r="J28" i="10"/>
  <c r="L27" i="10"/>
  <c r="J24" i="10"/>
  <c r="H32" i="21"/>
  <c r="L19" i="10"/>
  <c r="G106" i="2" l="1"/>
  <c r="G105" i="2" s="1"/>
  <c r="G16" i="18" s="1"/>
  <c r="G12" i="18" s="1"/>
  <c r="H141" i="2"/>
  <c r="H130" i="2" s="1"/>
  <c r="I136" i="2"/>
  <c r="I35" i="2"/>
  <c r="I29" i="19"/>
  <c r="I25" i="19" s="1"/>
  <c r="N142" i="2"/>
  <c r="N143" i="2" s="1"/>
  <c r="J142" i="2"/>
  <c r="H79" i="2"/>
  <c r="H73" i="2" s="1"/>
  <c r="H67" i="2" s="1"/>
  <c r="H17" i="2"/>
  <c r="G125" i="2"/>
  <c r="J125" i="2"/>
  <c r="E21" i="14" s="1"/>
  <c r="G21" i="14" s="1"/>
  <c r="H21" i="14" s="1"/>
  <c r="I21" i="14" s="1"/>
  <c r="J21" i="14" s="1"/>
  <c r="E99" i="2"/>
  <c r="E115" i="2" s="1"/>
  <c r="F29" i="2"/>
  <c r="F99" i="2" s="1"/>
  <c r="H125" i="2"/>
  <c r="F123" i="2"/>
  <c r="F16" i="14" s="1"/>
  <c r="I142" i="2"/>
  <c r="G17" i="2"/>
  <c r="G37" i="19"/>
  <c r="G35" i="19" s="1"/>
  <c r="H35" i="2"/>
  <c r="E127" i="2"/>
  <c r="F127" i="2"/>
  <c r="G130" i="2"/>
  <c r="F6" i="3"/>
  <c r="H16" i="14"/>
  <c r="I16" i="18"/>
  <c r="I12" i="18" s="1"/>
  <c r="I125" i="2"/>
  <c r="J40" i="18"/>
  <c r="J39" i="18" s="1"/>
  <c r="J59" i="18"/>
  <c r="J56" i="18" s="1"/>
  <c r="C99" i="2"/>
  <c r="C13" i="14"/>
  <c r="D7" i="11" s="1"/>
  <c r="D99" i="2"/>
  <c r="D13" i="14"/>
  <c r="E7" i="11" s="1"/>
  <c r="J9" i="18"/>
  <c r="J130" i="2"/>
  <c r="G35" i="2"/>
  <c r="G79" i="2"/>
  <c r="G73" i="2" s="1"/>
  <c r="G67" i="2" s="1"/>
  <c r="I141" i="2"/>
  <c r="H136" i="2"/>
  <c r="E142" i="2"/>
  <c r="G136" i="2"/>
  <c r="F126" i="2"/>
  <c r="J25" i="19"/>
  <c r="E30" i="14" s="1"/>
  <c r="G30" i="14" s="1"/>
  <c r="H30" i="14" s="1"/>
  <c r="I30" i="14" s="1"/>
  <c r="J30" i="14" s="1"/>
  <c r="H25" i="19"/>
  <c r="H6" i="3"/>
  <c r="E14" i="14"/>
  <c r="G14" i="14" s="1"/>
  <c r="H9" i="18"/>
  <c r="E129" i="2"/>
  <c r="E134" i="2" s="1"/>
  <c r="C48" i="10"/>
  <c r="C47" i="10"/>
  <c r="J8" i="2"/>
  <c r="C49" i="10"/>
  <c r="C50" i="10"/>
  <c r="G25" i="19"/>
  <c r="N24" i="10"/>
  <c r="L24" i="10"/>
  <c r="L28" i="10"/>
  <c r="N28" i="10"/>
  <c r="L25" i="10"/>
  <c r="N25" i="10"/>
  <c r="H14" i="2"/>
  <c r="N21" i="10"/>
  <c r="L21" i="10"/>
  <c r="G14" i="2"/>
  <c r="H37" i="21"/>
  <c r="J33" i="10" s="1"/>
  <c r="J29" i="10"/>
  <c r="I14" i="2"/>
  <c r="N32" i="10"/>
  <c r="L32" i="10"/>
  <c r="J14" i="2"/>
  <c r="J140" i="2" s="1"/>
  <c r="F115" i="2" l="1"/>
  <c r="F22" i="14" s="1"/>
  <c r="F17" i="14"/>
  <c r="F129" i="2"/>
  <c r="F134" i="2" s="1"/>
  <c r="F18" i="14" s="1"/>
  <c r="H142" i="2"/>
  <c r="H14" i="14"/>
  <c r="I14" i="14" s="1"/>
  <c r="J14" i="14" s="1"/>
  <c r="I16" i="14"/>
  <c r="F142" i="2"/>
  <c r="F143" i="2" s="1"/>
  <c r="E143" i="2"/>
  <c r="I9" i="18"/>
  <c r="I130" i="2"/>
  <c r="D115" i="2"/>
  <c r="D17" i="14"/>
  <c r="D129" i="2"/>
  <c r="D134" i="2" s="1"/>
  <c r="D18" i="14" s="1"/>
  <c r="C129" i="2"/>
  <c r="C134" i="2" s="1"/>
  <c r="C18" i="14" s="1"/>
  <c r="C115" i="2"/>
  <c r="C17" i="14"/>
  <c r="G142" i="2"/>
  <c r="E7" i="18"/>
  <c r="E18" i="18" s="1"/>
  <c r="E23" i="18" s="1"/>
  <c r="E25" i="18" s="1"/>
  <c r="E118" i="2"/>
  <c r="M52" i="10"/>
  <c r="H8" i="2"/>
  <c r="H7" i="2" s="1"/>
  <c r="H126" i="2" s="1"/>
  <c r="I8" i="2"/>
  <c r="I7" i="2" s="1"/>
  <c r="I126" i="2" s="1"/>
  <c r="G8" i="2"/>
  <c r="G7" i="2" s="1"/>
  <c r="G126" i="2" s="1"/>
  <c r="J7" i="2"/>
  <c r="J9" i="2"/>
  <c r="I140" i="2"/>
  <c r="I143" i="2" s="1"/>
  <c r="I9" i="2"/>
  <c r="H140" i="2"/>
  <c r="H143" i="2" s="1"/>
  <c r="H9" i="2"/>
  <c r="G140" i="2"/>
  <c r="G38" i="19" s="1"/>
  <c r="G9" i="2"/>
  <c r="J38" i="19"/>
  <c r="E31" i="14" s="1"/>
  <c r="J143" i="2"/>
  <c r="I38" i="19"/>
  <c r="N29" i="10"/>
  <c r="L29" i="10"/>
  <c r="L33" i="10"/>
  <c r="N33" i="10"/>
  <c r="F118" i="2" l="1"/>
  <c r="F7" i="18"/>
  <c r="F18" i="18" s="1"/>
  <c r="F23" i="18" s="1"/>
  <c r="F25" i="18" s="1"/>
  <c r="F35" i="14" s="1"/>
  <c r="H38" i="19"/>
  <c r="G143" i="2"/>
  <c r="G8" i="11"/>
  <c r="F19" i="14" s="1"/>
  <c r="G13" i="11"/>
  <c r="J16" i="14"/>
  <c r="D13" i="11"/>
  <c r="D8" i="11"/>
  <c r="C19" i="14" s="1"/>
  <c r="C7" i="18"/>
  <c r="C18" i="18" s="1"/>
  <c r="C118" i="2"/>
  <c r="C22" i="14"/>
  <c r="D19" i="14"/>
  <c r="E13" i="11"/>
  <c r="E8" i="11"/>
  <c r="D118" i="2"/>
  <c r="D22" i="14"/>
  <c r="D7" i="18"/>
  <c r="D18" i="18" s="1"/>
  <c r="D23" i="18" s="1"/>
  <c r="D25" i="18" s="1"/>
  <c r="E81" i="18"/>
  <c r="E82" i="18"/>
  <c r="E119" i="2"/>
  <c r="E17" i="19"/>
  <c r="E120" i="2"/>
  <c r="F120" i="2"/>
  <c r="F24" i="14"/>
  <c r="F119" i="2"/>
  <c r="E11" i="14"/>
  <c r="J126" i="2"/>
  <c r="O118" i="2"/>
  <c r="H127" i="2"/>
  <c r="H29" i="2"/>
  <c r="H99" i="2" s="1"/>
  <c r="I29" i="2"/>
  <c r="I99" i="2" s="1"/>
  <c r="I127" i="2"/>
  <c r="E12" i="14"/>
  <c r="G12" i="14" s="1"/>
  <c r="H12" i="14" s="1"/>
  <c r="I12" i="14" s="1"/>
  <c r="J12" i="14" s="1"/>
  <c r="N67" i="2"/>
  <c r="N35" i="2"/>
  <c r="J29" i="2"/>
  <c r="G127" i="2"/>
  <c r="G29" i="2"/>
  <c r="G99" i="2" s="1"/>
  <c r="G11" i="14" l="1"/>
  <c r="C120" i="2"/>
  <c r="C119" i="2"/>
  <c r="C24" i="14"/>
  <c r="C17" i="19"/>
  <c r="F7" i="19" s="1"/>
  <c r="D35" i="14"/>
  <c r="D120" i="2"/>
  <c r="D119" i="2"/>
  <c r="D24" i="14"/>
  <c r="F9" i="19"/>
  <c r="F10" i="19" s="1"/>
  <c r="G10" i="11"/>
  <c r="F44" i="14" s="1"/>
  <c r="F25" i="14"/>
  <c r="G11" i="11"/>
  <c r="G9" i="11"/>
  <c r="F43" i="14" s="1"/>
  <c r="J99" i="2"/>
  <c r="E13" i="14"/>
  <c r="H115" i="2"/>
  <c r="H129" i="2"/>
  <c r="H134" i="2" s="1"/>
  <c r="I129" i="2"/>
  <c r="I134" i="2" s="1"/>
  <c r="I115" i="2"/>
  <c r="G129" i="2"/>
  <c r="G134" i="2" s="1"/>
  <c r="G115" i="2"/>
  <c r="H11" i="14" l="1"/>
  <c r="G13" i="14"/>
  <c r="E11" i="11"/>
  <c r="E9" i="11"/>
  <c r="D25" i="14"/>
  <c r="E10" i="11"/>
  <c r="D9" i="19"/>
  <c r="D10" i="19" s="1"/>
  <c r="D11" i="11"/>
  <c r="D10" i="11"/>
  <c r="D9" i="11"/>
  <c r="C25" i="14"/>
  <c r="F66" i="18"/>
  <c r="F21" i="19"/>
  <c r="F8" i="19"/>
  <c r="F17" i="19" s="1"/>
  <c r="F20" i="19"/>
  <c r="F19" i="19" s="1"/>
  <c r="F65" i="18"/>
  <c r="I7" i="18"/>
  <c r="I18" i="18" s="1"/>
  <c r="I23" i="18" s="1"/>
  <c r="I25" i="18" s="1"/>
  <c r="I118" i="2"/>
  <c r="H7" i="11"/>
  <c r="F7" i="11"/>
  <c r="H118" i="2"/>
  <c r="H7" i="18"/>
  <c r="H18" i="18" s="1"/>
  <c r="H23" i="18" s="1"/>
  <c r="H25" i="18" s="1"/>
  <c r="J129" i="2"/>
  <c r="J134" i="2" s="1"/>
  <c r="E18" i="14" s="1"/>
  <c r="G18" i="14" s="1"/>
  <c r="H18" i="14" s="1"/>
  <c r="I18" i="14" s="1"/>
  <c r="J18" i="14" s="1"/>
  <c r="J115" i="2"/>
  <c r="E17" i="14"/>
  <c r="G17" i="14" s="1"/>
  <c r="H17" i="14" s="1"/>
  <c r="I17" i="14" s="1"/>
  <c r="J17" i="14" s="1"/>
  <c r="G7" i="18"/>
  <c r="G18" i="18" s="1"/>
  <c r="G23" i="18" s="1"/>
  <c r="G25" i="18" s="1"/>
  <c r="G118" i="2"/>
  <c r="H13" i="14" l="1"/>
  <c r="I11" i="14"/>
  <c r="D66" i="18"/>
  <c r="D21" i="19"/>
  <c r="D20" i="19"/>
  <c r="D8" i="19"/>
  <c r="D17" i="19" s="1"/>
  <c r="D65" i="18"/>
  <c r="D77" i="18" s="1"/>
  <c r="F39" i="19"/>
  <c r="F32" i="14" s="1"/>
  <c r="F27" i="14"/>
  <c r="G7" i="19"/>
  <c r="H7" i="19"/>
  <c r="I7" i="19"/>
  <c r="J7" i="19"/>
  <c r="F77" i="18"/>
  <c r="J7" i="18"/>
  <c r="J18" i="18" s="1"/>
  <c r="J23" i="18" s="1"/>
  <c r="E22" i="14"/>
  <c r="G22" i="14" s="1"/>
  <c r="H22" i="14" s="1"/>
  <c r="I22" i="14" s="1"/>
  <c r="J22" i="14" s="1"/>
  <c r="J116" i="2"/>
  <c r="I120" i="2"/>
  <c r="I119" i="2"/>
  <c r="I9" i="19" s="1"/>
  <c r="F13" i="11"/>
  <c r="F8" i="11"/>
  <c r="H13" i="11"/>
  <c r="H8" i="11"/>
  <c r="E19" i="14" s="1"/>
  <c r="G19" i="14" s="1"/>
  <c r="H19" i="14" s="1"/>
  <c r="I19" i="14" s="1"/>
  <c r="J19" i="14" s="1"/>
  <c r="H120" i="2"/>
  <c r="H119" i="2"/>
  <c r="H9" i="19" s="1"/>
  <c r="G120" i="2"/>
  <c r="G119" i="2"/>
  <c r="G9" i="19" s="1"/>
  <c r="J11" i="14" l="1"/>
  <c r="J13" i="14" s="1"/>
  <c r="I13" i="14"/>
  <c r="D37" i="14"/>
  <c r="D82" i="18"/>
  <c r="D81" i="18"/>
  <c r="D39" i="14" s="1"/>
  <c r="D19" i="19"/>
  <c r="J118" i="2"/>
  <c r="O119" i="2" s="1"/>
  <c r="J127" i="2"/>
  <c r="F37" i="14"/>
  <c r="F81" i="18"/>
  <c r="F82" i="18"/>
  <c r="H10" i="19"/>
  <c r="H65" i="18"/>
  <c r="H8" i="19"/>
  <c r="H17" i="19" s="1"/>
  <c r="H20" i="19"/>
  <c r="I10" i="19"/>
  <c r="I8" i="19" s="1"/>
  <c r="I17" i="19" s="1"/>
  <c r="I20" i="19"/>
  <c r="I65" i="18"/>
  <c r="J119" i="2"/>
  <c r="J9" i="19" s="1"/>
  <c r="J10" i="19" s="1"/>
  <c r="J21" i="19" s="1"/>
  <c r="E23" i="14"/>
  <c r="G23" i="14" s="1"/>
  <c r="J22" i="19"/>
  <c r="G10" i="19"/>
  <c r="G65" i="18"/>
  <c r="G8" i="19"/>
  <c r="G17" i="19" s="1"/>
  <c r="G20" i="19"/>
  <c r="H23" i="14" l="1"/>
  <c r="G28" i="14"/>
  <c r="D39" i="19"/>
  <c r="D32" i="14" s="1"/>
  <c r="D27" i="14"/>
  <c r="E24" i="14"/>
  <c r="G24" i="14" s="1"/>
  <c r="G27" i="14" s="1"/>
  <c r="J120" i="2"/>
  <c r="P119" i="2"/>
  <c r="P15" i="2" s="1"/>
  <c r="N119" i="2"/>
  <c r="P51" i="10" s="1"/>
  <c r="H79" i="18"/>
  <c r="I79" i="18"/>
  <c r="J79" i="18"/>
  <c r="E34" i="14" s="1"/>
  <c r="F39" i="14"/>
  <c r="F49" i="14" s="1"/>
  <c r="G79" i="18"/>
  <c r="J65" i="18"/>
  <c r="J8" i="19"/>
  <c r="J17" i="19" s="1"/>
  <c r="J66" i="18"/>
  <c r="J24" i="18"/>
  <c r="J25" i="18" s="1"/>
  <c r="E28" i="14"/>
  <c r="J20" i="19"/>
  <c r="J19" i="19" s="1"/>
  <c r="J39" i="19" s="1"/>
  <c r="E32" i="14" s="1"/>
  <c r="I66" i="18"/>
  <c r="I77" i="18" s="1"/>
  <c r="I21" i="19"/>
  <c r="I19" i="19" s="1"/>
  <c r="I39" i="19" s="1"/>
  <c r="H21" i="19"/>
  <c r="H19" i="19" s="1"/>
  <c r="H39" i="19" s="1"/>
  <c r="H66" i="18"/>
  <c r="H77" i="18" s="1"/>
  <c r="G21" i="19"/>
  <c r="G66" i="18"/>
  <c r="G19" i="19"/>
  <c r="G39" i="19" s="1"/>
  <c r="G77" i="18"/>
  <c r="G32" i="14" l="1"/>
  <c r="E25" i="14"/>
  <c r="F11" i="11"/>
  <c r="H11" i="11"/>
  <c r="G25" i="14"/>
  <c r="H24" i="14"/>
  <c r="I23" i="14"/>
  <c r="H28" i="14"/>
  <c r="E27" i="14"/>
  <c r="J77" i="18"/>
  <c r="E37" i="14" s="1"/>
  <c r="G37" i="14" s="1"/>
  <c r="H37" i="14" s="1"/>
  <c r="I37" i="14" s="1"/>
  <c r="J37" i="14" s="1"/>
  <c r="I81" i="18"/>
  <c r="I82" i="18"/>
  <c r="G81" i="18"/>
  <c r="G82" i="18"/>
  <c r="H81" i="18"/>
  <c r="H82" i="18"/>
  <c r="E35" i="14"/>
  <c r="G35" i="14" s="1"/>
  <c r="H35" i="14" s="1"/>
  <c r="I35" i="14" s="1"/>
  <c r="J35" i="14" s="1"/>
  <c r="I24" i="14" l="1"/>
  <c r="I27" i="14" s="1"/>
  <c r="H25" i="14"/>
  <c r="H27" i="14"/>
  <c r="H32" i="14" s="1"/>
  <c r="J23" i="14"/>
  <c r="J28" i="14" s="1"/>
  <c r="I28" i="14"/>
  <c r="I32" i="14" l="1"/>
  <c r="J24" i="14"/>
  <c r="I25" i="14"/>
  <c r="J25" i="14" l="1"/>
  <c r="J27" i="14"/>
  <c r="J32" i="14" s="1"/>
  <c r="O47" i="20"/>
  <c r="I8" i="3"/>
  <c r="I6" i="3"/>
  <c r="E41" i="14" s="1"/>
  <c r="J37" i="18"/>
  <c r="J44" i="18" s="1"/>
  <c r="J82" i="18" l="1"/>
  <c r="J81" i="18"/>
  <c r="E39" i="14" s="1"/>
  <c r="E36" i="14"/>
  <c r="G36" i="14" s="1"/>
  <c r="H36" i="14" s="1"/>
  <c r="I36" i="14" s="1"/>
  <c r="J36" i="14" s="1"/>
  <c r="H41" i="14"/>
  <c r="F18" i="11"/>
  <c r="F17" i="11"/>
  <c r="H17" i="11"/>
  <c r="H18" i="11"/>
  <c r="E47" i="14"/>
  <c r="E50" i="14" s="1"/>
  <c r="H9" i="11" l="1"/>
  <c r="E43" i="14" s="1"/>
  <c r="F9" i="11"/>
  <c r="E56" i="14"/>
  <c r="G34" i="14"/>
  <c r="G39" i="14" s="1"/>
  <c r="H34" i="14" s="1"/>
  <c r="H39" i="14" s="1"/>
  <c r="I34" i="14" s="1"/>
  <c r="I39" i="14" s="1"/>
  <c r="J34" i="14" s="1"/>
  <c r="J39" i="14" s="1"/>
  <c r="E49" i="14"/>
  <c r="H14" i="11" l="1"/>
  <c r="E45" i="14" s="1"/>
  <c r="F10" i="11"/>
  <c r="H10" i="11"/>
  <c r="E44" i="14" s="1"/>
  <c r="F14" i="11"/>
</calcChain>
</file>

<file path=xl/sharedStrings.xml><?xml version="1.0" encoding="utf-8"?>
<sst xmlns="http://schemas.openxmlformats.org/spreadsheetml/2006/main" count="895" uniqueCount="595">
  <si>
    <t>Код рядка</t>
  </si>
  <si>
    <t>капітальне будівництво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</si>
  <si>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</si>
  <si>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</si>
  <si>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</si>
  <si>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</si>
  <si>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</si>
  <si>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</si>
  <si>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</si>
  <si>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</si>
  <si>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</si>
  <si>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</si>
  <si>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</si>
  <si>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</si>
  <si>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</si>
  <si>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</si>
  <si>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</si>
  <si>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</si>
  <si>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</si>
  <si>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</si>
  <si>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</si>
  <si>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</si>
  <si>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</si>
  <si>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</si>
  <si>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</si>
  <si>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</si>
  <si>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</si>
  <si>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</si>
  <si>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</si>
  <si>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</si>
  <si>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</si>
  <si>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</si>
  <si>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</si>
  <si>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</si>
  <si>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</si>
  <si>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</si>
  <si>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</si>
  <si>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</si>
  <si>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</si>
  <si>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</si>
  <si>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</si>
  <si>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</si>
  <si>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</si>
  <si>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</si>
  <si>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</si>
  <si>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</si>
  <si>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</si>
  <si>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</si>
  <si>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</si>
  <si>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</si>
  <si>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</si>
  <si>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</si>
  <si>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</si>
  <si>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</si>
  <si>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</si>
  <si>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</si>
  <si>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</si>
  <si>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</si>
  <si>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</si>
  <si>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</si>
  <si>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</si>
  <si>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</si>
  <si>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</si>
  <si>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</si>
  <si>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</si>
  <si>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</si>
  <si>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</si>
  <si>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</si>
  <si>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</si>
  <si>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</si>
  <si>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</si>
  <si>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</si>
  <si>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</si>
  <si>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</si>
  <si>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</si>
  <si>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</si>
  <si>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</si>
  <si>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</si>
  <si>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</si>
  <si>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</si>
  <si>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</si>
  <si>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</si>
  <si>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</si>
  <si>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</si>
  <si>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</si>
  <si>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</si>
  <si>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</si>
  <si>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</si>
  <si>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</si>
  <si>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</si>
  <si>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</si>
  <si>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</si>
  <si>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</si>
  <si>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</si>
  <si>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</si>
  <si>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</si>
  <si>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</si>
  <si>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</si>
  <si>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</si>
  <si>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</si>
  <si>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</si>
  <si>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</si>
  <si>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</si>
  <si>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</si>
  <si>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</si>
  <si>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</si>
  <si>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</si>
  <si>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</si>
  <si>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</si>
  <si>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</si>
  <si>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</si>
  <si>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</si>
  <si>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</si>
  <si>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</si>
  <si>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</si>
  <si>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</si>
  <si>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</si>
  <si>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</si>
  <si>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</si>
  <si>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</si>
  <si>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</si>
  <si>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</si>
  <si>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</si>
  <si>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</si>
  <si>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</si>
  <si>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</si>
  <si>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</si>
  <si>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</si>
  <si>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</si>
  <si>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</si>
  <si>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</si>
  <si>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</si>
  <si>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</si>
  <si>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</si>
  <si>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</si>
  <si>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</si>
  <si>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</si>
  <si>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</si>
  <si>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</si>
  <si>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</si>
  <si>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</si>
  <si>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</si>
  <si>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</si>
  <si>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</si>
  <si>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</si>
  <si>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</si>
  <si>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</si>
  <si>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</si>
  <si>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</si>
  <si>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</si>
  <si>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</si>
  <si>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</si>
  <si>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</si>
  <si>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</si>
  <si>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</si>
  <si>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</si>
  <si>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</si>
  <si>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</si>
  <si>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</si>
  <si>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</si>
  <si>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</si>
  <si>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</si>
  <si>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</si>
  <si>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</si>
  <si>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</si>
  <si>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</si>
  <si>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</si>
  <si>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</si>
  <si>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</si>
  <si>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</si>
  <si>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</si>
  <si>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</si>
  <si>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</si>
  <si>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</si>
  <si>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</si>
  <si>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</si>
  <si>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</si>
  <si>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</si>
  <si>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</si>
  <si>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</si>
  <si>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</si>
  <si>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</si>
  <si>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</si>
  <si>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</si>
  <si>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</si>
  <si>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</si>
  <si>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</si>
  <si>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</si>
  <si>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</si>
  <si>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</si>
  <si>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</si>
  <si>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</si>
  <si>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</si>
  <si>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</si>
  <si>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</si>
  <si>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</si>
  <si>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</si>
  <si>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</si>
  <si>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</si>
  <si>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</si>
  <si>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</si>
  <si>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</si>
  <si>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</si>
  <si>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</si>
  <si>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</si>
  <si>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</si>
  <si>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</si>
  <si>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</si>
  <si>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</si>
  <si>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</si>
  <si>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</si>
  <si>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</si>
  <si>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</si>
  <si>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</si>
  <si>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</si>
  <si>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</si>
  <si>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</si>
  <si>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</si>
  <si>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</si>
  <si>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</si>
  <si>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</si>
  <si>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</si>
  <si>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</si>
  <si>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</si>
  <si>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</si>
  <si>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</si>
  <si>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</si>
  <si>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</si>
  <si>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</si>
  <si>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</si>
  <si>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</si>
  <si>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</si>
  <si>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</si>
  <si>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</si>
  <si>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</si>
  <si>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</si>
  <si>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</si>
  <si>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</si>
  <si>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</si>
  <si>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</si>
  <si>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</si>
  <si>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</si>
  <si>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</si>
  <si>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</si>
  <si>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</si>
  <si>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</si>
  <si>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</si>
  <si>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</si>
  <si>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</si>
  <si>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</si>
  <si>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</si>
  <si>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</si>
  <si>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</si>
  <si>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</si>
  <si>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</si>
  <si>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</si>
  <si>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</si>
  <si>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</si>
  <si>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</si>
  <si>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</si>
  <si>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</si>
  <si>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</si>
  <si>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</si>
  <si>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</si>
  <si>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</si>
  <si>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</si>
  <si>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</si>
  <si>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</si>
  <si>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</si>
  <si>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</si>
  <si>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</si>
  <si>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</si>
  <si>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</si>
  <si>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</si>
  <si>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</si>
  <si>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</si>
  <si>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</si>
  <si>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</si>
  <si>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</si>
  <si>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</si>
  <si>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</si>
  <si>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</si>
  <si>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</si>
  <si>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</si>
  <si>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</si>
  <si>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</si>
  <si>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</si>
  <si>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</si>
  <si>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</si>
  <si>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</si>
  <si>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</si>
  <si>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</si>
  <si>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</si>
  <si>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</si>
  <si>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</si>
  <si>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</si>
  <si>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</si>
  <si>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</si>
  <si>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</si>
  <si>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</si>
  <si>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</si>
  <si>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</si>
  <si>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</si>
  <si>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</si>
  <si>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</si>
  <si>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</si>
  <si>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</si>
  <si>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</si>
  <si>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</si>
  <si>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</si>
  <si>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</si>
  <si>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</si>
  <si>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</si>
  <si>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</si>
  <si>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</si>
  <si>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</si>
  <si>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</si>
  <si>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</si>
  <si>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</si>
  <si>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</si>
  <si>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</si>
  <si>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</si>
  <si>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</si>
  <si>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</si>
  <si>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</si>
  <si>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</si>
  <si>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</si>
  <si>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</si>
  <si>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</si>
  <si>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</si>
  <si>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</si>
  <si>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</si>
  <si>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</si>
  <si>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</si>
  <si>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</si>
  <si>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</si>
  <si>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</si>
  <si>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</si>
  <si>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</si>
  <si>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</si>
  <si>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</si>
  <si>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</si>
  <si>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</si>
  <si>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</si>
  <si>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</si>
  <si>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</si>
  <si>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</si>
  <si>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</si>
  <si>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</si>
  <si>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</si>
  <si>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</si>
  <si>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</si>
  <si>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</si>
  <si>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</si>
  <si>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</si>
  <si>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</si>
  <si>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</si>
  <si>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</si>
  <si>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</si>
  <si>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</si>
  <si>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</si>
  <si>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</si>
  <si>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</si>
  <si>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</si>
  <si>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</si>
  <si>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</si>
  <si>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</si>
  <si>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</si>
  <si>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</si>
  <si>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>Одиниця виміру, тис. гривень без десяткових знаків</t>
  </si>
  <si>
    <t>військовий збір</t>
  </si>
  <si>
    <t>2147/1</t>
  </si>
  <si>
    <t>1160/1</t>
  </si>
  <si>
    <t>1000/1</t>
  </si>
  <si>
    <t>1062/1</t>
  </si>
  <si>
    <t>1062/2</t>
  </si>
  <si>
    <t>1062/3</t>
  </si>
  <si>
    <t>1062/4</t>
  </si>
  <si>
    <t>1085/1</t>
  </si>
  <si>
    <t>1085/2</t>
  </si>
  <si>
    <t>1018/1</t>
  </si>
  <si>
    <t>1030/1</t>
  </si>
  <si>
    <t>у тому числі за основними видами діяльності за КВЕД 81.29</t>
  </si>
  <si>
    <t>2147/2</t>
  </si>
  <si>
    <t>плата за землю</t>
  </si>
  <si>
    <t xml:space="preserve">Організування поховань і надання суміжних послуг            </t>
  </si>
  <si>
    <t>оренда приміщення</t>
  </si>
  <si>
    <t>1062/5</t>
  </si>
  <si>
    <t>1062/6</t>
  </si>
  <si>
    <t>касове обслуговування</t>
  </si>
  <si>
    <t>охорона приміщення</t>
  </si>
  <si>
    <t>передплата за періодичні видання</t>
  </si>
  <si>
    <t>1076/1</t>
  </si>
  <si>
    <t>1076/2</t>
  </si>
  <si>
    <t>1076/3</t>
  </si>
  <si>
    <t>1076/4</t>
  </si>
  <si>
    <t>1076/5</t>
  </si>
  <si>
    <t>оренда</t>
  </si>
  <si>
    <t>експлуатаційні витрати, в тому числі</t>
  </si>
  <si>
    <t>експлуатаційні витрати</t>
  </si>
  <si>
    <t>водопостачання, дератизація</t>
  </si>
  <si>
    <t>доходи від амортизації</t>
  </si>
  <si>
    <t>1150/1</t>
  </si>
  <si>
    <t>інші джерела (кошти міського бюджету)</t>
  </si>
  <si>
    <t>2146/1</t>
  </si>
  <si>
    <t>Послуги щодо поховання одиноких, безрідних громадян , осіб</t>
  </si>
  <si>
    <t>Послуги з утримання міських кладовищ</t>
  </si>
  <si>
    <t>3050/1</t>
  </si>
  <si>
    <t>3480/1</t>
  </si>
  <si>
    <t>3060/1</t>
  </si>
  <si>
    <t>коригування на доходи від амортизації</t>
  </si>
  <si>
    <t>1018/2</t>
  </si>
  <si>
    <t>1018/3</t>
  </si>
  <si>
    <t>1018/4</t>
  </si>
  <si>
    <t>1085/3</t>
  </si>
  <si>
    <t>1085/4</t>
  </si>
  <si>
    <t>1085/5</t>
  </si>
  <si>
    <t>1085/6</t>
  </si>
  <si>
    <t>штрафи, пені</t>
  </si>
  <si>
    <t>1160/2</t>
  </si>
  <si>
    <t>рентна плата за спецводовикористання</t>
  </si>
  <si>
    <t>1018/5</t>
  </si>
  <si>
    <t>1018/6</t>
  </si>
  <si>
    <t>резерв відпусток</t>
  </si>
  <si>
    <t>1030/2</t>
  </si>
  <si>
    <t>інші операційні доходи</t>
  </si>
  <si>
    <t>3030/1</t>
  </si>
  <si>
    <t>заборгованість з внеску до цільового фонду міської ради</t>
  </si>
  <si>
    <t xml:space="preserve">коригування амортизації </t>
  </si>
  <si>
    <t>3030/2</t>
  </si>
  <si>
    <t>3570/1</t>
  </si>
  <si>
    <t>3030/3</t>
  </si>
  <si>
    <t>коригування на дохід від безоплатно отриманих основних засобів</t>
  </si>
  <si>
    <t>3030/4</t>
  </si>
  <si>
    <t>1030/3</t>
  </si>
  <si>
    <t>доходи від послуг стороннім організаціям</t>
  </si>
  <si>
    <t xml:space="preserve">модернізація, модифікація (добудова, дообладнання, реконструкція) основних засобів </t>
  </si>
  <si>
    <t>3270/1</t>
  </si>
  <si>
    <t>Придбання (створення) основних засобів :</t>
  </si>
  <si>
    <t xml:space="preserve">Придбання (створення) нематеріальних активів </t>
  </si>
  <si>
    <t>Капітальне будівництво</t>
  </si>
  <si>
    <t>3280/1</t>
  </si>
  <si>
    <t>3470/1</t>
  </si>
  <si>
    <t>послуги зв"язку</t>
  </si>
  <si>
    <t>96.03</t>
  </si>
  <si>
    <t>Комунальне підприємство</t>
  </si>
  <si>
    <t>міські районні у містах ради та їх виконавчі комітети</t>
  </si>
  <si>
    <t xml:space="preserve">послуги підприємств, що займаються невиробничими видами побут. обслугов.населення </t>
  </si>
  <si>
    <t>організування поховань і надання суміжних послуг</t>
  </si>
  <si>
    <t>комунальна</t>
  </si>
  <si>
    <t>пр. О Поля 18, приміщ 119, м. Дніпро</t>
  </si>
  <si>
    <t>м. Дніпро</t>
  </si>
  <si>
    <t>1062/7</t>
  </si>
  <si>
    <t>1160/3</t>
  </si>
  <si>
    <t>проект землеустрою</t>
  </si>
  <si>
    <t>3470/2</t>
  </si>
  <si>
    <t>______________________________________________</t>
  </si>
  <si>
    <t>інші витрати (адм збір, інф землевпоряд)</t>
  </si>
  <si>
    <t>1018/7</t>
  </si>
  <si>
    <t>1,1</t>
  </si>
  <si>
    <t>паливо+масла б/ндс</t>
  </si>
  <si>
    <t xml:space="preserve"> </t>
  </si>
  <si>
    <t>1160/4</t>
  </si>
  <si>
    <t>фінпл поточн</t>
  </si>
  <si>
    <t>Вибуття додаткового капіталу</t>
  </si>
  <si>
    <t>коригування на динаміку поточної кредиторської заборгованості, доходів майбутніх періодів, інших поточних зобов'язань</t>
  </si>
  <si>
    <t>1018/8</t>
  </si>
  <si>
    <t>1076/6</t>
  </si>
  <si>
    <t>1076/6/1</t>
  </si>
  <si>
    <t>1076/6/2</t>
  </si>
  <si>
    <t>1076/6/3</t>
  </si>
  <si>
    <t>1076/6/4</t>
  </si>
  <si>
    <t>1076/6/5</t>
  </si>
  <si>
    <t>коригування на динаміку запасів, незавершеного виробництва, товарів, дебіторської заборгованості, витрати майбутніх періодів, інш обор активів</t>
  </si>
  <si>
    <t>3030/5</t>
  </si>
  <si>
    <t>коригування суми нерозподіленого прибутку</t>
  </si>
  <si>
    <t xml:space="preserve">придбання (виготовлення) основних засобів </t>
  </si>
  <si>
    <t>канцтовари, електротовари</t>
  </si>
  <si>
    <t>2017 пл</t>
  </si>
  <si>
    <t>2017 прогноз</t>
  </si>
  <si>
    <t>капітальне будівництво (розшифр об"єктів - табл 9 Капітальне будівництво)</t>
  </si>
  <si>
    <t>заходи з охорони праці та техніки безпеки</t>
  </si>
  <si>
    <t>інформаційно-технічне обслуговування</t>
  </si>
  <si>
    <t>витрати на придбання ритуальної атрибутики</t>
  </si>
  <si>
    <t>722-22-27</t>
  </si>
  <si>
    <t>АУП</t>
  </si>
  <si>
    <t>собівартість</t>
  </si>
  <si>
    <t>єсв</t>
  </si>
  <si>
    <t>збут</t>
  </si>
  <si>
    <t>оклад</t>
  </si>
  <si>
    <t>ФОП</t>
  </si>
  <si>
    <t>ЄСВ</t>
  </si>
  <si>
    <t>не может быть больше чем в доходах</t>
  </si>
  <si>
    <t>1120/1</t>
  </si>
  <si>
    <t>відсотки, отримані по депозиту</t>
  </si>
  <si>
    <t>Департамент благоустрою та інфраструктури Дніпровської міської ради</t>
  </si>
  <si>
    <t>придбання (створення) нематеріальних активів(землеустрій)</t>
  </si>
  <si>
    <t>3470/3</t>
  </si>
  <si>
    <t xml:space="preserve">капітальне будівництво </t>
  </si>
  <si>
    <t xml:space="preserve">Придбання основних засобів </t>
  </si>
  <si>
    <t>внески до статутного фонду</t>
  </si>
  <si>
    <t>факт</t>
  </si>
  <si>
    <t>9  мес 2019</t>
  </si>
  <si>
    <t>___________________________________</t>
  </si>
  <si>
    <t>ОПР</t>
  </si>
  <si>
    <t>Збут</t>
  </si>
  <si>
    <t xml:space="preserve">Середньооблікова кількість штатних працівників  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</si>
  <si>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
</t>
  </si>
  <si>
    <t>КП "Міська ритуальна служба" Дніпровської міської ради</t>
  </si>
  <si>
    <t>Витрати на пожежну безпеку</t>
  </si>
  <si>
    <t>Прямі виробничі витрати на страхування</t>
  </si>
  <si>
    <t>3% от чистого дохода</t>
  </si>
  <si>
    <t>Ритуальні послуги</t>
  </si>
  <si>
    <t>Загальна інформація про підприємство (резюме): КП "Міська ритуальна служба" Дніпровської міської ради створено згідно рішення Дніпровської міської ради від 22.04.2020 № 52/56. Основна діяльність підприємства: надання ритуальних послуг населенню міста, утримання та охорона міських кладовищ, захоронення одиноких, безрідних громадян.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</si>
  <si>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</si>
  <si>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ФОП за рік</t>
  </si>
  <si>
    <t>1квартал</t>
  </si>
  <si>
    <t>кількість робітників</t>
  </si>
  <si>
    <t>ауп</t>
  </si>
  <si>
    <t>фоп інвалідів</t>
  </si>
  <si>
    <t>фонд оплати праці</t>
  </si>
  <si>
    <t>середньомісячна ЗП</t>
  </si>
  <si>
    <t>оклади</t>
  </si>
  <si>
    <t>середньомісячний дохід</t>
  </si>
  <si>
    <t>оклади+надбавки</t>
  </si>
  <si>
    <t>Штатний розпис</t>
  </si>
  <si>
    <t>Разом</t>
  </si>
  <si>
    <t>34340+3*600+15333+923/9*12</t>
  </si>
  <si>
    <t>виплати по лікарн.листках, мат допомога</t>
  </si>
  <si>
    <t>ЄСВ на лікарняні</t>
  </si>
  <si>
    <t>добровiльне фiнансування заходiв з благоустрою кладовищ</t>
  </si>
  <si>
    <t>1150/4</t>
  </si>
  <si>
    <t>запчастини, інструменти</t>
  </si>
  <si>
    <t>Послуги стороніх організацій  (сміття, біотуалети, інше)</t>
  </si>
  <si>
    <t>сервісне обслуговування, ремонт оргтехніки, кліматичної техн., та інш.</t>
  </si>
  <si>
    <t>1018/9</t>
  </si>
  <si>
    <t>1018/10</t>
  </si>
  <si>
    <t>Реєстрація, перереєстрація автомобілів</t>
  </si>
  <si>
    <t>витрати на тепло- водопостачання</t>
  </si>
  <si>
    <t>1062/8</t>
  </si>
  <si>
    <t>ТО та ремонт оргтехніки та інш</t>
  </si>
  <si>
    <t>Компрессоры</t>
  </si>
  <si>
    <t>Лестницы</t>
  </si>
  <si>
    <t>факт за 9 мес</t>
  </si>
  <si>
    <t>по штатке кол-во 252</t>
  </si>
  <si>
    <t>1062/7 не вошло</t>
  </si>
  <si>
    <t>здесь 245</t>
  </si>
  <si>
    <t>нарас</t>
  </si>
  <si>
    <t xml:space="preserve">Підприємство                                          </t>
  </si>
  <si>
    <t>КОМУНАЛЬНЕ ПІДПРИЄМСТВО "МІСЬКАРИТУАЛЬНА СЛУЖБА" ДНІПРОВСЬКОЇ МІСЬКОЇ РАДИ</t>
  </si>
  <si>
    <t>(дата та номер рішення виконавчого комітету міської ради)</t>
  </si>
  <si>
    <r>
      <t>ПОГОДЖЕНО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</t>
    </r>
    <r>
      <rPr>
        <sz val="12"/>
        <color indexed="9"/>
        <rFont val="Times New Roman"/>
        <family val="1"/>
        <charset val="204"/>
      </rPr>
      <t xml:space="preserve">                      
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</si>
  <si>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</si>
  <si>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ФІНАНСОВИЙ ПЛАН ПІДПРИЄМСТВА НА </t>
    </r>
    <r>
      <rPr>
        <b/>
        <sz val="16"/>
        <rFont val="Times New Roman"/>
        <family val="1"/>
        <charset val="204"/>
      </rPr>
      <t>2023</t>
    </r>
    <r>
      <rPr>
        <b/>
        <sz val="14"/>
        <rFont val="Times New Roman"/>
        <family val="1"/>
        <charset val="204"/>
      </rPr>
      <t>рік</t>
    </r>
  </si>
  <si>
    <t>до фінансового плану на 2023 рік</t>
  </si>
  <si>
    <t xml:space="preserve">Реалізація ритуальної атрибутики </t>
  </si>
  <si>
    <t>Плановий 2023  рік</t>
  </si>
  <si>
    <t>Плановий показник поточного 
2022 року</t>
  </si>
  <si>
    <t>Фактичний показник поточного року за останній звітний 2022 р. (9 місяців)</t>
  </si>
  <si>
    <t>Фактичний показник за 2021
минулий рік</t>
  </si>
  <si>
    <t>1062/9</t>
  </si>
  <si>
    <t>податок на землю</t>
  </si>
  <si>
    <t>1076/6/6</t>
  </si>
  <si>
    <t>1076/6/7</t>
  </si>
  <si>
    <t xml:space="preserve">ТО РРО </t>
  </si>
  <si>
    <t>поховання померлих</t>
  </si>
  <si>
    <t>3480/2</t>
  </si>
  <si>
    <t>надходження до додаткового капіталу</t>
  </si>
  <si>
    <t>9 мес 2022 р</t>
  </si>
  <si>
    <t>1018/11</t>
  </si>
  <si>
    <t>копання могили</t>
  </si>
  <si>
    <t>цільове фінансування на виплату заробітної плати, придбання ритуальної атрибутики</t>
  </si>
  <si>
    <t>податок на землю, витрати на спори у судах</t>
  </si>
  <si>
    <t>ритуальна атрибутика для поховання військових</t>
  </si>
  <si>
    <t>списання просроченої кредиторської заборгованості</t>
  </si>
  <si>
    <t>факт 9 мес 2022</t>
  </si>
  <si>
    <t>3480/3</t>
  </si>
  <si>
    <t>надходження до додаткового капіталу амортизація від безплатно отриманих основних засобів</t>
  </si>
  <si>
    <t>Рік  2023</t>
  </si>
  <si>
    <t xml:space="preserve">Subaru </t>
  </si>
  <si>
    <t>Договір після проведення торгів</t>
  </si>
  <si>
    <t>для службових поїздок</t>
  </si>
  <si>
    <t>Руслан ДАНИЛКІН</t>
  </si>
  <si>
    <t>В.о.директора</t>
  </si>
  <si>
    <t>бензопила</t>
  </si>
  <si>
    <t>оргтехника</t>
  </si>
  <si>
    <t>зарядно-пусковий прилад</t>
  </si>
  <si>
    <t>зварювальний напівавтомат</t>
  </si>
  <si>
    <t>свердлильний верстат</t>
  </si>
  <si>
    <t>точильний верстат</t>
  </si>
  <si>
    <t>прес гідравлічний</t>
  </si>
  <si>
    <t>коеф. 105%</t>
  </si>
  <si>
    <t>в конце 2022 года платите податок???????</t>
  </si>
  <si>
    <t>Платим в начале 2023 года по итогам 22</t>
  </si>
  <si>
    <t>нарастающ. Принц.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</si>
</sst>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* #,##0.00\ &quot;₽&quot;_-;\-* #,##0.00\ &quot;₽&quot;_-;_-* &quot;-&quot;??\ &quot;₽&quot;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0.000"/>
    <numFmt numFmtId="180" formatCode="_-* #,##0_₴_-;\-* #,##0_₴_-;_-* &quot;-&quot;??_₴_-;_-@_-"/>
    <numFmt numFmtId="181" formatCode="0.0%"/>
  </numFmts>
  <fonts count="1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b/>
      <sz val="13"/>
      <color indexed="1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4"/>
      <color indexed="48"/>
      <name val="Times New Roman"/>
      <family val="1"/>
      <charset val="204"/>
    </font>
    <font>
      <sz val="10"/>
      <color indexed="48"/>
      <name val="Arial Cyr"/>
      <charset val="204"/>
    </font>
    <font>
      <sz val="18"/>
      <color indexed="10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b/>
      <i/>
      <sz val="14"/>
      <color indexed="22"/>
      <name val="Times New Roman"/>
      <family val="1"/>
      <charset val="204"/>
    </font>
    <font>
      <i/>
      <sz val="14"/>
      <color indexed="9"/>
      <name val="Times New Roman"/>
      <family val="1"/>
      <charset val="204"/>
    </font>
    <font>
      <sz val="18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rgb="FFF7981D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7"/>
      <color rgb="FF222222"/>
      <name val="Verdana"/>
      <family val="2"/>
      <charset val="204"/>
    </font>
    <font>
      <sz val="10"/>
      <color rgb="FF222222"/>
      <name val="Verdana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7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2" borderId="0" applyNumberFormat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8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0" borderId="0" applyNumberFormat="0" applyBorder="0" applyAlignment="0" applyProtection="0"/>
    <xf numFmtId="0" fontId="34" fillId="5" borderId="0" applyNumberFormat="0" applyBorder="0" applyAlignment="0" applyProtection="0"/>
    <xf numFmtId="0" fontId="2" fillId="5" borderId="0" applyNumberFormat="0" applyBorder="0" applyAlignment="0" applyProtection="0"/>
    <xf numFmtId="0" fontId="34" fillId="8" borderId="0" applyNumberFormat="0" applyBorder="0" applyAlignment="0" applyProtection="0"/>
    <xf numFmtId="0" fontId="2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8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3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44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14" fillId="0" borderId="0"/>
    <xf numFmtId="0" fontId="3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8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" xfId="182" applyFont="1" applyFill="1" applyBorder="1" applyAlignment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3" xfId="182" applyFont="1" applyFill="1" applyBorder="1" applyAlignment="1" applyProtection="1">
      <alignment vertical="center" wrapText="1"/>
    </xf>
    <xf numFmtId="173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246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80" fillId="0" borderId="0" xfId="0" applyFont="1" applyAlignment="1" applyProtection="1">
      <alignment vertical="center"/>
      <protection locked="0"/>
    </xf>
    <xf numFmtId="0" fontId="77" fillId="0" borderId="0" xfId="0" applyFont="1" applyAlignment="1" applyProtection="1">
      <alignment vertical="top" wrapText="1"/>
      <protection locked="0"/>
    </xf>
    <xf numFmtId="49" fontId="84" fillId="0" borderId="3" xfId="0" applyNumberFormat="1" applyFont="1" applyBorder="1" applyAlignment="1" applyProtection="1">
      <alignment horizontal="left" vertical="center" wrapText="1"/>
      <protection locked="0"/>
    </xf>
    <xf numFmtId="0" fontId="85" fillId="0" borderId="0" xfId="0" applyFont="1" applyAlignment="1">
      <alignment vertical="center"/>
    </xf>
    <xf numFmtId="49" fontId="87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 applyProtection="1">
      <alignment vertical="center" wrapText="1"/>
    </xf>
    <xf numFmtId="1" fontId="6" fillId="0" borderId="0" xfId="0" applyNumberFormat="1" applyFont="1" applyAlignment="1" applyProtection="1">
      <alignment vertical="center"/>
      <protection locked="0"/>
    </xf>
    <xf numFmtId="0" fontId="6" fillId="29" borderId="0" xfId="0" applyFont="1" applyFill="1" applyAlignment="1">
      <alignment vertical="center"/>
    </xf>
    <xf numFmtId="0" fontId="6" fillId="29" borderId="0" xfId="0" applyFont="1" applyFill="1"/>
    <xf numFmtId="0" fontId="6" fillId="29" borderId="0" xfId="0" applyFont="1" applyFill="1" applyAlignment="1">
      <alignment horizontal="left" vertical="center" wrapText="1" shrinkToFit="1"/>
    </xf>
    <xf numFmtId="0" fontId="9" fillId="29" borderId="0" xfId="0" applyFont="1" applyFill="1" applyAlignment="1">
      <alignment horizontal="center" vertical="center"/>
    </xf>
    <xf numFmtId="170" fontId="6" fillId="29" borderId="0" xfId="0" applyNumberFormat="1" applyFont="1" applyFill="1" applyAlignment="1">
      <alignment vertical="center"/>
    </xf>
    <xf numFmtId="0" fontId="5" fillId="0" borderId="0" xfId="246" applyFont="1" applyAlignment="1">
      <alignment horizontal="center" vertical="center"/>
    </xf>
    <xf numFmtId="0" fontId="6" fillId="0" borderId="0" xfId="246" applyFont="1" applyAlignment="1">
      <alignment vertical="center"/>
    </xf>
    <xf numFmtId="0" fontId="80" fillId="0" borderId="0" xfId="246" applyFont="1" applyAlignment="1">
      <alignment horizontal="center" vertical="center" wrapText="1"/>
    </xf>
    <xf numFmtId="0" fontId="81" fillId="0" borderId="0" xfId="246" applyFont="1" applyAlignment="1">
      <alignment horizontal="center" vertical="center" wrapText="1"/>
    </xf>
    <xf numFmtId="0" fontId="76" fillId="0" borderId="0" xfId="246" applyFont="1" applyAlignment="1">
      <alignment vertical="center"/>
    </xf>
    <xf numFmtId="0" fontId="6" fillId="0" borderId="3" xfId="246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246" applyFont="1" applyBorder="1" applyAlignment="1">
      <alignment horizontal="center" vertical="center"/>
    </xf>
    <xf numFmtId="0" fontId="5" fillId="0" borderId="3" xfId="246" applyFont="1" applyBorder="1" applyAlignment="1">
      <alignment horizontal="left" vertical="center" wrapText="1"/>
    </xf>
    <xf numFmtId="0" fontId="5" fillId="0" borderId="0" xfId="246" applyFont="1" applyAlignment="1">
      <alignment vertical="center"/>
    </xf>
    <xf numFmtId="0" fontId="6" fillId="0" borderId="3" xfId="246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6" fillId="0" borderId="3" xfId="246" applyFont="1" applyBorder="1" applyAlignment="1" applyProtection="1">
      <alignment horizontal="center" vertical="center" wrapText="1"/>
      <protection locked="0"/>
    </xf>
    <xf numFmtId="0" fontId="5" fillId="0" borderId="3" xfId="246" applyFont="1" applyBorder="1" applyAlignment="1" applyProtection="1">
      <alignment horizontal="left" vertical="center" wrapText="1"/>
      <protection locked="0"/>
    </xf>
    <xf numFmtId="0" fontId="5" fillId="0" borderId="3" xfId="246" applyFont="1" applyBorder="1" applyAlignment="1" applyProtection="1">
      <alignment horizontal="center" vertical="center" wrapText="1"/>
      <protection locked="0"/>
    </xf>
    <xf numFmtId="0" fontId="71" fillId="0" borderId="0" xfId="246" applyFont="1" applyAlignment="1">
      <alignment vertical="center"/>
    </xf>
    <xf numFmtId="0" fontId="6" fillId="0" borderId="0" xfId="246" applyFont="1" applyAlignment="1" applyProtection="1">
      <alignment horizontal="left" vertical="center" wrapText="1"/>
      <protection locked="0"/>
    </xf>
    <xf numFmtId="0" fontId="6" fillId="0" borderId="0" xfId="246" applyFont="1" applyAlignment="1" applyProtection="1">
      <alignment horizontal="center" vertical="center"/>
      <protection locked="0"/>
    </xf>
    <xf numFmtId="170" fontId="6" fillId="0" borderId="0" xfId="246" applyNumberFormat="1" applyFont="1" applyAlignment="1" applyProtection="1">
      <alignment horizontal="center" vertical="center" wrapText="1"/>
      <protection locked="0"/>
    </xf>
    <xf numFmtId="170" fontId="6" fillId="0" borderId="0" xfId="246" applyNumberFormat="1" applyFont="1" applyAlignment="1" applyProtection="1">
      <alignment horizontal="right" vertical="center" wrapText="1"/>
      <protection locked="0"/>
    </xf>
    <xf numFmtId="0" fontId="6" fillId="0" borderId="0" xfId="246" applyFont="1" applyAlignment="1">
      <alignment vertical="center" wrapText="1"/>
    </xf>
    <xf numFmtId="0" fontId="6" fillId="0" borderId="0" xfId="246" applyFont="1" applyAlignment="1">
      <alignment horizontal="center" vertical="center"/>
    </xf>
    <xf numFmtId="0" fontId="82" fillId="0" borderId="0" xfId="0" applyFont="1" applyAlignment="1">
      <alignment vertical="center"/>
    </xf>
    <xf numFmtId="3" fontId="8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16" fillId="0" borderId="0" xfId="246" applyFont="1"/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13" fillId="0" borderId="3" xfId="0" applyFont="1" applyBorder="1" applyAlignment="1">
      <alignment horizontal="left" vertical="center" wrapText="1"/>
    </xf>
    <xf numFmtId="0" fontId="5" fillId="0" borderId="0" xfId="0" quotePrefix="1" applyFont="1" applyAlignment="1" applyProtection="1">
      <alignment horizontal="center" vertical="center"/>
      <protection locked="0"/>
    </xf>
    <xf numFmtId="169" fontId="5" fillId="0" borderId="0" xfId="0" applyNumberFormat="1" applyFont="1" applyAlignment="1" applyProtection="1">
      <alignment horizontal="center" vertical="center" wrapText="1"/>
      <protection locked="0"/>
    </xf>
    <xf numFmtId="169" fontId="5" fillId="0" borderId="0" xfId="0" applyNumberFormat="1" applyFont="1" applyAlignment="1" applyProtection="1">
      <alignment horizontal="right" vertical="center" wrapText="1"/>
      <protection locked="0"/>
    </xf>
    <xf numFmtId="0" fontId="13" fillId="0" borderId="0" xfId="0" applyFont="1"/>
    <xf numFmtId="0" fontId="81" fillId="0" borderId="0" xfId="0" applyFont="1"/>
    <xf numFmtId="0" fontId="6" fillId="0" borderId="16" xfId="238" applyFont="1" applyBorder="1" applyAlignment="1">
      <alignment horizontal="center" vertical="center" wrapText="1"/>
    </xf>
    <xf numFmtId="0" fontId="6" fillId="0" borderId="17" xfId="238" applyFont="1" applyBorder="1" applyAlignment="1">
      <alignment horizontal="center" vertical="center" wrapText="1"/>
    </xf>
    <xf numFmtId="0" fontId="6" fillId="0" borderId="3" xfId="238" applyFont="1" applyBorder="1" applyAlignment="1">
      <alignment horizontal="center" vertical="center"/>
    </xf>
    <xf numFmtId="0" fontId="5" fillId="0" borderId="3" xfId="238" applyFont="1" applyBorder="1" applyAlignment="1">
      <alignment horizontal="left" vertical="center" wrapText="1"/>
    </xf>
    <xf numFmtId="0" fontId="5" fillId="0" borderId="3" xfId="238" applyFont="1" applyBorder="1" applyAlignment="1">
      <alignment horizontal="left" vertical="center"/>
    </xf>
    <xf numFmtId="0" fontId="76" fillId="0" borderId="3" xfId="238" applyFont="1" applyBorder="1" applyAlignment="1">
      <alignment horizontal="center" vertical="center"/>
    </xf>
    <xf numFmtId="0" fontId="6" fillId="0" borderId="3" xfId="238" applyFont="1" applyBorder="1" applyAlignment="1">
      <alignment horizontal="center" vertical="center" wrapText="1"/>
    </xf>
    <xf numFmtId="170" fontId="6" fillId="0" borderId="3" xfId="238" applyNumberFormat="1" applyFont="1" applyBorder="1" applyAlignment="1">
      <alignment horizontal="center" vertical="center" wrapText="1"/>
    </xf>
    <xf numFmtId="49" fontId="6" fillId="0" borderId="3" xfId="238" applyNumberFormat="1" applyFont="1" applyBorder="1" applyAlignment="1">
      <alignment horizontal="left" vertical="center" wrapText="1"/>
    </xf>
    <xf numFmtId="0" fontId="6" fillId="0" borderId="3" xfId="238" applyFont="1" applyBorder="1" applyAlignment="1">
      <alignment horizontal="left" vertical="top" wrapText="1"/>
    </xf>
    <xf numFmtId="0" fontId="6" fillId="0" borderId="3" xfId="238" applyFont="1" applyBorder="1" applyAlignment="1">
      <alignment horizontal="left" vertical="center" wrapText="1"/>
    </xf>
    <xf numFmtId="170" fontId="6" fillId="0" borderId="3" xfId="238" applyNumberFormat="1" applyFont="1" applyBorder="1" applyAlignment="1" applyProtection="1">
      <alignment horizontal="center" vertical="center" wrapText="1"/>
      <protection locked="0"/>
    </xf>
    <xf numFmtId="49" fontId="6" fillId="0" borderId="3" xfId="238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84" fillId="29" borderId="0" xfId="0" applyFont="1" applyFill="1" applyAlignment="1">
      <alignment vertical="center"/>
    </xf>
    <xf numFmtId="0" fontId="9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71" fillId="0" borderId="3" xfId="0" applyFont="1" applyBorder="1" applyAlignment="1">
      <alignment horizontal="center" vertical="center" wrapText="1" shrinkToFit="1"/>
    </xf>
    <xf numFmtId="0" fontId="71" fillId="0" borderId="0" xfId="0" applyFont="1" applyAlignment="1">
      <alignment vertical="center"/>
    </xf>
    <xf numFmtId="169" fontId="5" fillId="0" borderId="0" xfId="0" applyNumberFormat="1" applyFont="1" applyAlignment="1">
      <alignment horizontal="right" vertical="center" wrapText="1"/>
    </xf>
    <xf numFmtId="1" fontId="71" fillId="0" borderId="3" xfId="0" applyNumberFormat="1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75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1" fillId="0" borderId="3" xfId="0" applyFont="1" applyBorder="1" applyAlignment="1">
      <alignment vertical="center" wrapText="1"/>
    </xf>
    <xf numFmtId="0" fontId="71" fillId="0" borderId="3" xfId="0" applyFont="1" applyBorder="1" applyAlignment="1">
      <alignment horizontal="right" vertical="center" wrapText="1"/>
    </xf>
    <xf numFmtId="0" fontId="76" fillId="0" borderId="3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44" fontId="6" fillId="0" borderId="3" xfId="211" applyFont="1" applyFill="1" applyBorder="1" applyAlignment="1" applyProtection="1">
      <alignment horizontal="center" vertical="center" wrapText="1"/>
      <protection locked="0"/>
    </xf>
    <xf numFmtId="180" fontId="6" fillId="0" borderId="3" xfId="324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" fontId="86" fillId="0" borderId="0" xfId="0" applyNumberFormat="1" applyFont="1" applyAlignment="1">
      <alignment horizontal="right"/>
    </xf>
    <xf numFmtId="3" fontId="85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179" fontId="6" fillId="0" borderId="3" xfId="0" applyNumberFormat="1" applyFont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3" fontId="76" fillId="0" borderId="0" xfId="0" applyNumberFormat="1" applyFont="1" applyAlignment="1" applyProtection="1">
      <alignment horizontal="right" vertical="center" wrapText="1"/>
      <protection locked="0"/>
    </xf>
    <xf numFmtId="170" fontId="76" fillId="0" borderId="0" xfId="0" applyNumberFormat="1" applyFont="1" applyAlignment="1" applyProtection="1">
      <alignment horizontal="right" vertical="center" wrapText="1"/>
      <protection locked="0"/>
    </xf>
    <xf numFmtId="1" fontId="94" fillId="0" borderId="0" xfId="0" applyNumberFormat="1" applyFont="1" applyAlignment="1">
      <alignment vertical="center"/>
    </xf>
    <xf numFmtId="0" fontId="95" fillId="0" borderId="0" xfId="0" applyFont="1" applyAlignment="1">
      <alignment vertical="center" wrapText="1"/>
    </xf>
    <xf numFmtId="0" fontId="6" fillId="3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1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97" fillId="0" borderId="3" xfId="0" applyFont="1" applyBorder="1" applyAlignment="1">
      <alignment vertical="top" wrapText="1"/>
    </xf>
    <xf numFmtId="1" fontId="91" fillId="0" borderId="0" xfId="0" applyNumberFormat="1" applyFont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 shrinkToFit="1"/>
    </xf>
    <xf numFmtId="1" fontId="76" fillId="0" borderId="0" xfId="0" applyNumberFormat="1" applyFont="1" applyAlignment="1" applyProtection="1">
      <alignment horizontal="right" vertical="center" wrapText="1"/>
      <protection locked="0"/>
    </xf>
    <xf numFmtId="1" fontId="6" fillId="0" borderId="0" xfId="0" applyNumberFormat="1" applyFont="1" applyAlignment="1">
      <alignment horizontal="right" vertical="center" wrapText="1"/>
    </xf>
    <xf numFmtId="1" fontId="85" fillId="0" borderId="0" xfId="0" applyNumberFormat="1" applyFont="1" applyAlignment="1">
      <alignment horizontal="right" vertical="center" wrapText="1"/>
    </xf>
    <xf numFmtId="49" fontId="98" fillId="0" borderId="3" xfId="0" applyNumberFormat="1" applyFont="1" applyBorder="1" applyAlignment="1" applyProtection="1">
      <alignment horizontal="left" vertical="center" wrapText="1"/>
      <protection locked="0"/>
    </xf>
    <xf numFmtId="0" fontId="99" fillId="0" borderId="0" xfId="0" applyFont="1" applyAlignment="1">
      <alignment vertical="center"/>
    </xf>
    <xf numFmtId="1" fontId="97" fillId="0" borderId="3" xfId="0" applyNumberFormat="1" applyFont="1" applyBorder="1" applyAlignment="1">
      <alignment vertical="top" wrapText="1"/>
    </xf>
    <xf numFmtId="3" fontId="98" fillId="0" borderId="0" xfId="0" applyNumberFormat="1" applyFont="1" applyAlignment="1" applyProtection="1">
      <alignment horizontal="right" vertical="center" wrapText="1"/>
      <protection locked="0"/>
    </xf>
    <xf numFmtId="1" fontId="98" fillId="0" borderId="0" xfId="0" applyNumberFormat="1" applyFont="1" applyAlignment="1" applyProtection="1">
      <alignment horizontal="right" vertical="center" wrapText="1"/>
      <protection locked="0"/>
    </xf>
    <xf numFmtId="170" fontId="98" fillId="0" borderId="0" xfId="0" applyNumberFormat="1" applyFont="1" applyAlignment="1" applyProtection="1">
      <alignment horizontal="right" vertical="center" wrapText="1"/>
      <protection locked="0"/>
    </xf>
    <xf numFmtId="49" fontId="99" fillId="0" borderId="3" xfId="0" applyNumberFormat="1" applyFont="1" applyBorder="1" applyAlignment="1" applyProtection="1">
      <alignment horizontal="left" vertical="center" wrapText="1"/>
      <protection locked="0"/>
    </xf>
    <xf numFmtId="0" fontId="83" fillId="0" borderId="19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1" fontId="6" fillId="35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5" borderId="3" xfId="0" applyNumberFormat="1" applyFont="1" applyFill="1" applyBorder="1" applyAlignment="1">
      <alignment horizontal="center" vertical="center" wrapText="1"/>
    </xf>
    <xf numFmtId="3" fontId="100" fillId="0" borderId="3" xfId="0" applyNumberFormat="1" applyFont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Alignment="1">
      <alignment vertical="center"/>
    </xf>
    <xf numFmtId="0" fontId="5" fillId="35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left" vertical="center"/>
    </xf>
    <xf numFmtId="0" fontId="6" fillId="35" borderId="3" xfId="0" applyFont="1" applyFill="1" applyBorder="1" applyAlignment="1">
      <alignment horizontal="center" vertical="center" wrapText="1"/>
    </xf>
    <xf numFmtId="0" fontId="71" fillId="35" borderId="3" xfId="0" applyFont="1" applyFill="1" applyBorder="1" applyAlignment="1">
      <alignment vertical="center" wrapText="1"/>
    </xf>
    <xf numFmtId="1" fontId="71" fillId="35" borderId="3" xfId="0" applyNumberFormat="1" applyFont="1" applyFill="1" applyBorder="1" applyAlignment="1">
      <alignment horizontal="center" vertical="center" wrapText="1"/>
    </xf>
    <xf numFmtId="0" fontId="76" fillId="35" borderId="3" xfId="0" applyFont="1" applyFill="1" applyBorder="1" applyAlignment="1">
      <alignment horizontal="center" vertical="center" wrapText="1"/>
    </xf>
    <xf numFmtId="169" fontId="5" fillId="35" borderId="0" xfId="0" applyNumberFormat="1" applyFont="1" applyFill="1" applyAlignment="1">
      <alignment horizontal="right" vertical="center"/>
    </xf>
    <xf numFmtId="0" fontId="16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 wrapText="1" shrinkToFit="1"/>
    </xf>
    <xf numFmtId="169" fontId="99" fillId="0" borderId="0" xfId="0" applyNumberFormat="1" applyFont="1" applyAlignment="1">
      <alignment horizontal="right" vertical="center"/>
    </xf>
    <xf numFmtId="1" fontId="5" fillId="0" borderId="0" xfId="355" applyNumberFormat="1" applyFont="1" applyFill="1" applyBorder="1" applyAlignment="1">
      <alignment vertical="center"/>
    </xf>
    <xf numFmtId="0" fontId="6" fillId="30" borderId="0" xfId="0" applyFont="1" applyFill="1" applyAlignment="1">
      <alignment vertical="center"/>
    </xf>
    <xf numFmtId="1" fontId="85" fillId="36" borderId="0" xfId="0" applyNumberFormat="1" applyFont="1" applyFill="1" applyAlignment="1">
      <alignment vertical="center"/>
    </xf>
    <xf numFmtId="0" fontId="6" fillId="36" borderId="0" xfId="0" applyFont="1" applyFill="1" applyAlignment="1">
      <alignment vertical="center"/>
    </xf>
    <xf numFmtId="180" fontId="85" fillId="36" borderId="0" xfId="324" applyNumberFormat="1" applyFont="1" applyFill="1" applyAlignment="1">
      <alignment vertical="center"/>
    </xf>
    <xf numFmtId="1" fontId="85" fillId="31" borderId="0" xfId="0" applyNumberFormat="1" applyFont="1" applyFill="1" applyAlignment="1">
      <alignment vertical="center"/>
    </xf>
    <xf numFmtId="180" fontId="85" fillId="31" borderId="0" xfId="324" applyNumberFormat="1" applyFont="1" applyFill="1" applyAlignment="1">
      <alignment vertical="center"/>
    </xf>
    <xf numFmtId="0" fontId="85" fillId="34" borderId="0" xfId="0" applyFont="1" applyFill="1" applyAlignment="1">
      <alignment vertical="center"/>
    </xf>
    <xf numFmtId="1" fontId="6" fillId="32" borderId="0" xfId="0" applyNumberFormat="1" applyFont="1" applyFill="1" applyAlignment="1">
      <alignment vertical="center"/>
    </xf>
    <xf numFmtId="0" fontId="85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97" fillId="0" borderId="3" xfId="0" applyNumberFormat="1" applyFont="1" applyBorder="1" applyAlignment="1" applyProtection="1">
      <alignment horizontal="center" vertical="center" wrapText="1"/>
      <protection locked="0"/>
    </xf>
    <xf numFmtId="49" fontId="81" fillId="0" borderId="3" xfId="0" applyNumberFormat="1" applyFont="1" applyBorder="1" applyAlignment="1" applyProtection="1">
      <alignment horizontal="left" vertical="center" wrapText="1"/>
      <protection locked="0"/>
    </xf>
    <xf numFmtId="0" fontId="97" fillId="0" borderId="3" xfId="0" applyFont="1" applyBorder="1" applyAlignment="1" applyProtection="1">
      <alignment horizontal="left" vertical="center" wrapText="1"/>
      <protection locked="0"/>
    </xf>
    <xf numFmtId="0" fontId="97" fillId="0" borderId="3" xfId="0" applyFont="1" applyBorder="1" applyAlignment="1">
      <alignment horizontal="center" vertical="center" wrapText="1"/>
    </xf>
    <xf numFmtId="49" fontId="97" fillId="0" borderId="3" xfId="0" applyNumberFormat="1" applyFont="1" applyBorder="1" applyAlignment="1" applyProtection="1">
      <alignment horizontal="left" vertical="center" wrapText="1"/>
      <protection locked="0"/>
    </xf>
    <xf numFmtId="49" fontId="76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1" fontId="100" fillId="0" borderId="3" xfId="0" applyNumberFormat="1" applyFont="1" applyBorder="1" applyAlignment="1">
      <alignment horizontal="center" vertical="center" wrapText="1"/>
    </xf>
    <xf numFmtId="0" fontId="6" fillId="35" borderId="3" xfId="0" applyFont="1" applyFill="1" applyBorder="1" applyAlignment="1" applyProtection="1">
      <alignment horizontal="center" vertical="center" wrapText="1"/>
      <protection locked="0"/>
    </xf>
    <xf numFmtId="170" fontId="6" fillId="35" borderId="3" xfId="0" applyNumberFormat="1" applyFont="1" applyFill="1" applyBorder="1" applyAlignment="1">
      <alignment horizontal="center" vertical="center" wrapText="1"/>
    </xf>
    <xf numFmtId="170" fontId="7" fillId="35" borderId="0" xfId="0" applyNumberFormat="1" applyFont="1" applyFill="1" applyAlignment="1" applyProtection="1">
      <alignment vertical="center"/>
      <protection locked="0"/>
    </xf>
    <xf numFmtId="169" fontId="71" fillId="35" borderId="0" xfId="0" applyNumberFormat="1" applyFont="1" applyFill="1" applyAlignment="1">
      <alignment horizontal="center" vertical="center"/>
    </xf>
    <xf numFmtId="179" fontId="100" fillId="0" borderId="3" xfId="0" applyNumberFormat="1" applyFont="1" applyBorder="1" applyAlignment="1" applyProtection="1">
      <alignment horizontal="center" vertical="center" wrapText="1"/>
      <protection locked="0"/>
    </xf>
    <xf numFmtId="0" fontId="16" fillId="35" borderId="0" xfId="0" applyFont="1" applyFill="1"/>
    <xf numFmtId="2" fontId="76" fillId="0" borderId="0" xfId="0" applyNumberFormat="1" applyFont="1" applyAlignment="1">
      <alignment horizontal="right" vertical="center"/>
    </xf>
    <xf numFmtId="2" fontId="6" fillId="0" borderId="3" xfId="0" applyNumberFormat="1" applyFont="1" applyBorder="1" applyAlignment="1">
      <alignment horizontal="center" vertical="center" wrapText="1" shrinkToFi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5" fillId="0" borderId="0" xfId="0" quotePrefix="1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right" vertical="center" wrapText="1"/>
      <protection locked="0"/>
    </xf>
    <xf numFmtId="2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3" xfId="0" quotePrefix="1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left" vertical="top" wrapText="1"/>
    </xf>
    <xf numFmtId="0" fontId="11" fillId="0" borderId="3" xfId="0" quotePrefix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 shrinkToFit="1"/>
    </xf>
    <xf numFmtId="169" fontId="97" fillId="0" borderId="3" xfId="0" applyNumberFormat="1" applyFont="1" applyBorder="1" applyAlignment="1">
      <alignment vertical="top" wrapText="1"/>
    </xf>
    <xf numFmtId="4" fontId="97" fillId="0" borderId="3" xfId="0" applyNumberFormat="1" applyFont="1" applyBorder="1" applyAlignment="1">
      <alignment vertical="top" wrapText="1"/>
    </xf>
    <xf numFmtId="3" fontId="6" fillId="32" borderId="0" xfId="0" applyNumberFormat="1" applyFont="1" applyFill="1" applyAlignment="1" applyProtection="1">
      <alignment horizontal="right" vertical="center" wrapText="1"/>
      <protection locked="0"/>
    </xf>
    <xf numFmtId="3" fontId="6" fillId="32" borderId="0" xfId="0" applyNumberFormat="1" applyFont="1" applyFill="1" applyAlignment="1">
      <alignment horizontal="center" vertical="center" wrapText="1"/>
    </xf>
    <xf numFmtId="3" fontId="11" fillId="32" borderId="3" xfId="0" applyNumberFormat="1" applyFont="1" applyFill="1" applyBorder="1" applyAlignment="1">
      <alignment horizontal="center" vertical="center" wrapText="1"/>
    </xf>
    <xf numFmtId="3" fontId="6" fillId="32" borderId="3" xfId="0" applyNumberFormat="1" applyFont="1" applyFill="1" applyBorder="1" applyAlignment="1">
      <alignment horizontal="center" vertical="center" wrapText="1"/>
    </xf>
    <xf numFmtId="3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97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2" borderId="3" xfId="0" applyNumberFormat="1" applyFont="1" applyFill="1" applyBorder="1" applyAlignment="1">
      <alignment horizontal="center" vertical="center" wrapText="1"/>
    </xf>
    <xf numFmtId="3" fontId="6" fillId="32" borderId="0" xfId="0" applyNumberFormat="1" applyFont="1" applyFill="1" applyAlignment="1">
      <alignment horizontal="right" vertical="center" wrapText="1"/>
    </xf>
    <xf numFmtId="3" fontId="6" fillId="32" borderId="0" xfId="0" applyNumberFormat="1" applyFont="1" applyFill="1" applyAlignment="1">
      <alignment horizontal="center" vertical="center"/>
    </xf>
    <xf numFmtId="0" fontId="6" fillId="37" borderId="3" xfId="0" applyFont="1" applyFill="1" applyBorder="1" applyAlignment="1" applyProtection="1">
      <alignment horizontal="left" vertical="center" wrapText="1"/>
      <protection locked="0"/>
    </xf>
    <xf numFmtId="0" fontId="13" fillId="37" borderId="3" xfId="0" applyFont="1" applyFill="1" applyBorder="1" applyAlignment="1" applyProtection="1">
      <alignment horizontal="left" vertical="center" wrapText="1"/>
      <protection locked="0"/>
    </xf>
    <xf numFmtId="49" fontId="6" fillId="38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8" borderId="0" xfId="0" applyFont="1" applyFill="1" applyAlignment="1">
      <alignment vertical="center"/>
    </xf>
    <xf numFmtId="49" fontId="6" fillId="3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3" xfId="0" applyFont="1" applyFill="1" applyBorder="1" applyAlignment="1" applyProtection="1">
      <alignment horizontal="left" vertical="center" wrapText="1"/>
      <protection locked="0"/>
    </xf>
    <xf numFmtId="0" fontId="6" fillId="35" borderId="3" xfId="0" applyFont="1" applyFill="1" applyBorder="1" applyAlignment="1">
      <alignment horizontal="center" vertical="center"/>
    </xf>
    <xf numFmtId="0" fontId="101" fillId="0" borderId="0" xfId="0" applyFont="1"/>
    <xf numFmtId="178" fontId="6" fillId="29" borderId="0" xfId="0" applyNumberFormat="1" applyFont="1" applyFill="1" applyAlignment="1">
      <alignment vertic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 shrinkToFit="1"/>
    </xf>
    <xf numFmtId="0" fontId="7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Alignment="1" applyProtection="1">
      <alignment vertical="top"/>
      <protection locked="0"/>
    </xf>
    <xf numFmtId="0" fontId="71" fillId="0" borderId="0" xfId="0" applyFont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0" fontId="6" fillId="29" borderId="0" xfId="0" applyNumberFormat="1" applyFont="1" applyFill="1" applyAlignment="1">
      <alignment vertical="center"/>
    </xf>
    <xf numFmtId="1" fontId="5" fillId="3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" xfId="0" applyFont="1" applyFill="1" applyBorder="1" applyAlignment="1" applyProtection="1">
      <alignment horizontal="center" vertical="center" wrapText="1"/>
      <protection locked="0"/>
    </xf>
    <xf numFmtId="0" fontId="5" fillId="35" borderId="3" xfId="0" applyFont="1" applyFill="1" applyBorder="1" applyAlignment="1">
      <alignment horizontal="center" vertical="center" wrapText="1"/>
    </xf>
    <xf numFmtId="0" fontId="76" fillId="32" borderId="0" xfId="0" applyFont="1" applyFill="1" applyAlignment="1">
      <alignment horizontal="right" vertical="center"/>
    </xf>
    <xf numFmtId="0" fontId="6" fillId="32" borderId="3" xfId="0" applyFont="1" applyFill="1" applyBorder="1" applyAlignment="1">
      <alignment horizontal="center" vertical="center" wrapText="1" shrinkToFit="1"/>
    </xf>
    <xf numFmtId="1" fontId="6" fillId="32" borderId="3" xfId="0" applyNumberFormat="1" applyFont="1" applyFill="1" applyBorder="1" applyAlignment="1">
      <alignment horizontal="center" vertical="center" wrapText="1"/>
    </xf>
    <xf numFmtId="1" fontId="6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0" fontId="6" fillId="32" borderId="3" xfId="0" applyFont="1" applyFill="1" applyBorder="1" applyAlignment="1" applyProtection="1">
      <alignment horizontal="center" vertical="center" wrapText="1"/>
      <protection locked="0"/>
    </xf>
    <xf numFmtId="0" fontId="5" fillId="32" borderId="0" xfId="0" quotePrefix="1" applyFont="1" applyFill="1" applyAlignment="1" applyProtection="1">
      <alignment horizontal="center" vertical="center"/>
      <protection locked="0"/>
    </xf>
    <xf numFmtId="169" fontId="5" fillId="32" borderId="0" xfId="0" applyNumberFormat="1" applyFont="1" applyFill="1" applyAlignment="1" applyProtection="1">
      <alignment horizontal="center" vertical="center" wrapText="1"/>
      <protection locked="0"/>
    </xf>
    <xf numFmtId="169" fontId="5" fillId="32" borderId="0" xfId="0" applyNumberFormat="1" applyFont="1" applyFill="1" applyAlignment="1" applyProtection="1">
      <alignment horizontal="right" vertical="center" wrapText="1"/>
      <protection locked="0"/>
    </xf>
    <xf numFmtId="9" fontId="6" fillId="0" borderId="3" xfId="355" applyFont="1" applyBorder="1" applyAlignment="1" applyProtection="1">
      <alignment horizontal="center" vertical="center" wrapText="1"/>
      <protection locked="0"/>
    </xf>
    <xf numFmtId="4" fontId="6" fillId="35" borderId="0" xfId="0" applyNumberFormat="1" applyFont="1" applyFill="1" applyAlignment="1">
      <alignment vertical="center"/>
    </xf>
    <xf numFmtId="0" fontId="5" fillId="35" borderId="0" xfId="0" applyFont="1" applyFill="1" applyAlignment="1">
      <alignment vertical="center"/>
    </xf>
    <xf numFmtId="180" fontId="85" fillId="35" borderId="0" xfId="324" applyNumberFormat="1" applyFont="1" applyFill="1" applyAlignment="1">
      <alignment vertical="center"/>
    </xf>
    <xf numFmtId="0" fontId="85" fillId="35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0" fontId="6" fillId="37" borderId="3" xfId="0" applyFont="1" applyFill="1" applyBorder="1" applyAlignment="1">
      <alignment horizontal="center" vertical="center" wrapText="1"/>
    </xf>
    <xf numFmtId="1" fontId="6" fillId="36" borderId="3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0" xfId="0" applyFont="1"/>
    <xf numFmtId="180" fontId="103" fillId="0" borderId="0" xfId="0" applyNumberFormat="1" applyFont="1"/>
    <xf numFmtId="2" fontId="103" fillId="0" borderId="0" xfId="0" applyNumberFormat="1" applyFont="1"/>
    <xf numFmtId="0" fontId="104" fillId="0" borderId="0" xfId="0" applyFont="1"/>
    <xf numFmtId="180" fontId="104" fillId="0" borderId="0" xfId="0" applyNumberFormat="1" applyFont="1"/>
    <xf numFmtId="180" fontId="105" fillId="0" borderId="0" xfId="0" applyNumberFormat="1" applyFont="1"/>
    <xf numFmtId="0" fontId="106" fillId="0" borderId="0" xfId="0" applyFont="1"/>
    <xf numFmtId="0" fontId="107" fillId="0" borderId="0" xfId="0" applyFont="1"/>
    <xf numFmtId="14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9" fontId="6" fillId="35" borderId="0" xfId="0" applyNumberFormat="1" applyFont="1" applyFill="1" applyAlignment="1">
      <alignment vertical="center"/>
    </xf>
    <xf numFmtId="0" fontId="92" fillId="32" borderId="0" xfId="0" applyFont="1" applyFill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98" fillId="32" borderId="0" xfId="0" applyNumberFormat="1" applyFont="1" applyFill="1" applyAlignment="1" applyProtection="1">
      <alignment horizontal="right" vertical="center" wrapText="1"/>
      <protection locked="0"/>
    </xf>
    <xf numFmtId="170" fontId="98" fillId="32" borderId="0" xfId="0" applyNumberFormat="1" applyFont="1" applyFill="1" applyAlignment="1" applyProtection="1">
      <alignment horizontal="right" vertical="center" wrapText="1"/>
      <protection locked="0"/>
    </xf>
    <xf numFmtId="170" fontId="76" fillId="32" borderId="0" xfId="0" applyNumberFormat="1" applyFont="1" applyFill="1" applyAlignment="1" applyProtection="1">
      <alignment horizontal="right" vertical="center" wrapText="1"/>
      <protection locked="0"/>
    </xf>
    <xf numFmtId="170" fontId="6" fillId="32" borderId="0" xfId="0" applyNumberFormat="1" applyFont="1" applyFill="1" applyAlignment="1">
      <alignment horizontal="right" vertical="center" wrapText="1"/>
    </xf>
    <xf numFmtId="170" fontId="85" fillId="32" borderId="0" xfId="0" applyNumberFormat="1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/>
    </xf>
    <xf numFmtId="169" fontId="108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1" fontId="71" fillId="0" borderId="3" xfId="0" applyNumberFormat="1" applyFont="1" applyBorder="1" applyAlignment="1">
      <alignment vertical="top" wrapText="1"/>
    </xf>
    <xf numFmtId="0" fontId="71" fillId="0" borderId="3" xfId="0" applyFont="1" applyBorder="1" applyAlignment="1">
      <alignment horizontal="center" vertical="top" wrapText="1"/>
    </xf>
    <xf numFmtId="0" fontId="71" fillId="0" borderId="3" xfId="0" applyFont="1" applyBorder="1" applyAlignment="1">
      <alignment vertical="top" wrapText="1"/>
    </xf>
    <xf numFmtId="0" fontId="71" fillId="35" borderId="3" xfId="0" applyFont="1" applyFill="1" applyBorder="1" applyAlignment="1">
      <alignment vertical="top" wrapText="1"/>
    </xf>
    <xf numFmtId="0" fontId="71" fillId="0" borderId="0" xfId="0" applyFont="1" applyAlignment="1">
      <alignment vertical="top"/>
    </xf>
    <xf numFmtId="1" fontId="6" fillId="35" borderId="3" xfId="0" applyNumberFormat="1" applyFont="1" applyFill="1" applyBorder="1" applyAlignment="1">
      <alignment horizontal="center" vertical="center" wrapText="1"/>
    </xf>
    <xf numFmtId="0" fontId="6" fillId="35" borderId="0" xfId="246" applyFont="1" applyFill="1" applyAlignment="1">
      <alignment vertical="center"/>
    </xf>
    <xf numFmtId="0" fontId="11" fillId="35" borderId="13" xfId="0" applyFont="1" applyFill="1" applyBorder="1" applyAlignment="1" applyProtection="1">
      <alignment horizontal="left" vertical="top" wrapText="1"/>
      <protection locked="0"/>
    </xf>
    <xf numFmtId="0" fontId="97" fillId="0" borderId="0" xfId="0" applyFont="1" applyAlignment="1">
      <alignment vertical="center"/>
    </xf>
    <xf numFmtId="0" fontId="108" fillId="0" borderId="0" xfId="0" applyFont="1" applyAlignment="1" applyProtection="1">
      <alignment horizontal="left" vertical="center"/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3" fontId="109" fillId="35" borderId="0" xfId="0" applyNumberFormat="1" applyFont="1" applyFill="1" applyAlignment="1" applyProtection="1">
      <alignment horizontal="center" vertical="center" wrapText="1"/>
      <protection locked="0"/>
    </xf>
    <xf numFmtId="170" fontId="109" fillId="35" borderId="0" xfId="0" applyNumberFormat="1" applyFont="1" applyFill="1" applyAlignment="1" applyProtection="1">
      <alignment horizontal="right" vertical="center" wrapText="1"/>
      <protection locked="0"/>
    </xf>
    <xf numFmtId="3" fontId="109" fillId="35" borderId="0" xfId="0" applyNumberFormat="1" applyFont="1" applyFill="1" applyAlignment="1" applyProtection="1">
      <alignment horizontal="right" vertical="center" wrapText="1"/>
      <protection locked="0"/>
    </xf>
    <xf numFmtId="170" fontId="110" fillId="35" borderId="0" xfId="0" applyNumberFormat="1" applyFont="1" applyFill="1" applyAlignment="1" applyProtection="1">
      <alignment horizontal="right" vertical="center" wrapText="1"/>
      <protection locked="0"/>
    </xf>
    <xf numFmtId="170" fontId="100" fillId="35" borderId="0" xfId="0" applyNumberFormat="1" applyFont="1" applyFill="1" applyAlignment="1" applyProtection="1">
      <alignment horizontal="center" vertical="center" wrapText="1"/>
      <protection locked="0"/>
    </xf>
    <xf numFmtId="0" fontId="108" fillId="0" borderId="0" xfId="0" applyFont="1" applyAlignment="1">
      <alignment vertical="center"/>
    </xf>
    <xf numFmtId="0" fontId="100" fillId="0" borderId="0" xfId="0" applyFont="1" applyAlignment="1" applyProtection="1">
      <alignment horizontal="left" vertical="center" wrapText="1"/>
      <protection locked="0"/>
    </xf>
    <xf numFmtId="170" fontId="100" fillId="35" borderId="0" xfId="0" applyNumberFormat="1" applyFont="1" applyFill="1" applyAlignment="1" applyProtection="1">
      <alignment horizontal="right" vertical="center" wrapText="1"/>
      <protection locked="0"/>
    </xf>
    <xf numFmtId="0" fontId="100" fillId="0" borderId="0" xfId="0" applyFont="1" applyAlignment="1">
      <alignment vertical="center"/>
    </xf>
    <xf numFmtId="1" fontId="71" fillId="0" borderId="3" xfId="0" applyNumberFormat="1" applyFont="1" applyBorder="1" applyAlignment="1" applyProtection="1">
      <alignment horizontal="center" vertical="top" wrapText="1"/>
      <protection locked="0"/>
    </xf>
    <xf numFmtId="1" fontId="71" fillId="0" borderId="3" xfId="0" applyNumberFormat="1" applyFont="1" applyBorder="1" applyAlignment="1" applyProtection="1">
      <alignment horizontal="center" vertical="center" wrapText="1"/>
      <protection locked="0"/>
    </xf>
    <xf numFmtId="0" fontId="71" fillId="0" borderId="3" xfId="0" applyFont="1" applyBorder="1" applyAlignment="1" applyProtection="1">
      <alignment horizontal="center" vertical="center" wrapText="1"/>
      <protection locked="0"/>
    </xf>
    <xf numFmtId="1" fontId="6" fillId="37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3" xfId="0" applyNumberFormat="1" applyFont="1" applyFill="1" applyBorder="1" applyAlignment="1">
      <alignment horizontal="center" vertical="center" wrapText="1"/>
    </xf>
    <xf numFmtId="1" fontId="71" fillId="37" borderId="3" xfId="0" applyNumberFormat="1" applyFont="1" applyFill="1" applyBorder="1" applyAlignment="1" applyProtection="1">
      <alignment horizontal="center" vertical="top" wrapText="1"/>
      <protection locked="0"/>
    </xf>
    <xf numFmtId="1" fontId="71" fillId="37" borderId="3" xfId="0" applyNumberFormat="1" applyFont="1" applyFill="1" applyBorder="1" applyAlignment="1">
      <alignment horizontal="center" vertical="top" wrapText="1"/>
    </xf>
    <xf numFmtId="1" fontId="71" fillId="37" borderId="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7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78" fillId="0" borderId="0" xfId="0" applyFont="1" applyAlignment="1" applyProtection="1">
      <alignment horizontal="left" vertical="top" wrapText="1"/>
      <protection locked="0"/>
    </xf>
    <xf numFmtId="0" fontId="79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238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75" fillId="35" borderId="18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170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170" fontId="6" fillId="35" borderId="18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 shrinkToFit="1"/>
    </xf>
    <xf numFmtId="0" fontId="11" fillId="32" borderId="3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0" xfId="246" applyFont="1" applyAlignment="1">
      <alignment horizontal="center" vertical="center"/>
    </xf>
    <xf numFmtId="0" fontId="6" fillId="0" borderId="3" xfId="246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13" xfId="246" applyFont="1" applyBorder="1" applyAlignment="1">
      <alignment horizontal="center" vertical="center" wrapText="1"/>
    </xf>
    <xf numFmtId="0" fontId="5" fillId="0" borderId="14" xfId="246" applyFont="1" applyBorder="1" applyAlignment="1">
      <alignment horizontal="center" vertical="center" wrapText="1"/>
    </xf>
    <xf numFmtId="0" fontId="5" fillId="0" borderId="15" xfId="246" applyFont="1" applyBorder="1" applyAlignment="1">
      <alignment horizontal="center" vertical="center" wrapText="1"/>
    </xf>
    <xf numFmtId="0" fontId="6" fillId="0" borderId="16" xfId="246" applyFont="1" applyBorder="1" applyAlignment="1">
      <alignment horizontal="center" vertical="center" wrapText="1"/>
    </xf>
    <xf numFmtId="0" fontId="6" fillId="0" borderId="17" xfId="246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 shrinkToFit="1"/>
    </xf>
    <xf numFmtId="0" fontId="6" fillId="32" borderId="17" xfId="0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5" fillId="35" borderId="18" xfId="0" applyFont="1" applyFill="1" applyBorder="1" applyAlignment="1" applyProtection="1">
      <alignment horizontal="left" vertical="center"/>
      <protection locked="0"/>
    </xf>
    <xf numFmtId="0" fontId="6" fillId="35" borderId="18" xfId="0" applyFont="1" applyFill="1" applyBorder="1" applyAlignment="1" applyProtection="1">
      <alignment horizontal="left" vertical="center"/>
      <protection locked="0"/>
    </xf>
    <xf numFmtId="0" fontId="5" fillId="0" borderId="0" xfId="238" applyFont="1" applyAlignment="1">
      <alignment horizontal="center" vertical="center" wrapText="1"/>
    </xf>
    <xf numFmtId="0" fontId="6" fillId="0" borderId="16" xfId="238" applyFont="1" applyBorder="1" applyAlignment="1">
      <alignment horizontal="center" vertical="center" wrapText="1"/>
    </xf>
    <xf numFmtId="0" fontId="6" fillId="0" borderId="17" xfId="238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81" fontId="100" fillId="0" borderId="13" xfId="0" applyNumberFormat="1" applyFont="1" applyBorder="1" applyAlignment="1">
      <alignment horizontal="center" vertical="center" wrapText="1"/>
    </xf>
    <xf numFmtId="181" fontId="100" fillId="0" borderId="15" xfId="0" applyNumberFormat="1" applyFont="1" applyBorder="1" applyAlignment="1">
      <alignment horizontal="center" vertical="center" wrapText="1"/>
    </xf>
    <xf numFmtId="0" fontId="73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6" fillId="35" borderId="3" xfId="0" applyFont="1" applyFill="1" applyBorder="1" applyAlignment="1">
      <alignment horizontal="left" vertical="center" wrapText="1"/>
    </xf>
    <xf numFmtId="178" fontId="6" fillId="35" borderId="13" xfId="0" applyNumberFormat="1" applyFont="1" applyFill="1" applyBorder="1" applyAlignment="1">
      <alignment horizontal="center" vertical="center" wrapText="1"/>
    </xf>
    <xf numFmtId="178" fontId="6" fillId="35" borderId="15" xfId="0" applyNumberFormat="1" applyFont="1" applyFill="1" applyBorder="1" applyAlignment="1">
      <alignment horizontal="center" vertical="center" wrapText="1"/>
    </xf>
    <xf numFmtId="181" fontId="98" fillId="0" borderId="13" xfId="0" applyNumberFormat="1" applyFont="1" applyBorder="1" applyAlignment="1">
      <alignment horizontal="center" vertical="center" wrapText="1"/>
    </xf>
    <xf numFmtId="181" fontId="98" fillId="0" borderId="15" xfId="0" applyNumberFormat="1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 shrinkToFit="1"/>
    </xf>
    <xf numFmtId="2" fontId="88" fillId="0" borderId="0" xfId="0" applyNumberFormat="1" applyFont="1" applyAlignment="1">
      <alignment horizontal="left" vertical="center" wrapText="1" shrinkToFit="1"/>
    </xf>
    <xf numFmtId="2" fontId="89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78" fontId="6" fillId="0" borderId="13" xfId="0" applyNumberFormat="1" applyFont="1" applyBorder="1" applyAlignment="1" applyProtection="1">
      <alignment horizontal="center" vertical="center" wrapText="1"/>
      <protection locked="0"/>
    </xf>
    <xf numFmtId="178" fontId="6" fillId="0" borderId="14" xfId="0" applyNumberFormat="1" applyFont="1" applyBorder="1" applyAlignment="1" applyProtection="1">
      <alignment horizontal="center" vertical="center" wrapText="1"/>
      <protection locked="0"/>
    </xf>
    <xf numFmtId="178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178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103" fillId="0" borderId="0" xfId="0" applyFont="1" applyAlignment="1">
      <alignment horizontal="center"/>
    </xf>
  </cellXfs>
  <cellStyles count="387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" xfId="211" builtinId="4"/>
    <cellStyle name="Денежный 2" xfId="212" xr:uid="{00000000-0005-0000-0000-0000D3000000}"/>
    <cellStyle name="Заголовок 1 2" xfId="213" xr:uid="{00000000-0005-0000-0000-0000D4000000}"/>
    <cellStyle name="Заголовок 1 3" xfId="214" xr:uid="{00000000-0005-0000-0000-0000D5000000}"/>
    <cellStyle name="Заголовок 2 2" xfId="215" xr:uid="{00000000-0005-0000-0000-0000D6000000}"/>
    <cellStyle name="Заголовок 2 3" xfId="216" xr:uid="{00000000-0005-0000-0000-0000D7000000}"/>
    <cellStyle name="Заголовок 3 2" xfId="217" xr:uid="{00000000-0005-0000-0000-0000D8000000}"/>
    <cellStyle name="Заголовок 3 3" xfId="218" xr:uid="{00000000-0005-0000-0000-0000D9000000}"/>
    <cellStyle name="Заголовок 4 2" xfId="219" xr:uid="{00000000-0005-0000-0000-0000DA000000}"/>
    <cellStyle name="Заголовок 4 3" xfId="220" xr:uid="{00000000-0005-0000-0000-0000DB000000}"/>
    <cellStyle name="Итог 2" xfId="221" xr:uid="{00000000-0005-0000-0000-0000DC000000}"/>
    <cellStyle name="Итог 3" xfId="222" xr:uid="{00000000-0005-0000-0000-0000DD000000}"/>
    <cellStyle name="Контрольная ячейка 2" xfId="223" xr:uid="{00000000-0005-0000-0000-0000DE000000}"/>
    <cellStyle name="Контрольная ячейка 3" xfId="224" xr:uid="{00000000-0005-0000-0000-0000DF000000}"/>
    <cellStyle name="Название 2" xfId="225" xr:uid="{00000000-0005-0000-0000-0000E0000000}"/>
    <cellStyle name="Название 3" xfId="226" xr:uid="{00000000-0005-0000-0000-0000E1000000}"/>
    <cellStyle name="Нейтральный 2" xfId="227" xr:uid="{00000000-0005-0000-0000-0000E2000000}"/>
    <cellStyle name="Нейтральный 3" xfId="228" xr:uid="{00000000-0005-0000-0000-0000E3000000}"/>
    <cellStyle name="Обычный" xfId="0" builtinId="0"/>
    <cellStyle name="Обычный 10" xfId="229" xr:uid="{00000000-0005-0000-0000-0000E5000000}"/>
    <cellStyle name="Обычный 11" xfId="230" xr:uid="{00000000-0005-0000-0000-0000E6000000}"/>
    <cellStyle name="Обычный 12" xfId="231" xr:uid="{00000000-0005-0000-0000-0000E7000000}"/>
    <cellStyle name="Обычный 13" xfId="232" xr:uid="{00000000-0005-0000-0000-0000E8000000}"/>
    <cellStyle name="Обычный 14" xfId="233" xr:uid="{00000000-0005-0000-0000-0000E9000000}"/>
    <cellStyle name="Обычный 15" xfId="234" xr:uid="{00000000-0005-0000-0000-0000EA000000}"/>
    <cellStyle name="Обычный 16" xfId="235" xr:uid="{00000000-0005-0000-0000-0000EB000000}"/>
    <cellStyle name="Обычный 17" xfId="236" xr:uid="{00000000-0005-0000-0000-0000EC000000}"/>
    <cellStyle name="Обычный 18" xfId="237" xr:uid="{00000000-0005-0000-0000-0000ED000000}"/>
    <cellStyle name="Обычный 2" xfId="238" xr:uid="{00000000-0005-0000-0000-0000EE000000}"/>
    <cellStyle name="Обычный 2 10" xfId="239" xr:uid="{00000000-0005-0000-0000-0000EF000000}"/>
    <cellStyle name="Обычный 2 11" xfId="240" xr:uid="{00000000-0005-0000-0000-0000F0000000}"/>
    <cellStyle name="Обычный 2 12" xfId="241" xr:uid="{00000000-0005-0000-0000-0000F1000000}"/>
    <cellStyle name="Обычный 2 13" xfId="242" xr:uid="{00000000-0005-0000-0000-0000F2000000}"/>
    <cellStyle name="Обычный 2 14" xfId="243" xr:uid="{00000000-0005-0000-0000-0000F3000000}"/>
    <cellStyle name="Обычный 2 15" xfId="244" xr:uid="{00000000-0005-0000-0000-0000F4000000}"/>
    <cellStyle name="Обычный 2 16" xfId="245" xr:uid="{00000000-0005-0000-0000-0000F5000000}"/>
    <cellStyle name="Обычный 2 2" xfId="246" xr:uid="{00000000-0005-0000-0000-0000F6000000}"/>
    <cellStyle name="Обычный 2 2 2" xfId="247" xr:uid="{00000000-0005-0000-0000-0000F7000000}"/>
    <cellStyle name="Обычный 2 2 3" xfId="248" xr:uid="{00000000-0005-0000-0000-0000F8000000}"/>
    <cellStyle name="Обычный 2 2 3 2" xfId="356" xr:uid="{00000000-0005-0000-0000-0000F9000000}"/>
    <cellStyle name="Обычный 2 2_Расшифровка прочих" xfId="249" xr:uid="{00000000-0005-0000-0000-0000FA000000}"/>
    <cellStyle name="Обычный 2 3" xfId="250" xr:uid="{00000000-0005-0000-0000-0000FB000000}"/>
    <cellStyle name="Обычный 2 4" xfId="251" xr:uid="{00000000-0005-0000-0000-0000FC000000}"/>
    <cellStyle name="Обычный 2 5" xfId="252" xr:uid="{00000000-0005-0000-0000-0000FD000000}"/>
    <cellStyle name="Обычный 2 6" xfId="253" xr:uid="{00000000-0005-0000-0000-0000FE000000}"/>
    <cellStyle name="Обычный 2 7" xfId="254" xr:uid="{00000000-0005-0000-0000-0000FF000000}"/>
    <cellStyle name="Обычный 2 8" xfId="255" xr:uid="{00000000-0005-0000-0000-000000010000}"/>
    <cellStyle name="Обычный 2 9" xfId="256" xr:uid="{00000000-0005-0000-0000-000001010000}"/>
    <cellStyle name="Обычный 2_2604-2010" xfId="257" xr:uid="{00000000-0005-0000-0000-000002010000}"/>
    <cellStyle name="Обычный 3" xfId="258" xr:uid="{00000000-0005-0000-0000-000003010000}"/>
    <cellStyle name="Обычный 3 10" xfId="259" xr:uid="{00000000-0005-0000-0000-000004010000}"/>
    <cellStyle name="Обычный 3 10 2" xfId="357" xr:uid="{00000000-0005-0000-0000-000005010000}"/>
    <cellStyle name="Обычный 3 11" xfId="260" xr:uid="{00000000-0005-0000-0000-000006010000}"/>
    <cellStyle name="Обычный 3 11 2" xfId="358" xr:uid="{00000000-0005-0000-0000-000007010000}"/>
    <cellStyle name="Обычный 3 12" xfId="261" xr:uid="{00000000-0005-0000-0000-000008010000}"/>
    <cellStyle name="Обычный 3 12 2" xfId="359" xr:uid="{00000000-0005-0000-0000-000009010000}"/>
    <cellStyle name="Обычный 3 13" xfId="262" xr:uid="{00000000-0005-0000-0000-00000A010000}"/>
    <cellStyle name="Обычный 3 13 2" xfId="360" xr:uid="{00000000-0005-0000-0000-00000B010000}"/>
    <cellStyle name="Обычный 3 14" xfId="263" xr:uid="{00000000-0005-0000-0000-00000C010000}"/>
    <cellStyle name="Обычный 3 2" xfId="264" xr:uid="{00000000-0005-0000-0000-00000D010000}"/>
    <cellStyle name="Обычный 3 2 2" xfId="361" xr:uid="{00000000-0005-0000-0000-00000E010000}"/>
    <cellStyle name="Обычный 3 3" xfId="265" xr:uid="{00000000-0005-0000-0000-00000F010000}"/>
    <cellStyle name="Обычный 3 3 2" xfId="362" xr:uid="{00000000-0005-0000-0000-000010010000}"/>
    <cellStyle name="Обычный 3 4" xfId="266" xr:uid="{00000000-0005-0000-0000-000011010000}"/>
    <cellStyle name="Обычный 3 4 2" xfId="363" xr:uid="{00000000-0005-0000-0000-000012010000}"/>
    <cellStyle name="Обычный 3 5" xfId="267" xr:uid="{00000000-0005-0000-0000-000013010000}"/>
    <cellStyle name="Обычный 3 5 2" xfId="364" xr:uid="{00000000-0005-0000-0000-000014010000}"/>
    <cellStyle name="Обычный 3 6" xfId="268" xr:uid="{00000000-0005-0000-0000-000015010000}"/>
    <cellStyle name="Обычный 3 6 2" xfId="365" xr:uid="{00000000-0005-0000-0000-000016010000}"/>
    <cellStyle name="Обычный 3 7" xfId="269" xr:uid="{00000000-0005-0000-0000-000017010000}"/>
    <cellStyle name="Обычный 3 7 2" xfId="366" xr:uid="{00000000-0005-0000-0000-000018010000}"/>
    <cellStyle name="Обычный 3 8" xfId="270" xr:uid="{00000000-0005-0000-0000-000019010000}"/>
    <cellStyle name="Обычный 3 8 2" xfId="367" xr:uid="{00000000-0005-0000-0000-00001A010000}"/>
    <cellStyle name="Обычный 3 9" xfId="271" xr:uid="{00000000-0005-0000-0000-00001B010000}"/>
    <cellStyle name="Обычный 3 9 2" xfId="368" xr:uid="{00000000-0005-0000-0000-00001C010000}"/>
    <cellStyle name="Обычный 3_Дефицит_7 млрд_0608_бс" xfId="272" xr:uid="{00000000-0005-0000-0000-00001D010000}"/>
    <cellStyle name="Обычный 4" xfId="273" xr:uid="{00000000-0005-0000-0000-00001E010000}"/>
    <cellStyle name="Обычный 4 2" xfId="369" xr:uid="{00000000-0005-0000-0000-00001F010000}"/>
    <cellStyle name="Обычный 5" xfId="274" xr:uid="{00000000-0005-0000-0000-000020010000}"/>
    <cellStyle name="Обычный 5 2" xfId="275" xr:uid="{00000000-0005-0000-0000-000021010000}"/>
    <cellStyle name="Обычный 6" xfId="276" xr:uid="{00000000-0005-0000-0000-000022010000}"/>
    <cellStyle name="Обычный 6 2" xfId="277" xr:uid="{00000000-0005-0000-0000-000023010000}"/>
    <cellStyle name="Обычный 6 3" xfId="278" xr:uid="{00000000-0005-0000-0000-000024010000}"/>
    <cellStyle name="Обычный 6 4" xfId="279" xr:uid="{00000000-0005-0000-0000-000025010000}"/>
    <cellStyle name="Обычный 6_Дефицит_7 млрд_0608_бс" xfId="280" xr:uid="{00000000-0005-0000-0000-000026010000}"/>
    <cellStyle name="Обычный 7" xfId="281" xr:uid="{00000000-0005-0000-0000-000027010000}"/>
    <cellStyle name="Обычный 7 2" xfId="282" xr:uid="{00000000-0005-0000-0000-000028010000}"/>
    <cellStyle name="Обычный 8" xfId="283" xr:uid="{00000000-0005-0000-0000-000029010000}"/>
    <cellStyle name="Обычный 9" xfId="284" xr:uid="{00000000-0005-0000-0000-00002A010000}"/>
    <cellStyle name="Обычный 9 2" xfId="285" xr:uid="{00000000-0005-0000-0000-00002B010000}"/>
    <cellStyle name="Плохой 2" xfId="286" xr:uid="{00000000-0005-0000-0000-00002C010000}"/>
    <cellStyle name="Плохой 3" xfId="287" xr:uid="{00000000-0005-0000-0000-00002D010000}"/>
    <cellStyle name="Пояснение 2" xfId="288" xr:uid="{00000000-0005-0000-0000-00002E010000}"/>
    <cellStyle name="Пояснение 3" xfId="289" xr:uid="{00000000-0005-0000-0000-00002F010000}"/>
    <cellStyle name="Примечание 2" xfId="290" xr:uid="{00000000-0005-0000-0000-000030010000}"/>
    <cellStyle name="Примечание 3" xfId="291" xr:uid="{00000000-0005-0000-0000-000031010000}"/>
    <cellStyle name="Процентный" xfId="355" builtinId="5"/>
    <cellStyle name="Процентный 2" xfId="292" xr:uid="{00000000-0005-0000-0000-000033010000}"/>
    <cellStyle name="Процентный 2 10" xfId="293" xr:uid="{00000000-0005-0000-0000-000034010000}"/>
    <cellStyle name="Процентный 2 11" xfId="294" xr:uid="{00000000-0005-0000-0000-000035010000}"/>
    <cellStyle name="Процентный 2 12" xfId="295" xr:uid="{00000000-0005-0000-0000-000036010000}"/>
    <cellStyle name="Процентный 2 13" xfId="296" xr:uid="{00000000-0005-0000-0000-000037010000}"/>
    <cellStyle name="Процентный 2 14" xfId="297" xr:uid="{00000000-0005-0000-0000-000038010000}"/>
    <cellStyle name="Процентный 2 15" xfId="298" xr:uid="{00000000-0005-0000-0000-000039010000}"/>
    <cellStyle name="Процентный 2 16" xfId="299" xr:uid="{00000000-0005-0000-0000-00003A010000}"/>
    <cellStyle name="Процентный 2 2" xfId="300" xr:uid="{00000000-0005-0000-0000-00003B010000}"/>
    <cellStyle name="Процентный 2 3" xfId="301" xr:uid="{00000000-0005-0000-0000-00003C010000}"/>
    <cellStyle name="Процентный 2 4" xfId="302" xr:uid="{00000000-0005-0000-0000-00003D010000}"/>
    <cellStyle name="Процентный 2 5" xfId="303" xr:uid="{00000000-0005-0000-0000-00003E010000}"/>
    <cellStyle name="Процентный 2 6" xfId="304" xr:uid="{00000000-0005-0000-0000-00003F010000}"/>
    <cellStyle name="Процентный 2 7" xfId="305" xr:uid="{00000000-0005-0000-0000-000040010000}"/>
    <cellStyle name="Процентный 2 8" xfId="306" xr:uid="{00000000-0005-0000-0000-000041010000}"/>
    <cellStyle name="Процентный 2 9" xfId="307" xr:uid="{00000000-0005-0000-0000-000042010000}"/>
    <cellStyle name="Процентный 3" xfId="308" xr:uid="{00000000-0005-0000-0000-000043010000}"/>
    <cellStyle name="Процентный 4" xfId="309" xr:uid="{00000000-0005-0000-0000-000044010000}"/>
    <cellStyle name="Процентный 4 2" xfId="310" xr:uid="{00000000-0005-0000-0000-000045010000}"/>
    <cellStyle name="Связанная ячейка 2" xfId="311" xr:uid="{00000000-0005-0000-0000-000046010000}"/>
    <cellStyle name="Связанная ячейка 3" xfId="312" xr:uid="{00000000-0005-0000-0000-000047010000}"/>
    <cellStyle name="Стиль 1" xfId="313" xr:uid="{00000000-0005-0000-0000-000048010000}"/>
    <cellStyle name="Стиль 1 2" xfId="314" xr:uid="{00000000-0005-0000-0000-000049010000}"/>
    <cellStyle name="Стиль 1 3" xfId="315" xr:uid="{00000000-0005-0000-0000-00004A010000}"/>
    <cellStyle name="Стиль 1 4" xfId="316" xr:uid="{00000000-0005-0000-0000-00004B010000}"/>
    <cellStyle name="Стиль 1 5" xfId="317" xr:uid="{00000000-0005-0000-0000-00004C010000}"/>
    <cellStyle name="Стиль 1 6" xfId="318" xr:uid="{00000000-0005-0000-0000-00004D010000}"/>
    <cellStyle name="Стиль 1 7" xfId="319" xr:uid="{00000000-0005-0000-0000-00004E010000}"/>
    <cellStyle name="Текст предупреждения 2" xfId="320" xr:uid="{00000000-0005-0000-0000-00004F010000}"/>
    <cellStyle name="Текст предупреждения 3" xfId="321" xr:uid="{00000000-0005-0000-0000-000050010000}"/>
    <cellStyle name="Тысячи [0]_1.62" xfId="322" xr:uid="{00000000-0005-0000-0000-000051010000}"/>
    <cellStyle name="Тысячи_1.62" xfId="323" xr:uid="{00000000-0005-0000-0000-000052010000}"/>
    <cellStyle name="Финансовый" xfId="324" builtinId="3"/>
    <cellStyle name="Финансовый 2" xfId="325" xr:uid="{00000000-0005-0000-0000-000054010000}"/>
    <cellStyle name="Финансовый 2 10" xfId="326" xr:uid="{00000000-0005-0000-0000-000055010000}"/>
    <cellStyle name="Финансовый 2 10 2" xfId="372" xr:uid="{00000000-0005-0000-0000-000056010000}"/>
    <cellStyle name="Финансовый 2 11" xfId="327" xr:uid="{00000000-0005-0000-0000-000057010000}"/>
    <cellStyle name="Финансовый 2 11 2" xfId="373" xr:uid="{00000000-0005-0000-0000-000058010000}"/>
    <cellStyle name="Финансовый 2 12" xfId="328" xr:uid="{00000000-0005-0000-0000-000059010000}"/>
    <cellStyle name="Финансовый 2 12 2" xfId="374" xr:uid="{00000000-0005-0000-0000-00005A010000}"/>
    <cellStyle name="Финансовый 2 13" xfId="329" xr:uid="{00000000-0005-0000-0000-00005B010000}"/>
    <cellStyle name="Финансовый 2 13 2" xfId="375" xr:uid="{00000000-0005-0000-0000-00005C010000}"/>
    <cellStyle name="Финансовый 2 14" xfId="330" xr:uid="{00000000-0005-0000-0000-00005D010000}"/>
    <cellStyle name="Финансовый 2 14 2" xfId="376" xr:uid="{00000000-0005-0000-0000-00005E010000}"/>
    <cellStyle name="Финансовый 2 15" xfId="331" xr:uid="{00000000-0005-0000-0000-00005F010000}"/>
    <cellStyle name="Финансовый 2 15 2" xfId="377" xr:uid="{00000000-0005-0000-0000-000060010000}"/>
    <cellStyle name="Финансовый 2 16" xfId="332" xr:uid="{00000000-0005-0000-0000-000061010000}"/>
    <cellStyle name="Финансовый 2 16 2" xfId="378" xr:uid="{00000000-0005-0000-0000-000062010000}"/>
    <cellStyle name="Финансовый 2 17" xfId="333" xr:uid="{00000000-0005-0000-0000-000063010000}"/>
    <cellStyle name="Финансовый 2 18" xfId="371" xr:uid="{00000000-0005-0000-0000-000064010000}"/>
    <cellStyle name="Финансовый 2 2" xfId="334" xr:uid="{00000000-0005-0000-0000-000065010000}"/>
    <cellStyle name="Финансовый 2 2 2" xfId="379" xr:uid="{00000000-0005-0000-0000-000066010000}"/>
    <cellStyle name="Финансовый 2 3" xfId="335" xr:uid="{00000000-0005-0000-0000-000067010000}"/>
    <cellStyle name="Финансовый 2 3 2" xfId="380" xr:uid="{00000000-0005-0000-0000-000068010000}"/>
    <cellStyle name="Финансовый 2 4" xfId="336" xr:uid="{00000000-0005-0000-0000-000069010000}"/>
    <cellStyle name="Финансовый 2 4 2" xfId="381" xr:uid="{00000000-0005-0000-0000-00006A010000}"/>
    <cellStyle name="Финансовый 2 5" xfId="337" xr:uid="{00000000-0005-0000-0000-00006B010000}"/>
    <cellStyle name="Финансовый 2 5 2" xfId="382" xr:uid="{00000000-0005-0000-0000-00006C010000}"/>
    <cellStyle name="Финансовый 2 6" xfId="338" xr:uid="{00000000-0005-0000-0000-00006D010000}"/>
    <cellStyle name="Финансовый 2 6 2" xfId="383" xr:uid="{00000000-0005-0000-0000-00006E010000}"/>
    <cellStyle name="Финансовый 2 7" xfId="339" xr:uid="{00000000-0005-0000-0000-00006F010000}"/>
    <cellStyle name="Финансовый 2 7 2" xfId="384" xr:uid="{00000000-0005-0000-0000-000070010000}"/>
    <cellStyle name="Финансовый 2 8" xfId="340" xr:uid="{00000000-0005-0000-0000-000071010000}"/>
    <cellStyle name="Финансовый 2 8 2" xfId="385" xr:uid="{00000000-0005-0000-0000-000072010000}"/>
    <cellStyle name="Финансовый 2 9" xfId="341" xr:uid="{00000000-0005-0000-0000-000073010000}"/>
    <cellStyle name="Финансовый 2 9 2" xfId="386" xr:uid="{00000000-0005-0000-0000-000074010000}"/>
    <cellStyle name="Финансовый 3" xfId="342" xr:uid="{00000000-0005-0000-0000-000075010000}"/>
    <cellStyle name="Финансовый 3 2" xfId="343" xr:uid="{00000000-0005-0000-0000-000076010000}"/>
    <cellStyle name="Финансовый 4" xfId="344" xr:uid="{00000000-0005-0000-0000-000077010000}"/>
    <cellStyle name="Финансовый 4 2" xfId="345" xr:uid="{00000000-0005-0000-0000-000078010000}"/>
    <cellStyle name="Финансовый 4 3" xfId="346" xr:uid="{00000000-0005-0000-0000-000079010000}"/>
    <cellStyle name="Финансовый 5" xfId="347" xr:uid="{00000000-0005-0000-0000-00007A010000}"/>
    <cellStyle name="Финансовый 6" xfId="348" xr:uid="{00000000-0005-0000-0000-00007B010000}"/>
    <cellStyle name="Финансовый 7" xfId="349" xr:uid="{00000000-0005-0000-0000-00007C010000}"/>
    <cellStyle name="Финансовый 8" xfId="370" xr:uid="{00000000-0005-0000-0000-00007D010000}"/>
    <cellStyle name="Хороший 2" xfId="350" xr:uid="{00000000-0005-0000-0000-00007E010000}"/>
    <cellStyle name="Хороший 3" xfId="351" xr:uid="{00000000-0005-0000-0000-00007F010000}"/>
    <cellStyle name="числовой" xfId="352" xr:uid="{00000000-0005-0000-0000-000080010000}"/>
    <cellStyle name="Ю" xfId="353" xr:uid="{00000000-0005-0000-0000-000081010000}"/>
    <cellStyle name="Ю-FreeSet_10" xfId="354" xr:uid="{00000000-0005-0000-0000-00008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vkotecha.DNIPRORADA\Desktop\vovkotecha%20(dmr.localallHomeFolders)\&#1060;&#1110;&#1085;&#1087;&#1083;&#1072;&#1085;\2023\&#1056;&#1080;&#1090;&#1091;&#1072;&#1083;\&#1064;&#1090;&#1072;&#1090;&#1082;&#1072;%20&#1087;&#1088;&#1086;&#1074;&#1077;&#1088;&#1086;&#1095;&#1085;&#1072;&#1103;%20&#1090;&#1072;&#1073;&#1083;&#1080;&#1094;&#1072;%2023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023"/>
      <sheetName val="07.2023"/>
      <sheetName val="12.2023расчет"/>
      <sheetName val="Лист1"/>
    </sheetNames>
    <sheetDataSet>
      <sheetData sheetId="0"/>
      <sheetData sheetId="1"/>
      <sheetData sheetId="2">
        <row r="2">
          <cell r="H2"/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H161"/>
  <sheetViews>
    <sheetView view="pageBreakPreview" topLeftCell="A19" zoomScaleNormal="100" zoomScaleSheetLayoutView="100" workbookViewId="0">
      <selection activeCell="A29" sqref="A29"/>
    </sheetView>
  </sheetViews>
  <sheetFormatPr defaultColWidth="9.1796875" defaultRowHeight="18"/>
  <cols>
    <col min="1" max="1" width="50.26953125" style="256" customWidth="1"/>
    <col min="2" max="2" width="16.81640625" style="265" customWidth="1"/>
    <col min="3" max="3" width="14.54296875" style="265" customWidth="1"/>
    <col min="4" max="4" width="15.7265625" style="256" customWidth="1"/>
    <col min="5" max="6" width="16" style="256" customWidth="1"/>
    <col min="7" max="7" width="19.453125" style="256" customWidth="1"/>
    <col min="8" max="8" width="10" style="256" customWidth="1"/>
    <col min="9" max="9" width="9.54296875" style="256" customWidth="1"/>
    <col min="10" max="11" width="9.1796875" style="256"/>
    <col min="12" max="12" width="10.54296875" style="256" customWidth="1"/>
    <col min="13" max="16384" width="9.1796875" style="256"/>
  </cols>
  <sheetData>
    <row r="1" spans="1:8">
      <c r="A1" s="254"/>
      <c r="B1" s="255"/>
      <c r="C1" s="255"/>
      <c r="D1" s="255" t="s">
        <v>16</v>
      </c>
      <c r="E1" s="254"/>
      <c r="F1" s="254"/>
      <c r="G1" s="254"/>
      <c r="H1" s="254"/>
    </row>
    <row r="2" spans="1:8">
      <c r="A2" s="344" t="s">
        <v>365</v>
      </c>
      <c r="B2" s="344"/>
      <c r="C2" s="46"/>
      <c r="D2" s="345" t="s">
        <v>514</v>
      </c>
      <c r="E2" s="345"/>
      <c r="F2" s="345"/>
      <c r="G2" s="345"/>
      <c r="H2" s="257"/>
    </row>
    <row r="3" spans="1:8" ht="36" customHeight="1">
      <c r="A3" s="344" t="s">
        <v>495</v>
      </c>
      <c r="B3" s="344"/>
      <c r="C3" s="46"/>
      <c r="D3" s="345"/>
      <c r="E3" s="345"/>
      <c r="F3" s="345"/>
      <c r="G3" s="345"/>
      <c r="H3" s="257"/>
    </row>
    <row r="4" spans="1:8">
      <c r="A4" s="346" t="s">
        <v>366</v>
      </c>
      <c r="B4" s="346"/>
      <c r="C4" s="46"/>
      <c r="D4" s="345"/>
      <c r="E4" s="345"/>
      <c r="F4" s="345"/>
      <c r="G4" s="345"/>
      <c r="H4" s="257"/>
    </row>
    <row r="5" spans="1:8">
      <c r="A5" s="344" t="s">
        <v>503</v>
      </c>
      <c r="B5" s="347"/>
      <c r="C5" s="46"/>
      <c r="D5" s="258"/>
      <c r="E5" s="348"/>
      <c r="F5" s="348"/>
      <c r="G5" s="259"/>
      <c r="H5" s="259"/>
    </row>
    <row r="6" spans="1:8">
      <c r="A6" s="344" t="s">
        <v>367</v>
      </c>
      <c r="B6" s="344"/>
      <c r="C6" s="46"/>
      <c r="D6" s="345" t="s">
        <v>368</v>
      </c>
      <c r="E6" s="345"/>
      <c r="F6" s="345"/>
      <c r="G6" s="345"/>
      <c r="H6" s="345"/>
    </row>
    <row r="7" spans="1:8" ht="30" customHeight="1">
      <c r="A7" s="344"/>
      <c r="B7" s="344"/>
      <c r="C7" s="46"/>
      <c r="D7" s="345" t="s">
        <v>456</v>
      </c>
      <c r="E7" s="345"/>
      <c r="F7" s="345"/>
      <c r="G7" s="345"/>
      <c r="H7" s="257"/>
    </row>
    <row r="8" spans="1:8">
      <c r="A8" s="260" t="s">
        <v>335</v>
      </c>
      <c r="B8" s="253"/>
      <c r="C8" s="46"/>
      <c r="D8" s="345" t="s">
        <v>550</v>
      </c>
      <c r="E8" s="345"/>
      <c r="F8" s="345"/>
      <c r="G8" s="345"/>
      <c r="H8" s="345"/>
    </row>
    <row r="9" spans="1:8">
      <c r="A9" s="260"/>
      <c r="B9" s="253"/>
      <c r="C9" s="46"/>
      <c r="D9" s="345"/>
      <c r="E9" s="345"/>
      <c r="F9" s="345"/>
      <c r="G9" s="345"/>
      <c r="H9" s="345"/>
    </row>
    <row r="10" spans="1:8">
      <c r="A10" s="260"/>
      <c r="B10" s="253"/>
      <c r="C10" s="46"/>
      <c r="D10" s="254"/>
      <c r="E10" s="254"/>
      <c r="F10" s="254"/>
      <c r="G10" s="254"/>
      <c r="H10" s="254"/>
    </row>
    <row r="11" spans="1:8" ht="75" customHeight="1">
      <c r="A11" s="260"/>
      <c r="B11" s="253"/>
      <c r="C11" s="46"/>
      <c r="D11" s="345" t="s">
        <v>551</v>
      </c>
      <c r="E11" s="345"/>
      <c r="F11" s="345"/>
      <c r="G11" s="345"/>
      <c r="H11" s="257"/>
    </row>
    <row r="12" spans="1:8">
      <c r="A12" s="260"/>
      <c r="B12" s="253"/>
      <c r="C12" s="46"/>
      <c r="D12" s="260" t="s">
        <v>335</v>
      </c>
      <c r="E12" s="254"/>
      <c r="F12" s="254"/>
      <c r="G12" s="254"/>
      <c r="H12" s="254"/>
    </row>
    <row r="13" spans="1:8">
      <c r="A13" s="260"/>
      <c r="B13" s="253"/>
      <c r="C13" s="46"/>
      <c r="D13" s="260"/>
      <c r="E13" s="254"/>
      <c r="F13" s="254"/>
      <c r="G13" s="254"/>
      <c r="H13" s="254"/>
    </row>
    <row r="14" spans="1:8">
      <c r="A14" s="260"/>
      <c r="B14" s="253"/>
      <c r="C14" s="46"/>
      <c r="D14" s="260"/>
      <c r="E14" s="254"/>
      <c r="F14" s="254"/>
      <c r="G14" s="254"/>
      <c r="H14" s="254"/>
    </row>
    <row r="15" spans="1:8">
      <c r="A15" s="260"/>
      <c r="B15" s="253"/>
      <c r="C15" s="46"/>
      <c r="D15" s="260"/>
      <c r="E15" s="254"/>
      <c r="F15" s="254"/>
      <c r="G15" s="254"/>
      <c r="H15" s="254"/>
    </row>
    <row r="16" spans="1:8">
      <c r="A16" s="260"/>
      <c r="B16" s="253"/>
      <c r="C16" s="46"/>
      <c r="D16" s="260"/>
      <c r="E16" s="254"/>
      <c r="F16" s="254"/>
      <c r="G16" s="254"/>
      <c r="H16" s="254"/>
    </row>
    <row r="17" spans="1:8">
      <c r="A17" s="260"/>
      <c r="B17" s="253"/>
      <c r="C17" s="46"/>
      <c r="D17" s="260"/>
      <c r="E17" s="254"/>
      <c r="F17" s="254"/>
      <c r="G17" s="254"/>
      <c r="H17" s="254"/>
    </row>
    <row r="18" spans="1:8">
      <c r="A18" s="260"/>
      <c r="B18" s="253"/>
      <c r="C18" s="46"/>
      <c r="D18" s="260"/>
      <c r="E18" s="254"/>
      <c r="F18" s="254"/>
      <c r="G18" s="254"/>
      <c r="H18" s="254"/>
    </row>
    <row r="19" spans="1:8">
      <c r="A19" s="260"/>
      <c r="B19" s="253"/>
      <c r="C19" s="46"/>
      <c r="D19" s="260"/>
      <c r="E19" s="260"/>
      <c r="F19" s="260"/>
      <c r="G19" s="260"/>
    </row>
    <row r="20" spans="1:8" ht="20.5">
      <c r="A20" s="261"/>
      <c r="B20" s="262"/>
      <c r="C20" s="262"/>
      <c r="D20" s="262"/>
      <c r="E20" s="262"/>
      <c r="F20" s="262"/>
      <c r="G20" s="262"/>
    </row>
    <row r="21" spans="1:8">
      <c r="A21" s="340"/>
      <c r="B21" s="342"/>
      <c r="C21" s="342"/>
      <c r="D21" s="342"/>
      <c r="E21" s="341"/>
      <c r="F21" s="317" t="s">
        <v>578</v>
      </c>
      <c r="G21" s="263" t="s">
        <v>253</v>
      </c>
    </row>
    <row r="22" spans="1:8">
      <c r="A22" s="263" t="s">
        <v>548</v>
      </c>
      <c r="B22" s="338" t="s">
        <v>549</v>
      </c>
      <c r="C22" s="339"/>
      <c r="D22" s="339"/>
      <c r="E22" s="343"/>
      <c r="F22" s="263" t="s">
        <v>138</v>
      </c>
      <c r="G22" s="263">
        <v>21926724</v>
      </c>
    </row>
    <row r="23" spans="1:8">
      <c r="A23" s="263" t="s">
        <v>12</v>
      </c>
      <c r="B23" s="338" t="s">
        <v>445</v>
      </c>
      <c r="C23" s="339"/>
      <c r="D23" s="339"/>
      <c r="E23" s="343"/>
      <c r="F23" s="263" t="s">
        <v>137</v>
      </c>
      <c r="G23" s="263">
        <v>150</v>
      </c>
    </row>
    <row r="24" spans="1:8">
      <c r="A24" s="263" t="s">
        <v>17</v>
      </c>
      <c r="B24" s="338" t="s">
        <v>451</v>
      </c>
      <c r="C24" s="339"/>
      <c r="D24" s="339"/>
      <c r="E24" s="343"/>
      <c r="F24" s="263" t="s">
        <v>136</v>
      </c>
      <c r="G24" s="263">
        <v>1210100000</v>
      </c>
    </row>
    <row r="25" spans="1:8">
      <c r="A25" s="263" t="s">
        <v>552</v>
      </c>
      <c r="B25" s="338" t="s">
        <v>446</v>
      </c>
      <c r="C25" s="339"/>
      <c r="D25" s="339"/>
      <c r="E25" s="343"/>
      <c r="F25" s="263" t="s">
        <v>7</v>
      </c>
      <c r="G25" s="263">
        <v>1009</v>
      </c>
    </row>
    <row r="26" spans="1:8">
      <c r="A26" s="263" t="s">
        <v>14</v>
      </c>
      <c r="B26" s="338" t="s">
        <v>447</v>
      </c>
      <c r="C26" s="339"/>
      <c r="D26" s="339"/>
      <c r="E26" s="343"/>
      <c r="F26" s="263" t="s">
        <v>6</v>
      </c>
      <c r="G26" s="263">
        <v>90310</v>
      </c>
    </row>
    <row r="27" spans="1:8">
      <c r="A27" s="263" t="s">
        <v>13</v>
      </c>
      <c r="B27" s="338" t="s">
        <v>448</v>
      </c>
      <c r="C27" s="339"/>
      <c r="D27" s="339"/>
      <c r="E27" s="343"/>
      <c r="F27" s="263" t="s">
        <v>8</v>
      </c>
      <c r="G27" s="263" t="s">
        <v>444</v>
      </c>
    </row>
    <row r="28" spans="1:8">
      <c r="A28" s="338" t="s">
        <v>369</v>
      </c>
      <c r="B28" s="339"/>
      <c r="C28" s="343"/>
      <c r="D28" s="340" t="s">
        <v>199</v>
      </c>
      <c r="E28" s="342"/>
      <c r="F28" s="341"/>
      <c r="G28" s="263"/>
    </row>
    <row r="29" spans="1:8">
      <c r="A29" s="263" t="s">
        <v>18</v>
      </c>
      <c r="B29" s="340" t="s">
        <v>449</v>
      </c>
      <c r="C29" s="341"/>
      <c r="D29" s="340" t="s">
        <v>200</v>
      </c>
      <c r="E29" s="342"/>
      <c r="F29" s="341"/>
      <c r="G29" s="263"/>
    </row>
    <row r="30" spans="1:8">
      <c r="A30" s="263" t="s">
        <v>506</v>
      </c>
      <c r="B30" s="340">
        <v>147</v>
      </c>
      <c r="C30" s="341"/>
      <c r="D30" s="340"/>
      <c r="E30" s="342"/>
      <c r="F30" s="342"/>
      <c r="G30" s="342"/>
    </row>
    <row r="31" spans="1:8">
      <c r="A31" s="263" t="s">
        <v>9</v>
      </c>
      <c r="B31" s="338" t="s">
        <v>450</v>
      </c>
      <c r="C31" s="339"/>
      <c r="D31" s="339"/>
      <c r="E31" s="339"/>
      <c r="F31" s="339"/>
      <c r="G31" s="339"/>
    </row>
    <row r="32" spans="1:8">
      <c r="A32" s="263" t="s">
        <v>10</v>
      </c>
      <c r="B32" s="338" t="s">
        <v>484</v>
      </c>
      <c r="C32" s="339"/>
      <c r="D32" s="339"/>
      <c r="E32" s="339"/>
      <c r="F32" s="339"/>
      <c r="G32" s="339"/>
    </row>
    <row r="33" spans="1:7">
      <c r="A33" s="263" t="s">
        <v>11</v>
      </c>
      <c r="B33" s="338" t="s">
        <v>582</v>
      </c>
      <c r="C33" s="339"/>
      <c r="D33" s="339"/>
      <c r="E33" s="339"/>
      <c r="F33" s="339"/>
      <c r="G33" s="339"/>
    </row>
    <row r="34" spans="1:7">
      <c r="A34" s="260"/>
      <c r="B34" s="260"/>
      <c r="C34" s="260"/>
      <c r="D34" s="260"/>
      <c r="E34" s="260"/>
      <c r="F34" s="260"/>
      <c r="G34" s="260"/>
    </row>
    <row r="35" spans="1:7" s="265" customFormat="1">
      <c r="A35" s="264"/>
      <c r="D35" s="256"/>
      <c r="E35" s="256"/>
      <c r="F35" s="256"/>
      <c r="G35" s="256"/>
    </row>
    <row r="36" spans="1:7" s="265" customFormat="1">
      <c r="A36" s="264"/>
      <c r="D36" s="256"/>
      <c r="E36" s="256"/>
      <c r="F36" s="256"/>
      <c r="G36" s="256"/>
    </row>
    <row r="37" spans="1:7" s="265" customFormat="1">
      <c r="A37" s="264"/>
      <c r="D37" s="256"/>
      <c r="E37" s="256"/>
      <c r="F37" s="256"/>
      <c r="G37" s="256"/>
    </row>
    <row r="38" spans="1:7" s="265" customFormat="1">
      <c r="A38" s="264"/>
      <c r="D38" s="256"/>
      <c r="E38" s="256"/>
      <c r="F38" s="256"/>
      <c r="G38" s="256"/>
    </row>
    <row r="39" spans="1:7" s="265" customFormat="1">
      <c r="A39" s="264"/>
      <c r="D39" s="256"/>
      <c r="E39" s="256"/>
      <c r="F39" s="256"/>
      <c r="G39" s="256"/>
    </row>
    <row r="40" spans="1:7" s="265" customFormat="1">
      <c r="A40" s="264"/>
      <c r="D40" s="256"/>
      <c r="E40" s="256"/>
      <c r="F40" s="256"/>
      <c r="G40" s="256"/>
    </row>
    <row r="41" spans="1:7" s="265" customFormat="1">
      <c r="A41" s="264"/>
      <c r="D41" s="256"/>
      <c r="E41" s="256"/>
      <c r="F41" s="256"/>
      <c r="G41" s="256"/>
    </row>
    <row r="42" spans="1:7" s="265" customFormat="1">
      <c r="A42" s="264"/>
      <c r="D42" s="256"/>
      <c r="E42" s="256"/>
      <c r="F42" s="256"/>
      <c r="G42" s="256"/>
    </row>
    <row r="43" spans="1:7" s="265" customFormat="1">
      <c r="A43" s="264"/>
      <c r="D43" s="256"/>
      <c r="E43" s="256"/>
      <c r="F43" s="256"/>
      <c r="G43" s="256"/>
    </row>
    <row r="44" spans="1:7" s="265" customFormat="1">
      <c r="A44" s="264"/>
      <c r="D44" s="256"/>
      <c r="E44" s="256"/>
      <c r="F44" s="256"/>
      <c r="G44" s="256"/>
    </row>
    <row r="45" spans="1:7" s="265" customFormat="1">
      <c r="A45" s="264"/>
      <c r="D45" s="256"/>
      <c r="E45" s="256"/>
      <c r="F45" s="256"/>
      <c r="G45" s="256"/>
    </row>
    <row r="46" spans="1:7" s="265" customFormat="1">
      <c r="A46" s="264"/>
      <c r="D46" s="256"/>
      <c r="E46" s="256"/>
      <c r="F46" s="256"/>
      <c r="G46" s="256"/>
    </row>
    <row r="47" spans="1:7" s="265" customFormat="1">
      <c r="A47" s="264"/>
      <c r="D47" s="256"/>
      <c r="E47" s="256"/>
      <c r="F47" s="256"/>
      <c r="G47" s="256"/>
    </row>
    <row r="48" spans="1:7" s="265" customFormat="1">
      <c r="A48" s="264"/>
      <c r="D48" s="256"/>
      <c r="E48" s="256"/>
      <c r="F48" s="256"/>
      <c r="G48" s="256"/>
    </row>
    <row r="49" spans="1:7" s="265" customFormat="1">
      <c r="A49" s="264"/>
      <c r="D49" s="256"/>
      <c r="E49" s="256"/>
      <c r="F49" s="256"/>
      <c r="G49" s="256"/>
    </row>
    <row r="50" spans="1:7" s="265" customFormat="1">
      <c r="A50" s="264"/>
      <c r="D50" s="256"/>
      <c r="E50" s="256"/>
      <c r="F50" s="256"/>
      <c r="G50" s="256"/>
    </row>
    <row r="51" spans="1:7" s="265" customFormat="1">
      <c r="A51" s="264"/>
      <c r="D51" s="256"/>
      <c r="E51" s="256"/>
      <c r="F51" s="256"/>
      <c r="G51" s="256"/>
    </row>
    <row r="52" spans="1:7" s="265" customFormat="1">
      <c r="A52" s="264"/>
      <c r="D52" s="256"/>
      <c r="E52" s="256"/>
      <c r="F52" s="256"/>
      <c r="G52" s="256"/>
    </row>
    <row r="53" spans="1:7" s="265" customFormat="1">
      <c r="A53" s="264"/>
      <c r="D53" s="256"/>
      <c r="E53" s="256"/>
      <c r="F53" s="256"/>
      <c r="G53" s="256"/>
    </row>
    <row r="54" spans="1:7" s="265" customFormat="1">
      <c r="A54" s="264"/>
      <c r="D54" s="256"/>
      <c r="E54" s="256"/>
      <c r="F54" s="256"/>
      <c r="G54" s="256"/>
    </row>
    <row r="55" spans="1:7" s="265" customFormat="1">
      <c r="A55" s="264"/>
      <c r="D55" s="256"/>
      <c r="E55" s="256"/>
      <c r="F55" s="256"/>
      <c r="G55" s="256"/>
    </row>
    <row r="56" spans="1:7" s="265" customFormat="1">
      <c r="A56" s="264"/>
      <c r="D56" s="256"/>
      <c r="E56" s="256"/>
      <c r="F56" s="256"/>
      <c r="G56" s="256"/>
    </row>
    <row r="57" spans="1:7" s="265" customFormat="1">
      <c r="A57" s="264"/>
      <c r="D57" s="256"/>
      <c r="E57" s="256"/>
      <c r="F57" s="256"/>
      <c r="G57" s="256"/>
    </row>
    <row r="58" spans="1:7" s="265" customFormat="1">
      <c r="A58" s="264"/>
      <c r="D58" s="256"/>
      <c r="E58" s="256"/>
      <c r="F58" s="256"/>
      <c r="G58" s="256"/>
    </row>
    <row r="59" spans="1:7" s="265" customFormat="1">
      <c r="A59" s="264"/>
      <c r="D59" s="256"/>
      <c r="E59" s="256"/>
      <c r="F59" s="256"/>
      <c r="G59" s="256"/>
    </row>
    <row r="60" spans="1:7" s="265" customFormat="1">
      <c r="A60" s="264"/>
      <c r="D60" s="256"/>
      <c r="E60" s="256"/>
      <c r="F60" s="256"/>
      <c r="G60" s="256"/>
    </row>
    <row r="61" spans="1:7" s="265" customFormat="1">
      <c r="A61" s="264"/>
      <c r="D61" s="256"/>
      <c r="E61" s="256"/>
      <c r="F61" s="256"/>
      <c r="G61" s="256"/>
    </row>
    <row r="62" spans="1:7" s="265" customFormat="1">
      <c r="A62" s="264"/>
      <c r="D62" s="256"/>
      <c r="E62" s="256"/>
      <c r="F62" s="256"/>
      <c r="G62" s="256"/>
    </row>
    <row r="63" spans="1:7" s="265" customFormat="1">
      <c r="A63" s="264"/>
      <c r="D63" s="256"/>
      <c r="E63" s="256"/>
      <c r="F63" s="256"/>
      <c r="G63" s="256"/>
    </row>
    <row r="64" spans="1:7" s="265" customFormat="1">
      <c r="A64" s="264"/>
      <c r="D64" s="256"/>
      <c r="E64" s="256"/>
      <c r="F64" s="256"/>
      <c r="G64" s="256"/>
    </row>
    <row r="65" spans="1:7" s="265" customFormat="1">
      <c r="A65" s="264"/>
      <c r="D65" s="256"/>
      <c r="E65" s="256"/>
      <c r="F65" s="256"/>
      <c r="G65" s="256"/>
    </row>
    <row r="66" spans="1:7" s="265" customFormat="1">
      <c r="A66" s="264"/>
      <c r="D66" s="256"/>
      <c r="E66" s="256"/>
      <c r="F66" s="256"/>
      <c r="G66" s="256"/>
    </row>
    <row r="67" spans="1:7" s="265" customFormat="1">
      <c r="A67" s="264"/>
      <c r="D67" s="256"/>
      <c r="E67" s="256"/>
      <c r="F67" s="256"/>
      <c r="G67" s="256"/>
    </row>
    <row r="68" spans="1:7" s="265" customFormat="1">
      <c r="A68" s="264"/>
      <c r="D68" s="256"/>
      <c r="E68" s="256"/>
      <c r="F68" s="256"/>
      <c r="G68" s="256"/>
    </row>
    <row r="69" spans="1:7" s="265" customFormat="1">
      <c r="A69" s="264"/>
      <c r="D69" s="256"/>
      <c r="E69" s="256"/>
      <c r="F69" s="256"/>
      <c r="G69" s="256"/>
    </row>
    <row r="70" spans="1:7" s="265" customFormat="1">
      <c r="A70" s="264"/>
      <c r="D70" s="256"/>
      <c r="E70" s="256"/>
      <c r="F70" s="256"/>
      <c r="G70" s="256"/>
    </row>
    <row r="71" spans="1:7" s="265" customFormat="1">
      <c r="A71" s="264"/>
      <c r="D71" s="256"/>
      <c r="E71" s="256"/>
      <c r="F71" s="256"/>
      <c r="G71" s="256"/>
    </row>
    <row r="72" spans="1:7" s="265" customFormat="1">
      <c r="A72" s="264"/>
      <c r="D72" s="256"/>
      <c r="E72" s="256"/>
      <c r="F72" s="256"/>
      <c r="G72" s="256"/>
    </row>
    <row r="73" spans="1:7" s="265" customFormat="1">
      <c r="A73" s="264"/>
      <c r="D73" s="256"/>
      <c r="E73" s="256"/>
      <c r="F73" s="256"/>
      <c r="G73" s="256"/>
    </row>
    <row r="74" spans="1:7" s="265" customFormat="1">
      <c r="A74" s="264"/>
      <c r="D74" s="256"/>
      <c r="E74" s="256"/>
      <c r="F74" s="256"/>
      <c r="G74" s="256"/>
    </row>
    <row r="75" spans="1:7" s="265" customFormat="1">
      <c r="A75" s="264"/>
      <c r="D75" s="256"/>
      <c r="E75" s="256"/>
      <c r="F75" s="256"/>
      <c r="G75" s="256"/>
    </row>
    <row r="76" spans="1:7" s="265" customFormat="1">
      <c r="A76" s="264"/>
      <c r="D76" s="256"/>
      <c r="E76" s="256"/>
      <c r="F76" s="256"/>
      <c r="G76" s="256"/>
    </row>
    <row r="77" spans="1:7" s="265" customFormat="1">
      <c r="A77" s="264"/>
      <c r="D77" s="256"/>
      <c r="E77" s="256"/>
      <c r="F77" s="256"/>
      <c r="G77" s="256"/>
    </row>
    <row r="78" spans="1:7" s="265" customFormat="1">
      <c r="A78" s="264"/>
      <c r="D78" s="256"/>
      <c r="E78" s="256"/>
      <c r="F78" s="256"/>
      <c r="G78" s="256"/>
    </row>
    <row r="79" spans="1:7" s="265" customFormat="1">
      <c r="A79" s="264"/>
      <c r="D79" s="256"/>
      <c r="E79" s="256"/>
      <c r="F79" s="256"/>
      <c r="G79" s="256"/>
    </row>
    <row r="80" spans="1:7" s="265" customFormat="1">
      <c r="A80" s="264"/>
      <c r="D80" s="256"/>
      <c r="E80" s="256"/>
      <c r="F80" s="256"/>
      <c r="G80" s="256"/>
    </row>
    <row r="81" spans="1:7" s="265" customFormat="1">
      <c r="A81" s="264"/>
      <c r="D81" s="256"/>
      <c r="E81" s="256"/>
      <c r="F81" s="256"/>
      <c r="G81" s="256"/>
    </row>
    <row r="82" spans="1:7" s="265" customFormat="1">
      <c r="A82" s="264"/>
      <c r="D82" s="256"/>
      <c r="E82" s="256"/>
      <c r="F82" s="256"/>
      <c r="G82" s="256"/>
    </row>
    <row r="83" spans="1:7" s="265" customFormat="1">
      <c r="A83" s="264"/>
      <c r="D83" s="256"/>
      <c r="E83" s="256"/>
      <c r="F83" s="256"/>
      <c r="G83" s="256"/>
    </row>
    <row r="84" spans="1:7" s="265" customFormat="1">
      <c r="A84" s="264"/>
      <c r="D84" s="256"/>
      <c r="E84" s="256"/>
      <c r="F84" s="256"/>
      <c r="G84" s="256"/>
    </row>
    <row r="85" spans="1:7" s="265" customFormat="1">
      <c r="A85" s="264"/>
      <c r="D85" s="256"/>
      <c r="E85" s="256"/>
      <c r="F85" s="256"/>
      <c r="G85" s="256"/>
    </row>
    <row r="86" spans="1:7" s="265" customFormat="1">
      <c r="A86" s="264"/>
      <c r="D86" s="256"/>
      <c r="E86" s="256"/>
      <c r="F86" s="256"/>
      <c r="G86" s="256"/>
    </row>
    <row r="87" spans="1:7" s="265" customFormat="1">
      <c r="A87" s="264"/>
      <c r="D87" s="256"/>
      <c r="E87" s="256"/>
      <c r="F87" s="256"/>
      <c r="G87" s="256"/>
    </row>
    <row r="88" spans="1:7" s="265" customFormat="1">
      <c r="A88" s="264"/>
      <c r="D88" s="256"/>
      <c r="E88" s="256"/>
      <c r="F88" s="256"/>
      <c r="G88" s="256"/>
    </row>
    <row r="89" spans="1:7" s="265" customFormat="1">
      <c r="A89" s="264"/>
      <c r="D89" s="256"/>
      <c r="E89" s="256"/>
      <c r="F89" s="256"/>
      <c r="G89" s="256"/>
    </row>
    <row r="90" spans="1:7" s="265" customFormat="1">
      <c r="A90" s="264"/>
      <c r="D90" s="256"/>
      <c r="E90" s="256"/>
      <c r="F90" s="256"/>
      <c r="G90" s="256"/>
    </row>
    <row r="91" spans="1:7" s="265" customFormat="1">
      <c r="A91" s="264"/>
      <c r="D91" s="256"/>
      <c r="E91" s="256"/>
      <c r="F91" s="256"/>
      <c r="G91" s="256"/>
    </row>
    <row r="92" spans="1:7" s="265" customFormat="1">
      <c r="A92" s="264"/>
      <c r="D92" s="256"/>
      <c r="E92" s="256"/>
      <c r="F92" s="256"/>
      <c r="G92" s="256"/>
    </row>
    <row r="93" spans="1:7" s="265" customFormat="1">
      <c r="A93" s="264"/>
      <c r="D93" s="256"/>
      <c r="E93" s="256"/>
      <c r="F93" s="256"/>
      <c r="G93" s="256"/>
    </row>
    <row r="94" spans="1:7" s="265" customFormat="1">
      <c r="A94" s="264"/>
      <c r="D94" s="256"/>
      <c r="E94" s="256"/>
      <c r="F94" s="256"/>
      <c r="G94" s="256"/>
    </row>
    <row r="95" spans="1:7" s="265" customFormat="1">
      <c r="A95" s="264"/>
      <c r="D95" s="256"/>
      <c r="E95" s="256"/>
      <c r="F95" s="256"/>
      <c r="G95" s="256"/>
    </row>
    <row r="96" spans="1:7" s="265" customFormat="1">
      <c r="A96" s="264"/>
      <c r="D96" s="256"/>
      <c r="E96" s="256"/>
      <c r="F96" s="256"/>
      <c r="G96" s="256"/>
    </row>
    <row r="97" spans="1:7" s="265" customFormat="1">
      <c r="A97" s="264"/>
      <c r="D97" s="256"/>
      <c r="E97" s="256"/>
      <c r="F97" s="256"/>
      <c r="G97" s="256"/>
    </row>
    <row r="98" spans="1:7" s="265" customFormat="1">
      <c r="A98" s="264"/>
      <c r="D98" s="256"/>
      <c r="E98" s="256"/>
      <c r="F98" s="256"/>
      <c r="G98" s="256"/>
    </row>
    <row r="99" spans="1:7" s="265" customFormat="1">
      <c r="A99" s="264"/>
      <c r="D99" s="256"/>
      <c r="E99" s="256"/>
      <c r="F99" s="256"/>
      <c r="G99" s="256"/>
    </row>
    <row r="100" spans="1:7" s="265" customFormat="1">
      <c r="A100" s="264"/>
      <c r="D100" s="256"/>
      <c r="E100" s="256"/>
      <c r="F100" s="256"/>
      <c r="G100" s="256"/>
    </row>
    <row r="101" spans="1:7" s="265" customFormat="1">
      <c r="A101" s="264"/>
      <c r="D101" s="256"/>
      <c r="E101" s="256"/>
      <c r="F101" s="256"/>
      <c r="G101" s="256"/>
    </row>
    <row r="102" spans="1:7" s="265" customFormat="1">
      <c r="A102" s="264"/>
      <c r="D102" s="256"/>
      <c r="E102" s="256"/>
      <c r="F102" s="256"/>
      <c r="G102" s="256"/>
    </row>
    <row r="103" spans="1:7" s="265" customFormat="1">
      <c r="A103" s="264"/>
      <c r="D103" s="256"/>
      <c r="E103" s="256"/>
      <c r="F103" s="256"/>
      <c r="G103" s="256"/>
    </row>
    <row r="104" spans="1:7" s="265" customFormat="1">
      <c r="A104" s="264"/>
      <c r="D104" s="256"/>
      <c r="E104" s="256"/>
      <c r="F104" s="256"/>
      <c r="G104" s="256"/>
    </row>
    <row r="105" spans="1:7" s="265" customFormat="1">
      <c r="A105" s="264"/>
      <c r="D105" s="256"/>
      <c r="E105" s="256"/>
      <c r="F105" s="256"/>
      <c r="G105" s="256"/>
    </row>
    <row r="106" spans="1:7" s="265" customFormat="1">
      <c r="A106" s="264"/>
      <c r="D106" s="256"/>
      <c r="E106" s="256"/>
      <c r="F106" s="256"/>
      <c r="G106" s="256"/>
    </row>
    <row r="107" spans="1:7" s="265" customFormat="1">
      <c r="A107" s="264"/>
      <c r="D107" s="256"/>
      <c r="E107" s="256"/>
      <c r="F107" s="256"/>
      <c r="G107" s="256"/>
    </row>
    <row r="108" spans="1:7" s="265" customFormat="1">
      <c r="A108" s="264"/>
      <c r="D108" s="256"/>
      <c r="E108" s="256"/>
      <c r="F108" s="256"/>
      <c r="G108" s="256"/>
    </row>
    <row r="109" spans="1:7" s="265" customFormat="1">
      <c r="A109" s="264"/>
      <c r="D109" s="256"/>
      <c r="E109" s="256"/>
      <c r="F109" s="256"/>
      <c r="G109" s="256"/>
    </row>
    <row r="110" spans="1:7" s="265" customFormat="1">
      <c r="A110" s="264"/>
      <c r="D110" s="256"/>
      <c r="E110" s="256"/>
      <c r="F110" s="256"/>
      <c r="G110" s="256"/>
    </row>
    <row r="111" spans="1:7" s="265" customFormat="1">
      <c r="A111" s="264"/>
      <c r="D111" s="256"/>
      <c r="E111" s="256"/>
      <c r="F111" s="256"/>
      <c r="G111" s="256"/>
    </row>
    <row r="112" spans="1:7" s="265" customFormat="1">
      <c r="A112" s="264"/>
      <c r="D112" s="256"/>
      <c r="E112" s="256"/>
      <c r="F112" s="256"/>
      <c r="G112" s="256"/>
    </row>
    <row r="113" spans="1:7" s="265" customFormat="1">
      <c r="A113" s="264"/>
      <c r="D113" s="256"/>
      <c r="E113" s="256"/>
      <c r="F113" s="256"/>
      <c r="G113" s="256"/>
    </row>
    <row r="114" spans="1:7" s="265" customFormat="1">
      <c r="A114" s="264"/>
      <c r="D114" s="256"/>
      <c r="E114" s="256"/>
      <c r="F114" s="256"/>
      <c r="G114" s="256"/>
    </row>
    <row r="115" spans="1:7" s="265" customFormat="1">
      <c r="A115" s="264"/>
      <c r="D115" s="256"/>
      <c r="E115" s="256"/>
      <c r="F115" s="256"/>
      <c r="G115" s="256"/>
    </row>
    <row r="116" spans="1:7" s="265" customFormat="1">
      <c r="A116" s="264"/>
      <c r="D116" s="256"/>
      <c r="E116" s="256"/>
      <c r="F116" s="256"/>
      <c r="G116" s="256"/>
    </row>
    <row r="117" spans="1:7" s="265" customFormat="1">
      <c r="A117" s="264"/>
      <c r="D117" s="256"/>
      <c r="E117" s="256"/>
      <c r="F117" s="256"/>
      <c r="G117" s="256"/>
    </row>
    <row r="118" spans="1:7" s="265" customFormat="1">
      <c r="A118" s="264"/>
      <c r="D118" s="256"/>
      <c r="E118" s="256"/>
      <c r="F118" s="256"/>
      <c r="G118" s="256"/>
    </row>
    <row r="119" spans="1:7" s="265" customFormat="1">
      <c r="A119" s="264"/>
      <c r="D119" s="256"/>
      <c r="E119" s="256"/>
      <c r="F119" s="256"/>
      <c r="G119" s="256"/>
    </row>
    <row r="120" spans="1:7" s="265" customFormat="1">
      <c r="A120" s="264"/>
      <c r="D120" s="256"/>
      <c r="E120" s="256"/>
      <c r="F120" s="256"/>
      <c r="G120" s="256"/>
    </row>
    <row r="121" spans="1:7" s="265" customFormat="1">
      <c r="A121" s="264"/>
      <c r="D121" s="256"/>
      <c r="E121" s="256"/>
      <c r="F121" s="256"/>
      <c r="G121" s="256"/>
    </row>
    <row r="122" spans="1:7" s="265" customFormat="1">
      <c r="A122" s="264"/>
      <c r="D122" s="256"/>
      <c r="E122" s="256"/>
      <c r="F122" s="256"/>
      <c r="G122" s="256"/>
    </row>
    <row r="123" spans="1:7" s="265" customFormat="1">
      <c r="A123" s="264"/>
      <c r="D123" s="256"/>
      <c r="E123" s="256"/>
      <c r="F123" s="256"/>
      <c r="G123" s="256"/>
    </row>
    <row r="124" spans="1:7" s="265" customFormat="1">
      <c r="A124" s="264"/>
      <c r="D124" s="256"/>
      <c r="E124" s="256"/>
      <c r="F124" s="256"/>
      <c r="G124" s="256"/>
    </row>
    <row r="125" spans="1:7" s="265" customFormat="1">
      <c r="A125" s="264"/>
      <c r="D125" s="256"/>
      <c r="E125" s="256"/>
      <c r="F125" s="256"/>
      <c r="G125" s="256"/>
    </row>
    <row r="126" spans="1:7" s="265" customFormat="1">
      <c r="A126" s="264"/>
      <c r="D126" s="256"/>
      <c r="E126" s="256"/>
      <c r="F126" s="256"/>
      <c r="G126" s="256"/>
    </row>
    <row r="127" spans="1:7" s="265" customFormat="1">
      <c r="A127" s="264"/>
      <c r="D127" s="256"/>
      <c r="E127" s="256"/>
      <c r="F127" s="256"/>
      <c r="G127" s="256"/>
    </row>
    <row r="128" spans="1:7" s="265" customFormat="1">
      <c r="A128" s="264"/>
      <c r="D128" s="256"/>
      <c r="E128" s="256"/>
      <c r="F128" s="256"/>
      <c r="G128" s="256"/>
    </row>
    <row r="129" spans="1:7" s="265" customFormat="1">
      <c r="A129" s="264"/>
      <c r="D129" s="256"/>
      <c r="E129" s="256"/>
      <c r="F129" s="256"/>
      <c r="G129" s="256"/>
    </row>
    <row r="130" spans="1:7" s="265" customFormat="1">
      <c r="A130" s="264"/>
      <c r="D130" s="256"/>
      <c r="E130" s="256"/>
      <c r="F130" s="256"/>
      <c r="G130" s="256"/>
    </row>
    <row r="131" spans="1:7" s="265" customFormat="1">
      <c r="A131" s="264"/>
      <c r="D131" s="256"/>
      <c r="E131" s="256"/>
      <c r="F131" s="256"/>
      <c r="G131" s="256"/>
    </row>
    <row r="132" spans="1:7" s="265" customFormat="1">
      <c r="A132" s="264"/>
      <c r="D132" s="256"/>
      <c r="E132" s="256"/>
      <c r="F132" s="256"/>
      <c r="G132" s="256"/>
    </row>
    <row r="133" spans="1:7" s="265" customFormat="1">
      <c r="A133" s="264"/>
      <c r="D133" s="256"/>
      <c r="E133" s="256"/>
      <c r="F133" s="256"/>
      <c r="G133" s="256"/>
    </row>
    <row r="134" spans="1:7" s="265" customFormat="1">
      <c r="A134" s="264"/>
      <c r="D134" s="256"/>
      <c r="E134" s="256"/>
      <c r="F134" s="256"/>
      <c r="G134" s="256"/>
    </row>
    <row r="135" spans="1:7" s="265" customFormat="1">
      <c r="A135" s="264"/>
      <c r="D135" s="256"/>
      <c r="E135" s="256"/>
      <c r="F135" s="256"/>
      <c r="G135" s="256"/>
    </row>
    <row r="136" spans="1:7" s="265" customFormat="1">
      <c r="A136" s="264"/>
      <c r="D136" s="256"/>
      <c r="E136" s="256"/>
      <c r="F136" s="256"/>
      <c r="G136" s="256"/>
    </row>
    <row r="137" spans="1:7" s="265" customFormat="1">
      <c r="A137" s="264"/>
      <c r="D137" s="256"/>
      <c r="E137" s="256"/>
      <c r="F137" s="256"/>
      <c r="G137" s="256"/>
    </row>
    <row r="138" spans="1:7" s="265" customFormat="1">
      <c r="A138" s="264"/>
      <c r="D138" s="256"/>
      <c r="E138" s="256"/>
      <c r="F138" s="256"/>
      <c r="G138" s="256"/>
    </row>
    <row r="139" spans="1:7" s="265" customFormat="1">
      <c r="A139" s="264"/>
      <c r="D139" s="256"/>
      <c r="E139" s="256"/>
      <c r="F139" s="256"/>
      <c r="G139" s="256"/>
    </row>
    <row r="140" spans="1:7" s="265" customFormat="1">
      <c r="A140" s="264"/>
      <c r="D140" s="256"/>
      <c r="E140" s="256"/>
      <c r="F140" s="256"/>
      <c r="G140" s="256"/>
    </row>
    <row r="141" spans="1:7" s="265" customFormat="1">
      <c r="A141" s="264"/>
      <c r="D141" s="256"/>
      <c r="E141" s="256"/>
      <c r="F141" s="256"/>
      <c r="G141" s="256"/>
    </row>
    <row r="142" spans="1:7" s="265" customFormat="1">
      <c r="A142" s="264"/>
      <c r="D142" s="256"/>
      <c r="E142" s="256"/>
      <c r="F142" s="256"/>
      <c r="G142" s="256"/>
    </row>
    <row r="143" spans="1:7" s="265" customFormat="1">
      <c r="A143" s="264"/>
      <c r="D143" s="256"/>
      <c r="E143" s="256"/>
      <c r="F143" s="256"/>
      <c r="G143" s="256"/>
    </row>
    <row r="144" spans="1:7" s="265" customFormat="1">
      <c r="A144" s="264"/>
      <c r="D144" s="256"/>
      <c r="E144" s="256"/>
      <c r="F144" s="256"/>
      <c r="G144" s="256"/>
    </row>
    <row r="145" spans="1:7" s="265" customFormat="1">
      <c r="A145" s="264"/>
      <c r="D145" s="256"/>
      <c r="E145" s="256"/>
      <c r="F145" s="256"/>
      <c r="G145" s="256"/>
    </row>
    <row r="146" spans="1:7" s="265" customFormat="1">
      <c r="A146" s="264"/>
      <c r="D146" s="256"/>
      <c r="E146" s="256"/>
      <c r="F146" s="256"/>
      <c r="G146" s="256"/>
    </row>
    <row r="147" spans="1:7" s="265" customFormat="1">
      <c r="A147" s="264"/>
      <c r="D147" s="256"/>
      <c r="E147" s="256"/>
      <c r="F147" s="256"/>
      <c r="G147" s="256"/>
    </row>
    <row r="148" spans="1:7" s="265" customFormat="1">
      <c r="A148" s="264"/>
      <c r="D148" s="256"/>
      <c r="E148" s="256"/>
      <c r="F148" s="256"/>
      <c r="G148" s="256"/>
    </row>
    <row r="149" spans="1:7" s="265" customFormat="1">
      <c r="A149" s="264"/>
      <c r="D149" s="256"/>
      <c r="E149" s="256"/>
      <c r="F149" s="256"/>
      <c r="G149" s="256"/>
    </row>
    <row r="150" spans="1:7" s="265" customFormat="1">
      <c r="A150" s="264"/>
      <c r="D150" s="256"/>
      <c r="E150" s="256"/>
      <c r="F150" s="256"/>
      <c r="G150" s="256"/>
    </row>
    <row r="151" spans="1:7" s="265" customFormat="1">
      <c r="A151" s="264"/>
      <c r="D151" s="256"/>
      <c r="E151" s="256"/>
      <c r="F151" s="256"/>
      <c r="G151" s="256"/>
    </row>
    <row r="152" spans="1:7" s="265" customFormat="1">
      <c r="A152" s="264"/>
      <c r="D152" s="256"/>
      <c r="E152" s="256"/>
      <c r="F152" s="256"/>
      <c r="G152" s="256"/>
    </row>
    <row r="153" spans="1:7" s="265" customFormat="1">
      <c r="A153" s="264"/>
      <c r="D153" s="256"/>
      <c r="E153" s="256"/>
      <c r="F153" s="256"/>
      <c r="G153" s="256"/>
    </row>
    <row r="154" spans="1:7" s="265" customFormat="1">
      <c r="A154" s="264"/>
      <c r="D154" s="256"/>
      <c r="E154" s="256"/>
      <c r="F154" s="256"/>
      <c r="G154" s="256"/>
    </row>
    <row r="155" spans="1:7" s="265" customFormat="1">
      <c r="A155" s="264"/>
      <c r="D155" s="256"/>
      <c r="E155" s="256"/>
      <c r="F155" s="256"/>
      <c r="G155" s="256"/>
    </row>
    <row r="156" spans="1:7" s="265" customFormat="1">
      <c r="A156" s="264"/>
      <c r="D156" s="256"/>
      <c r="E156" s="256"/>
      <c r="F156" s="256"/>
      <c r="G156" s="256"/>
    </row>
    <row r="157" spans="1:7" s="265" customFormat="1">
      <c r="A157" s="264"/>
      <c r="D157" s="256"/>
      <c r="E157" s="256"/>
      <c r="F157" s="256"/>
      <c r="G157" s="256"/>
    </row>
    <row r="158" spans="1:7" s="265" customFormat="1">
      <c r="A158" s="264"/>
      <c r="D158" s="256"/>
      <c r="E158" s="256"/>
      <c r="F158" s="256"/>
      <c r="G158" s="256"/>
    </row>
    <row r="159" spans="1:7" s="265" customFormat="1">
      <c r="A159" s="264"/>
      <c r="D159" s="256"/>
      <c r="E159" s="256"/>
      <c r="F159" s="256"/>
      <c r="G159" s="256"/>
    </row>
    <row r="160" spans="1:7" s="265" customFormat="1">
      <c r="A160" s="264"/>
      <c r="D160" s="256"/>
      <c r="E160" s="256"/>
      <c r="F160" s="256"/>
      <c r="G160" s="256"/>
    </row>
    <row r="161" spans="1:7" s="265" customFormat="1">
      <c r="A161" s="264"/>
      <c r="D161" s="256"/>
      <c r="E161" s="256"/>
      <c r="F161" s="256"/>
      <c r="G161" s="256"/>
    </row>
  </sheetData>
  <sheetProtection formatCells="0" formatColumns="0" formatRows="0"/>
  <mergeCells count="28">
    <mergeCell ref="A21:E21"/>
    <mergeCell ref="E5:F5"/>
    <mergeCell ref="D6:H6"/>
    <mergeCell ref="D8:H8"/>
    <mergeCell ref="D9:H9"/>
    <mergeCell ref="D11:G11"/>
    <mergeCell ref="A6:B7"/>
    <mergeCell ref="D7:G7"/>
    <mergeCell ref="A2:B2"/>
    <mergeCell ref="D2:G4"/>
    <mergeCell ref="A3:B3"/>
    <mergeCell ref="A4:B4"/>
    <mergeCell ref="A5:B5"/>
    <mergeCell ref="B22:E22"/>
    <mergeCell ref="B23:E23"/>
    <mergeCell ref="B24:E24"/>
    <mergeCell ref="B25:E25"/>
    <mergeCell ref="B26:E26"/>
    <mergeCell ref="B27:E27"/>
    <mergeCell ref="D28:F28"/>
    <mergeCell ref="D29:F29"/>
    <mergeCell ref="B29:C29"/>
    <mergeCell ref="B31:G31"/>
    <mergeCell ref="B32:G32"/>
    <mergeCell ref="B33:G33"/>
    <mergeCell ref="B30:C30"/>
    <mergeCell ref="D30:G30"/>
    <mergeCell ref="A28:C28"/>
  </mergeCells>
  <pageMargins left="1.1811023622047245" right="0.39370078740157483" top="0.78740157480314965" bottom="0.78740157480314965" header="0.19685039370078741" footer="0.31496062992125984"/>
  <pageSetup paperSize="9" scale="5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Z37"/>
  <sheetViews>
    <sheetView view="pageBreakPreview" topLeftCell="D1" zoomScale="60" zoomScaleNormal="90" workbookViewId="0">
      <selection activeCell="F20" sqref="F20"/>
    </sheetView>
  </sheetViews>
  <sheetFormatPr defaultRowHeight="12.5"/>
  <cols>
    <col min="5" max="5" width="12.453125" customWidth="1"/>
    <col min="6" max="6" width="9.26953125" bestFit="1" customWidth="1"/>
    <col min="8" max="8" width="13.1796875" customWidth="1"/>
    <col min="9" max="9" width="25.54296875" customWidth="1"/>
    <col min="10" max="10" width="14.81640625" bestFit="1" customWidth="1"/>
    <col min="11" max="13" width="13.453125" bestFit="1" customWidth="1"/>
    <col min="16" max="16" width="12.26953125" customWidth="1"/>
    <col min="17" max="17" width="9.26953125" bestFit="1" customWidth="1"/>
    <col min="19" max="19" width="9.26953125" bestFit="1" customWidth="1"/>
    <col min="21" max="21" width="14.1796875" customWidth="1"/>
    <col min="22" max="22" width="13.453125" customWidth="1"/>
    <col min="23" max="23" width="13.26953125" customWidth="1"/>
    <col min="24" max="24" width="12.453125" customWidth="1"/>
    <col min="25" max="25" width="13.54296875" customWidth="1"/>
    <col min="26" max="26" width="13.1796875" customWidth="1"/>
  </cols>
  <sheetData>
    <row r="1" spans="1:26">
      <c r="A1" t="s">
        <v>525</v>
      </c>
    </row>
    <row r="2" spans="1:26">
      <c r="B2" t="s">
        <v>526</v>
      </c>
      <c r="E2">
        <v>252.5</v>
      </c>
      <c r="H2">
        <f>M15</f>
        <v>0</v>
      </c>
    </row>
    <row r="4" spans="1:26" ht="18.5">
      <c r="B4" s="288" t="s">
        <v>515</v>
      </c>
      <c r="C4" s="288"/>
      <c r="D4" s="288"/>
      <c r="E4" s="288">
        <f>'[36]01.2023'!H2*6+'[36]07.2023'!H2*5+'[36]12.2023расчет'!H2</f>
        <v>0</v>
      </c>
      <c r="F4" s="288"/>
      <c r="G4" s="288"/>
      <c r="H4" s="288"/>
      <c r="I4" s="288"/>
      <c r="J4" s="288" t="s">
        <v>516</v>
      </c>
      <c r="K4" s="288" t="s">
        <v>355</v>
      </c>
      <c r="L4" s="288" t="s">
        <v>356</v>
      </c>
      <c r="M4" s="288" t="s">
        <v>83</v>
      </c>
      <c r="O4" t="s">
        <v>515</v>
      </c>
      <c r="R4">
        <v>36702325</v>
      </c>
      <c r="W4" t="s">
        <v>516</v>
      </c>
      <c r="X4" t="s">
        <v>355</v>
      </c>
      <c r="Y4" t="s">
        <v>356</v>
      </c>
      <c r="Z4" t="s">
        <v>83</v>
      </c>
    </row>
    <row r="5" spans="1:26" ht="18.5">
      <c r="B5" s="288"/>
      <c r="C5" s="288"/>
      <c r="D5" s="288"/>
      <c r="E5" s="288"/>
      <c r="F5" s="288"/>
      <c r="G5" s="288"/>
      <c r="H5" s="288"/>
      <c r="I5" s="288" t="s">
        <v>486</v>
      </c>
      <c r="J5" s="293">
        <f>W5</f>
        <v>6769354.5</v>
      </c>
      <c r="K5" s="293">
        <f t="shared" ref="K5:M5" si="0">X5</f>
        <v>13538709</v>
      </c>
      <c r="L5" s="293">
        <f t="shared" si="0"/>
        <v>20633500.5</v>
      </c>
      <c r="M5" s="293">
        <f t="shared" si="0"/>
        <v>28063031</v>
      </c>
      <c r="V5" t="s">
        <v>486</v>
      </c>
      <c r="W5">
        <v>6769354.5</v>
      </c>
      <c r="X5">
        <v>13538709</v>
      </c>
      <c r="Y5">
        <v>20633500.5</v>
      </c>
      <c r="Z5">
        <v>28063031</v>
      </c>
    </row>
    <row r="6" spans="1:26" ht="18.5">
      <c r="B6" s="288" t="s">
        <v>517</v>
      </c>
      <c r="C6" s="288"/>
      <c r="D6" s="288"/>
      <c r="E6" s="288"/>
      <c r="F6" s="288"/>
      <c r="G6" s="288"/>
      <c r="H6" s="288"/>
      <c r="I6" s="288" t="s">
        <v>487</v>
      </c>
      <c r="J6" s="293">
        <f t="shared" ref="J6:J17" si="1">W6</f>
        <v>1444601.7936000002</v>
      </c>
      <c r="K6" s="293">
        <f t="shared" ref="K6:K17" si="2">X6</f>
        <v>2889203.5872000004</v>
      </c>
      <c r="L6" s="293">
        <f t="shared" ref="L6:L17" si="3">Y6</f>
        <v>4403252.5340999998</v>
      </c>
      <c r="M6" s="293">
        <f t="shared" ref="M6:M17" si="4">Z6</f>
        <v>5990572.5104</v>
      </c>
      <c r="O6" t="s">
        <v>517</v>
      </c>
      <c r="V6" t="s">
        <v>487</v>
      </c>
      <c r="W6">
        <v>1444601.7936000002</v>
      </c>
      <c r="X6">
        <v>2889203.5872000004</v>
      </c>
      <c r="Y6">
        <v>4403252.5340999998</v>
      </c>
      <c r="Z6">
        <v>5990572.5104</v>
      </c>
    </row>
    <row r="7" spans="1:26" ht="18.5">
      <c r="B7" s="288" t="s">
        <v>485</v>
      </c>
      <c r="C7" s="288"/>
      <c r="D7" s="288"/>
      <c r="E7" s="290">
        <f>R7</f>
        <v>15</v>
      </c>
      <c r="F7" s="288"/>
      <c r="G7" s="288"/>
      <c r="H7" s="288"/>
      <c r="I7" s="288"/>
      <c r="J7" s="293">
        <f t="shared" si="1"/>
        <v>0</v>
      </c>
      <c r="K7" s="293">
        <f t="shared" si="2"/>
        <v>0</v>
      </c>
      <c r="L7" s="293">
        <f t="shared" si="3"/>
        <v>0</v>
      </c>
      <c r="M7" s="293">
        <f t="shared" si="4"/>
        <v>0</v>
      </c>
      <c r="O7" t="s">
        <v>485</v>
      </c>
      <c r="R7">
        <v>15</v>
      </c>
    </row>
    <row r="8" spans="1:26" ht="18.5">
      <c r="B8" s="288" t="s">
        <v>505</v>
      </c>
      <c r="C8" s="288"/>
      <c r="D8" s="288"/>
      <c r="E8" s="290">
        <f t="shared" ref="E8:E11" si="5">R8</f>
        <v>22</v>
      </c>
      <c r="F8" s="288"/>
      <c r="G8" s="288"/>
      <c r="H8" s="288"/>
      <c r="I8" s="288" t="s">
        <v>518</v>
      </c>
      <c r="J8" s="293">
        <f t="shared" si="1"/>
        <v>1341165</v>
      </c>
      <c r="K8" s="293">
        <f t="shared" si="2"/>
        <v>2682330</v>
      </c>
      <c r="L8" s="293">
        <f t="shared" si="3"/>
        <v>4081470</v>
      </c>
      <c r="M8" s="293">
        <f t="shared" si="4"/>
        <v>5212277</v>
      </c>
      <c r="O8" t="s">
        <v>505</v>
      </c>
      <c r="R8">
        <v>22</v>
      </c>
      <c r="V8" t="s">
        <v>518</v>
      </c>
      <c r="W8">
        <v>1341165</v>
      </c>
      <c r="X8">
        <v>2682330</v>
      </c>
      <c r="Y8">
        <v>4081470</v>
      </c>
      <c r="Z8">
        <v>5212277</v>
      </c>
    </row>
    <row r="9" spans="1:26" ht="18.5">
      <c r="B9" s="288" t="s">
        <v>504</v>
      </c>
      <c r="C9" s="288"/>
      <c r="D9" s="288"/>
      <c r="E9" s="290">
        <f t="shared" si="5"/>
        <v>22.5</v>
      </c>
      <c r="F9" s="457">
        <f>SUM(E9:E10)</f>
        <v>215.5</v>
      </c>
      <c r="G9" s="288"/>
      <c r="H9" s="288"/>
      <c r="I9" s="288" t="s">
        <v>487</v>
      </c>
      <c r="J9" s="293">
        <f t="shared" si="1"/>
        <v>295056.3</v>
      </c>
      <c r="K9" s="293">
        <f t="shared" si="2"/>
        <v>590112.6</v>
      </c>
      <c r="L9" s="293">
        <f t="shared" si="3"/>
        <v>897923.4</v>
      </c>
      <c r="M9" s="293">
        <f t="shared" si="4"/>
        <v>1146700.94</v>
      </c>
      <c r="O9" t="s">
        <v>504</v>
      </c>
      <c r="R9">
        <v>22.5</v>
      </c>
      <c r="S9">
        <v>215.5</v>
      </c>
      <c r="V9" t="s">
        <v>487</v>
      </c>
      <c r="W9">
        <v>295056.3</v>
      </c>
      <c r="X9">
        <v>590112.6</v>
      </c>
      <c r="Y9">
        <v>897923.4</v>
      </c>
      <c r="Z9">
        <v>1146700.94</v>
      </c>
    </row>
    <row r="10" spans="1:26" ht="18.5">
      <c r="B10" s="288" t="s">
        <v>307</v>
      </c>
      <c r="C10" s="288"/>
      <c r="D10" s="288"/>
      <c r="E10" s="290">
        <f t="shared" si="5"/>
        <v>193</v>
      </c>
      <c r="F10" s="457"/>
      <c r="G10" s="288"/>
      <c r="H10" s="288"/>
      <c r="I10" s="288"/>
      <c r="J10" s="293">
        <f t="shared" si="1"/>
        <v>0</v>
      </c>
      <c r="K10" s="293">
        <f t="shared" si="2"/>
        <v>0</v>
      </c>
      <c r="L10" s="293">
        <f t="shared" si="3"/>
        <v>0</v>
      </c>
      <c r="M10" s="293">
        <f t="shared" si="4"/>
        <v>0</v>
      </c>
      <c r="O10" t="s">
        <v>307</v>
      </c>
      <c r="R10">
        <v>193</v>
      </c>
    </row>
    <row r="11" spans="1:26" ht="18.5">
      <c r="B11" s="288"/>
      <c r="C11" s="288"/>
      <c r="D11" s="288"/>
      <c r="E11" s="290">
        <f t="shared" si="5"/>
        <v>252.5</v>
      </c>
      <c r="F11" s="288"/>
      <c r="G11" s="288"/>
      <c r="H11" s="288"/>
      <c r="I11" s="288" t="s">
        <v>488</v>
      </c>
      <c r="J11" s="293">
        <f t="shared" si="1"/>
        <v>834942</v>
      </c>
      <c r="K11" s="293">
        <f t="shared" si="2"/>
        <v>1669884</v>
      </c>
      <c r="L11" s="293">
        <f t="shared" si="3"/>
        <v>2544972</v>
      </c>
      <c r="M11" s="293">
        <f t="shared" si="4"/>
        <v>3427017</v>
      </c>
      <c r="R11">
        <v>252.5</v>
      </c>
      <c r="V11" t="s">
        <v>488</v>
      </c>
      <c r="W11">
        <v>834942</v>
      </c>
      <c r="X11">
        <v>1669884</v>
      </c>
      <c r="Y11">
        <v>2544972</v>
      </c>
      <c r="Z11">
        <v>3427017</v>
      </c>
    </row>
    <row r="12" spans="1:26" ht="18.5">
      <c r="B12" s="288"/>
      <c r="C12" s="288"/>
      <c r="D12" s="288"/>
      <c r="E12" s="288"/>
      <c r="F12" s="288"/>
      <c r="G12" s="288"/>
      <c r="H12" s="288"/>
      <c r="I12" s="288" t="s">
        <v>487</v>
      </c>
      <c r="J12" s="293">
        <f t="shared" si="1"/>
        <v>183687.24</v>
      </c>
      <c r="K12" s="293">
        <f t="shared" si="2"/>
        <v>367374.48</v>
      </c>
      <c r="L12" s="293">
        <f t="shared" si="3"/>
        <v>559893.84</v>
      </c>
      <c r="M12" s="293">
        <f t="shared" si="4"/>
        <v>753943.74</v>
      </c>
      <c r="V12" t="s">
        <v>487</v>
      </c>
      <c r="W12">
        <v>183687.24</v>
      </c>
      <c r="X12">
        <v>367374.48</v>
      </c>
      <c r="Y12">
        <v>559893.84</v>
      </c>
      <c r="Z12">
        <v>753943.74</v>
      </c>
    </row>
    <row r="13" spans="1:26" ht="18.5">
      <c r="B13" s="288"/>
      <c r="C13" s="288"/>
      <c r="D13" s="288"/>
      <c r="E13" s="288"/>
      <c r="F13" s="288"/>
      <c r="G13" s="288"/>
      <c r="H13" s="288"/>
      <c r="I13" s="288"/>
      <c r="J13" s="293">
        <f t="shared" si="1"/>
        <v>0</v>
      </c>
      <c r="K13" s="293">
        <f t="shared" si="2"/>
        <v>0</v>
      </c>
      <c r="L13" s="293">
        <f t="shared" si="3"/>
        <v>0</v>
      </c>
      <c r="M13" s="293">
        <f t="shared" si="4"/>
        <v>0</v>
      </c>
    </row>
    <row r="14" spans="1:26" ht="18.5">
      <c r="B14" s="288"/>
      <c r="C14" s="288"/>
      <c r="D14" s="288"/>
      <c r="E14" s="288"/>
      <c r="F14" s="288"/>
      <c r="G14" s="288"/>
      <c r="H14" s="288"/>
      <c r="I14" s="288" t="s">
        <v>519</v>
      </c>
      <c r="J14" s="293">
        <f t="shared" si="1"/>
        <v>328596</v>
      </c>
      <c r="K14" s="293">
        <f t="shared" si="2"/>
        <v>657192</v>
      </c>
      <c r="L14" s="293">
        <f t="shared" si="3"/>
        <v>1001601</v>
      </c>
      <c r="M14" s="293">
        <f t="shared" si="4"/>
        <v>1348744</v>
      </c>
      <c r="U14">
        <v>10</v>
      </c>
      <c r="V14" t="s">
        <v>519</v>
      </c>
      <c r="W14">
        <v>328596</v>
      </c>
      <c r="X14">
        <v>657192</v>
      </c>
      <c r="Y14">
        <v>1001601</v>
      </c>
      <c r="Z14">
        <v>1348744</v>
      </c>
    </row>
    <row r="15" spans="1:26" ht="18.5">
      <c r="B15" s="288"/>
      <c r="C15" s="288"/>
      <c r="D15" s="288"/>
      <c r="E15" s="288"/>
      <c r="F15" s="288"/>
      <c r="G15" s="288"/>
      <c r="H15" s="288"/>
      <c r="I15" s="288"/>
      <c r="J15" s="293">
        <f t="shared" si="1"/>
        <v>0</v>
      </c>
      <c r="K15" s="293">
        <f t="shared" si="2"/>
        <v>0</v>
      </c>
      <c r="L15" s="293">
        <f t="shared" si="3"/>
        <v>0</v>
      </c>
      <c r="M15" s="293">
        <f t="shared" si="4"/>
        <v>0</v>
      </c>
    </row>
    <row r="16" spans="1:26" ht="18.5">
      <c r="B16" s="288"/>
      <c r="C16" s="288"/>
      <c r="D16" s="288"/>
      <c r="E16" s="288"/>
      <c r="F16" s="288"/>
      <c r="G16" s="288"/>
      <c r="H16" s="288"/>
      <c r="I16" s="288" t="s">
        <v>490</v>
      </c>
      <c r="J16" s="293">
        <f t="shared" si="1"/>
        <v>8945461.5</v>
      </c>
      <c r="K16" s="293">
        <f t="shared" si="2"/>
        <v>17890923</v>
      </c>
      <c r="L16" s="293">
        <f t="shared" si="3"/>
        <v>27259942.5</v>
      </c>
      <c r="M16" s="293">
        <f t="shared" si="4"/>
        <v>36702325</v>
      </c>
      <c r="V16" t="s">
        <v>490</v>
      </c>
      <c r="W16">
        <v>8945461.5</v>
      </c>
      <c r="X16">
        <v>17890923</v>
      </c>
      <c r="Y16">
        <v>27259942.5</v>
      </c>
      <c r="Z16">
        <v>36702325</v>
      </c>
    </row>
    <row r="17" spans="2:26" ht="18.5">
      <c r="B17" s="288"/>
      <c r="C17" s="288"/>
      <c r="D17" s="288"/>
      <c r="E17" s="288"/>
      <c r="F17" s="288"/>
      <c r="G17" s="288"/>
      <c r="H17" s="288"/>
      <c r="I17" s="288" t="s">
        <v>491</v>
      </c>
      <c r="J17" s="293">
        <f t="shared" si="1"/>
        <v>1923345.3336000002</v>
      </c>
      <c r="K17" s="293">
        <f t="shared" si="2"/>
        <v>3846690.6672000005</v>
      </c>
      <c r="L17" s="293">
        <f t="shared" si="3"/>
        <v>5861069.7741</v>
      </c>
      <c r="M17" s="293">
        <f t="shared" si="4"/>
        <v>7891217.1904000007</v>
      </c>
      <c r="V17" t="s">
        <v>491</v>
      </c>
      <c r="W17">
        <v>1923345.3336000002</v>
      </c>
      <c r="X17">
        <v>3846690.6672000005</v>
      </c>
      <c r="Y17">
        <v>5861069.7741</v>
      </c>
      <c r="Z17">
        <v>7891217.1904000007</v>
      </c>
    </row>
    <row r="18" spans="2:26" ht="18.5"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</row>
    <row r="19" spans="2:26" ht="18.5">
      <c r="B19" s="288"/>
      <c r="C19" s="288"/>
      <c r="D19" s="288"/>
      <c r="E19" s="288"/>
      <c r="F19" s="288"/>
      <c r="G19" s="288"/>
      <c r="H19" s="288"/>
      <c r="I19" s="288" t="s">
        <v>520</v>
      </c>
      <c r="J19" s="288"/>
      <c r="K19" s="288"/>
      <c r="L19" s="288"/>
      <c r="M19" s="288"/>
      <c r="V19" t="s">
        <v>520</v>
      </c>
    </row>
    <row r="20" spans="2:26" ht="18.5">
      <c r="B20" s="288"/>
      <c r="C20" s="288"/>
      <c r="D20" s="288"/>
      <c r="E20" s="288"/>
      <c r="F20" s="288"/>
      <c r="G20" s="288"/>
      <c r="H20" s="288"/>
      <c r="I20" s="288" t="s">
        <v>261</v>
      </c>
      <c r="J20" s="289">
        <f>W20</f>
        <v>518.70000000000005</v>
      </c>
      <c r="K20" s="288"/>
      <c r="L20" s="288"/>
      <c r="M20" s="288"/>
      <c r="V20" t="s">
        <v>261</v>
      </c>
      <c r="W20">
        <v>518.70000000000005</v>
      </c>
    </row>
    <row r="21" spans="2:26" ht="18.5">
      <c r="B21" s="288"/>
      <c r="C21" s="288"/>
      <c r="D21" s="288"/>
      <c r="E21" s="288"/>
      <c r="F21" s="288"/>
      <c r="G21" s="288"/>
      <c r="H21" s="288"/>
      <c r="I21" s="288" t="s">
        <v>518</v>
      </c>
      <c r="J21" s="289">
        <f t="shared" ref="J21:J27" si="6">W21</f>
        <v>4693.5770000000002</v>
      </c>
      <c r="K21" s="288"/>
      <c r="L21" s="288"/>
      <c r="M21" s="288"/>
      <c r="V21" t="s">
        <v>518</v>
      </c>
      <c r="W21">
        <v>4693.5770000000002</v>
      </c>
    </row>
    <row r="22" spans="2:26" ht="18.5">
      <c r="B22" s="288"/>
      <c r="C22" s="288"/>
      <c r="D22" s="288"/>
      <c r="E22" s="288"/>
      <c r="F22" s="288"/>
      <c r="G22" s="288"/>
      <c r="H22" s="288"/>
      <c r="I22" s="288" t="s">
        <v>262</v>
      </c>
      <c r="J22" s="289">
        <f t="shared" si="6"/>
        <v>31490.047999999999</v>
      </c>
      <c r="K22" s="288"/>
      <c r="L22" s="288"/>
      <c r="M22" s="288"/>
      <c r="V22" t="s">
        <v>262</v>
      </c>
      <c r="W22">
        <v>31490.047999999999</v>
      </c>
    </row>
    <row r="23" spans="2:26" ht="18.5">
      <c r="B23" s="288"/>
      <c r="C23" s="288"/>
      <c r="D23" s="288"/>
      <c r="E23" s="288"/>
      <c r="F23" s="288"/>
      <c r="G23" s="288"/>
      <c r="H23" s="288"/>
      <c r="I23" s="288"/>
      <c r="J23" s="289">
        <f t="shared" si="6"/>
        <v>0</v>
      </c>
      <c r="K23" s="288"/>
      <c r="L23" s="288"/>
      <c r="M23" s="288"/>
    </row>
    <row r="24" spans="2:26" ht="18.5">
      <c r="B24" s="288"/>
      <c r="C24" s="288"/>
      <c r="D24" s="288"/>
      <c r="E24" s="288"/>
      <c r="F24" s="288"/>
      <c r="G24" s="288"/>
      <c r="H24" s="288"/>
      <c r="I24" s="288" t="s">
        <v>40</v>
      </c>
      <c r="J24" s="289">
        <f t="shared" si="6"/>
        <v>0</v>
      </c>
      <c r="K24" s="288"/>
      <c r="L24" s="288"/>
      <c r="M24" s="288"/>
      <c r="V24" t="s">
        <v>40</v>
      </c>
    </row>
    <row r="25" spans="2:26" ht="18.5">
      <c r="B25" s="288"/>
      <c r="C25" s="288"/>
      <c r="D25" s="288"/>
      <c r="E25" s="288"/>
      <c r="F25" s="288"/>
      <c r="G25" s="288"/>
      <c r="H25" s="288"/>
      <c r="I25" s="288" t="s">
        <v>261</v>
      </c>
      <c r="J25" s="289">
        <f t="shared" si="6"/>
        <v>632.81400000000008</v>
      </c>
      <c r="K25" s="288"/>
      <c r="L25" s="288"/>
      <c r="M25" s="288"/>
      <c r="V25" t="s">
        <v>261</v>
      </c>
      <c r="W25">
        <v>632.81400000000008</v>
      </c>
    </row>
    <row r="26" spans="2:26" ht="18.5">
      <c r="B26" s="288"/>
      <c r="C26" s="288"/>
      <c r="D26" s="288"/>
      <c r="E26" s="288"/>
      <c r="F26" s="288"/>
      <c r="G26" s="288"/>
      <c r="H26" s="288"/>
      <c r="I26" s="288" t="s">
        <v>518</v>
      </c>
      <c r="J26" s="289">
        <f t="shared" si="6"/>
        <v>5726.1639399999995</v>
      </c>
      <c r="K26" s="288"/>
      <c r="L26" s="288"/>
      <c r="M26" s="288"/>
      <c r="V26" t="s">
        <v>518</v>
      </c>
      <c r="W26">
        <v>5726.1639399999995</v>
      </c>
    </row>
    <row r="27" spans="2:26" ht="18.5">
      <c r="B27" s="288"/>
      <c r="C27" s="288"/>
      <c r="D27" s="288"/>
      <c r="E27" s="288"/>
      <c r="F27" s="288"/>
      <c r="G27" s="288"/>
      <c r="H27" s="288"/>
      <c r="I27" s="288" t="s">
        <v>262</v>
      </c>
      <c r="J27" s="289">
        <f t="shared" si="6"/>
        <v>38234.564250399999</v>
      </c>
      <c r="K27" s="288"/>
      <c r="L27" s="288"/>
      <c r="M27" s="288"/>
      <c r="V27" t="s">
        <v>262</v>
      </c>
      <c r="W27">
        <v>38234.564250399999</v>
      </c>
    </row>
    <row r="28" spans="2:26" ht="14.5"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2:26" ht="14.5">
      <c r="B29" s="291"/>
      <c r="C29" s="291"/>
      <c r="D29" s="291"/>
      <c r="E29" s="291"/>
      <c r="F29" s="291"/>
      <c r="G29" s="291"/>
      <c r="H29" s="291"/>
      <c r="I29" s="291" t="s">
        <v>521</v>
      </c>
      <c r="J29" s="291"/>
      <c r="K29" s="291"/>
      <c r="L29" s="291"/>
      <c r="M29" s="291"/>
      <c r="V29" t="s">
        <v>521</v>
      </c>
    </row>
    <row r="30" spans="2:26" ht="14.5">
      <c r="B30" s="291"/>
      <c r="C30" s="291"/>
      <c r="D30" s="291"/>
      <c r="E30" s="291"/>
      <c r="F30" s="291"/>
      <c r="G30" s="291"/>
      <c r="H30" s="291">
        <v>1</v>
      </c>
      <c r="I30" s="291" t="s">
        <v>261</v>
      </c>
      <c r="J30" s="292">
        <f>W30</f>
        <v>43225</v>
      </c>
      <c r="K30" s="291" t="s">
        <v>489</v>
      </c>
      <c r="L30" s="291"/>
      <c r="M30" s="291"/>
      <c r="U30">
        <v>1</v>
      </c>
      <c r="V30" t="s">
        <v>261</v>
      </c>
      <c r="W30">
        <v>43225</v>
      </c>
      <c r="X30" t="s">
        <v>489</v>
      </c>
    </row>
    <row r="31" spans="2:26" ht="14.5">
      <c r="B31" s="291"/>
      <c r="C31" s="291"/>
      <c r="D31" s="291"/>
      <c r="E31" s="291"/>
      <c r="F31" s="291"/>
      <c r="G31" s="291"/>
      <c r="H31" s="291">
        <f>U31</f>
        <v>12.5</v>
      </c>
      <c r="I31" s="291" t="s">
        <v>518</v>
      </c>
      <c r="J31" s="292">
        <f t="shared" ref="J31:J32" si="7">W31</f>
        <v>31290.513333333336</v>
      </c>
      <c r="K31" s="291" t="s">
        <v>522</v>
      </c>
      <c r="L31" s="291"/>
      <c r="M31" s="291"/>
      <c r="U31">
        <v>12.5</v>
      </c>
      <c r="V31" t="s">
        <v>518</v>
      </c>
      <c r="W31">
        <v>31290.513333333336</v>
      </c>
      <c r="X31" t="s">
        <v>522</v>
      </c>
    </row>
    <row r="32" spans="2:26" ht="14.5">
      <c r="B32" s="291"/>
      <c r="C32" s="291"/>
      <c r="D32" s="291"/>
      <c r="E32" s="291"/>
      <c r="F32" s="291"/>
      <c r="G32" s="291"/>
      <c r="H32" s="291">
        <f>E2-H30-H31</f>
        <v>239</v>
      </c>
      <c r="I32" s="291" t="s">
        <v>262</v>
      </c>
      <c r="J32" s="292">
        <f t="shared" si="7"/>
        <v>10979.793584379358</v>
      </c>
      <c r="K32" s="291" t="s">
        <v>522</v>
      </c>
      <c r="L32" s="291"/>
      <c r="M32" s="291"/>
      <c r="U32">
        <v>239</v>
      </c>
      <c r="V32" t="s">
        <v>262</v>
      </c>
      <c r="W32">
        <v>10979.793584379358</v>
      </c>
      <c r="X32" t="s">
        <v>522</v>
      </c>
    </row>
    <row r="33" spans="2:24" ht="14.5"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</row>
    <row r="34" spans="2:24" ht="14.5">
      <c r="B34" s="291"/>
      <c r="C34" s="291"/>
      <c r="D34" s="291"/>
      <c r="E34" s="291"/>
      <c r="F34" s="291"/>
      <c r="G34" s="291"/>
      <c r="H34" s="291"/>
      <c r="I34" s="291" t="s">
        <v>523</v>
      </c>
      <c r="J34" s="291"/>
      <c r="K34" s="291"/>
      <c r="L34" s="291"/>
      <c r="M34" s="291"/>
      <c r="V34" t="s">
        <v>523</v>
      </c>
    </row>
    <row r="35" spans="2:24" ht="14.5">
      <c r="B35" s="291"/>
      <c r="C35" s="291"/>
      <c r="D35" s="291"/>
      <c r="E35" s="291"/>
      <c r="F35" s="291"/>
      <c r="G35" s="291"/>
      <c r="H35" s="291">
        <v>1</v>
      </c>
      <c r="I35" s="291" t="s">
        <v>261</v>
      </c>
      <c r="J35" s="292">
        <f>W35</f>
        <v>43225</v>
      </c>
      <c r="K35" s="291" t="s">
        <v>489</v>
      </c>
      <c r="L35" s="291"/>
      <c r="M35" s="291"/>
      <c r="U35">
        <v>1</v>
      </c>
      <c r="V35" t="s">
        <v>261</v>
      </c>
      <c r="W35">
        <v>43225</v>
      </c>
      <c r="X35" t="s">
        <v>489</v>
      </c>
    </row>
    <row r="36" spans="2:24" ht="14.5">
      <c r="B36" s="291"/>
      <c r="C36" s="291"/>
      <c r="D36" s="291"/>
      <c r="E36" s="291"/>
      <c r="F36" s="291"/>
      <c r="G36" s="291"/>
      <c r="H36" s="291">
        <f>H31</f>
        <v>12.5</v>
      </c>
      <c r="I36" s="291" t="s">
        <v>518</v>
      </c>
      <c r="J36" s="292">
        <f t="shared" ref="J36:J37" si="8">W36</f>
        <v>31290.513333333336</v>
      </c>
      <c r="K36" s="291" t="s">
        <v>524</v>
      </c>
      <c r="L36" s="291"/>
      <c r="M36" s="291"/>
      <c r="U36">
        <v>12.5</v>
      </c>
      <c r="V36" t="s">
        <v>518</v>
      </c>
      <c r="W36">
        <v>31290.513333333336</v>
      </c>
      <c r="X36" t="s">
        <v>524</v>
      </c>
    </row>
    <row r="37" spans="2:24" ht="14.5">
      <c r="B37" s="291"/>
      <c r="C37" s="291"/>
      <c r="D37" s="291"/>
      <c r="E37" s="291"/>
      <c r="F37" s="291"/>
      <c r="G37" s="291"/>
      <c r="H37" s="291">
        <f>H32</f>
        <v>239</v>
      </c>
      <c r="I37" s="291" t="s">
        <v>262</v>
      </c>
      <c r="J37" s="292">
        <f t="shared" si="8"/>
        <v>10979.793584379358</v>
      </c>
      <c r="K37" s="291" t="s">
        <v>524</v>
      </c>
      <c r="L37" s="291"/>
      <c r="M37" s="291"/>
      <c r="U37">
        <v>239</v>
      </c>
      <c r="V37" t="s">
        <v>262</v>
      </c>
      <c r="W37">
        <v>10979.793584379358</v>
      </c>
      <c r="X37" t="s">
        <v>524</v>
      </c>
    </row>
  </sheetData>
  <mergeCells count="1">
    <mergeCell ref="F9:F10"/>
  </mergeCells>
  <phoneticPr fontId="4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L229"/>
  <sheetViews>
    <sheetView view="pageBreakPreview" topLeftCell="A49" zoomScale="80" zoomScaleNormal="100" zoomScaleSheetLayoutView="80" workbookViewId="0">
      <selection activeCell="H12" sqref="H12"/>
    </sheetView>
  </sheetViews>
  <sheetFormatPr defaultColWidth="9.1796875" defaultRowHeight="18"/>
  <cols>
    <col min="1" max="1" width="50.26953125" style="1" customWidth="1"/>
    <col min="2" max="2" width="16.81640625" style="10" customWidth="1"/>
    <col min="3" max="3" width="14.54296875" style="10" customWidth="1"/>
    <col min="4" max="4" width="15.54296875" style="10" customWidth="1"/>
    <col min="5" max="5" width="16.453125" style="10" customWidth="1"/>
    <col min="6" max="6" width="18.453125" style="10" customWidth="1"/>
    <col min="7" max="7" width="15.7265625" style="1" customWidth="1"/>
    <col min="8" max="9" width="16" style="1" customWidth="1"/>
    <col min="10" max="10" width="17.7265625" style="1" customWidth="1"/>
    <col min="11" max="11" width="10" style="1" customWidth="1"/>
    <col min="12" max="12" width="9.54296875" style="1" customWidth="1"/>
    <col min="13" max="14" width="9.1796875" style="1"/>
    <col min="15" max="15" width="10.54296875" style="1" customWidth="1"/>
    <col min="16" max="16384" width="9.1796875" style="1"/>
  </cols>
  <sheetData>
    <row r="1" spans="1:12" ht="20.149999999999999" customHeight="1">
      <c r="B1" s="1"/>
      <c r="C1" s="1"/>
      <c r="D1" s="1"/>
      <c r="E1" s="1"/>
      <c r="F1" s="1"/>
    </row>
    <row r="2" spans="1:12" ht="19.5" customHeight="1">
      <c r="A2" s="11"/>
      <c r="B2" s="1"/>
      <c r="D2" s="1"/>
      <c r="E2" s="1"/>
      <c r="F2" s="1"/>
      <c r="G2" s="146"/>
      <c r="H2" s="146"/>
      <c r="I2" s="146"/>
      <c r="J2" s="146"/>
    </row>
    <row r="3" spans="1:12" ht="20">
      <c r="A3" s="360" t="s">
        <v>553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2" ht="21" customHeight="1">
      <c r="A4" s="9"/>
      <c r="B4" s="9"/>
      <c r="C4" s="9"/>
      <c r="D4" s="9"/>
      <c r="E4" s="9"/>
      <c r="F4" s="9"/>
      <c r="G4" s="9"/>
      <c r="H4" s="9"/>
      <c r="I4" s="9"/>
      <c r="J4" s="148"/>
    </row>
    <row r="5" spans="1:12" ht="30.75" customHeight="1">
      <c r="A5" s="359" t="s">
        <v>213</v>
      </c>
      <c r="B5" s="359"/>
      <c r="C5" s="359"/>
      <c r="D5" s="359"/>
      <c r="E5" s="359"/>
      <c r="F5" s="359"/>
      <c r="G5" s="359"/>
      <c r="H5" s="359"/>
      <c r="I5" s="359"/>
      <c r="J5" s="359"/>
    </row>
    <row r="6" spans="1:12" ht="22.5" customHeight="1">
      <c r="B6" s="11"/>
      <c r="C6" s="43">
        <v>15</v>
      </c>
      <c r="D6" s="147"/>
      <c r="E6" s="147"/>
      <c r="F6" s="147"/>
      <c r="G6" s="214"/>
      <c r="H6" s="214"/>
      <c r="I6" s="214"/>
      <c r="J6" s="214"/>
    </row>
    <row r="7" spans="1:12" ht="31.5" customHeight="1">
      <c r="A7" s="367" t="s">
        <v>263</v>
      </c>
      <c r="B7" s="370" t="s">
        <v>15</v>
      </c>
      <c r="C7" s="365" t="s">
        <v>29</v>
      </c>
      <c r="D7" s="365" t="s">
        <v>37</v>
      </c>
      <c r="E7" s="370" t="s">
        <v>142</v>
      </c>
      <c r="F7" s="368" t="s">
        <v>174</v>
      </c>
      <c r="G7" s="362" t="s">
        <v>264</v>
      </c>
      <c r="H7" s="363"/>
      <c r="I7" s="363"/>
      <c r="J7" s="364"/>
    </row>
    <row r="8" spans="1:12" ht="54.75" customHeight="1">
      <c r="A8" s="367"/>
      <c r="B8" s="370"/>
      <c r="C8" s="366"/>
      <c r="D8" s="366"/>
      <c r="E8" s="370"/>
      <c r="F8" s="369"/>
      <c r="G8" s="286" t="s">
        <v>257</v>
      </c>
      <c r="H8" s="286" t="s">
        <v>258</v>
      </c>
      <c r="I8" s="286" t="s">
        <v>259</v>
      </c>
      <c r="J8" s="286" t="s">
        <v>343</v>
      </c>
      <c r="K8" s="285" t="s">
        <v>591</v>
      </c>
      <c r="L8" s="285"/>
    </row>
    <row r="9" spans="1:12" ht="20.149999999999999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2" ht="25" customHeight="1">
      <c r="A10" s="361" t="s">
        <v>105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12" ht="36">
      <c r="A11" s="23" t="s">
        <v>214</v>
      </c>
      <c r="B11" s="3">
        <f>'I. Фін результат'!B7</f>
        <v>1000</v>
      </c>
      <c r="C11" s="37">
        <f>'I. Фін результат'!C7</f>
        <v>29078</v>
      </c>
      <c r="D11" s="37">
        <f>'I. Фін результат'!D7</f>
        <v>52706</v>
      </c>
      <c r="E11" s="37">
        <f>'I. Фін результат'!J7</f>
        <v>33827.563333333332</v>
      </c>
      <c r="F11" s="37">
        <f>'I. Фін результат'!F7</f>
        <v>25605.333333333336</v>
      </c>
      <c r="G11" s="36">
        <f>E11*105%</f>
        <v>35518.941500000001</v>
      </c>
      <c r="H11" s="36">
        <f t="shared" ref="H11:J12" si="0">G11*105%</f>
        <v>37294.888575000004</v>
      </c>
      <c r="I11" s="36">
        <f t="shared" si="0"/>
        <v>39159.633003750008</v>
      </c>
      <c r="J11" s="36">
        <f t="shared" si="0"/>
        <v>41117.614653937511</v>
      </c>
    </row>
    <row r="12" spans="1:12" ht="36">
      <c r="A12" s="23" t="s">
        <v>182</v>
      </c>
      <c r="B12" s="3">
        <f>'I. Фін результат'!B9</f>
        <v>1010</v>
      </c>
      <c r="C12" s="37">
        <f>'I. Фін результат'!C9</f>
        <v>22676</v>
      </c>
      <c r="D12" s="37">
        <f>'I. Фін результат'!D9</f>
        <v>39833</v>
      </c>
      <c r="E12" s="37">
        <f>'I. Фін результат'!J9</f>
        <v>49622.182110399997</v>
      </c>
      <c r="F12" s="37">
        <f>'I. Фін результат'!F9</f>
        <v>31830.666666666664</v>
      </c>
      <c r="G12" s="36">
        <f>E12*105%</f>
        <v>52103.291215919999</v>
      </c>
      <c r="H12" s="36">
        <f t="shared" si="0"/>
        <v>54708.455776716</v>
      </c>
      <c r="I12" s="36">
        <f t="shared" si="0"/>
        <v>57443.8785655518</v>
      </c>
      <c r="J12" s="36">
        <f t="shared" si="0"/>
        <v>60316.072493829393</v>
      </c>
    </row>
    <row r="13" spans="1:12" ht="20.149999999999999" customHeight="1">
      <c r="A13" s="50" t="s">
        <v>294</v>
      </c>
      <c r="B13" s="3">
        <f>'I. Фін результат'!B29</f>
        <v>1020</v>
      </c>
      <c r="C13" s="37">
        <f>'I. Фін результат'!C29</f>
        <v>6402</v>
      </c>
      <c r="D13" s="37">
        <f>'I. Фін результат'!D29</f>
        <v>12873</v>
      </c>
      <c r="E13" s="37">
        <f>'I. Фін результат'!J29</f>
        <v>-15794.618777066666</v>
      </c>
      <c r="F13" s="37">
        <f>F11-F12</f>
        <v>-6225.3333333333285</v>
      </c>
      <c r="G13" s="37">
        <f t="shared" ref="G13:J13" si="1">G11-G12</f>
        <v>-16584.349715919998</v>
      </c>
      <c r="H13" s="37">
        <f t="shared" si="1"/>
        <v>-17413.567201715996</v>
      </c>
      <c r="I13" s="37">
        <f t="shared" si="1"/>
        <v>-18284.245561801792</v>
      </c>
      <c r="J13" s="37">
        <f t="shared" si="1"/>
        <v>-19198.457839891882</v>
      </c>
    </row>
    <row r="14" spans="1:12" ht="20.149999999999999" customHeight="1">
      <c r="A14" s="23" t="s">
        <v>147</v>
      </c>
      <c r="B14" s="3">
        <f>'I. Фін результат'!B35</f>
        <v>1040</v>
      </c>
      <c r="C14" s="37">
        <f>'I. Фін результат'!C35</f>
        <v>5731</v>
      </c>
      <c r="D14" s="37">
        <f>'I. Фін результат'!D35</f>
        <v>7414</v>
      </c>
      <c r="E14" s="37">
        <f>'I. Фін результат'!J35</f>
        <v>8147.1906633333329</v>
      </c>
      <c r="F14" s="37">
        <f>'I. Фін результат'!F35</f>
        <v>5954.6666666666661</v>
      </c>
      <c r="G14" s="36">
        <f t="shared" ref="G14:G24" si="2">E14*105%</f>
        <v>8554.5501965000003</v>
      </c>
      <c r="H14" s="36">
        <f>G14*105%</f>
        <v>8982.2777063250014</v>
      </c>
      <c r="I14" s="36">
        <f t="shared" ref="I14:J14" si="3">H14*105%</f>
        <v>9431.3915916412516</v>
      </c>
      <c r="J14" s="36">
        <f t="shared" si="3"/>
        <v>9902.9611712233145</v>
      </c>
    </row>
    <row r="15" spans="1:12" ht="20.149999999999999" customHeight="1">
      <c r="A15" s="23" t="s">
        <v>144</v>
      </c>
      <c r="B15" s="3">
        <f>'I. Фін результат'!B67</f>
        <v>1070</v>
      </c>
      <c r="C15" s="37">
        <f>'I. Фін результат'!C67</f>
        <v>1955</v>
      </c>
      <c r="D15" s="37">
        <f>'I. Фін результат'!D67</f>
        <v>4535</v>
      </c>
      <c r="E15" s="37">
        <f>'I. Фін результат'!J67</f>
        <v>5189.6319299999996</v>
      </c>
      <c r="F15" s="37">
        <f>'I. Фін результат'!F67</f>
        <v>2516</v>
      </c>
      <c r="G15" s="36">
        <f t="shared" si="2"/>
        <v>5449.1135264999994</v>
      </c>
      <c r="H15" s="36">
        <f t="shared" ref="H15:J15" si="4">G15*105%</f>
        <v>5721.5692028249996</v>
      </c>
      <c r="I15" s="36">
        <f t="shared" si="4"/>
        <v>6007.6476629662502</v>
      </c>
      <c r="J15" s="36">
        <f t="shared" si="4"/>
        <v>6308.0300461145625</v>
      </c>
    </row>
    <row r="16" spans="1:12" ht="20.149999999999999" customHeight="1">
      <c r="A16" s="23" t="s">
        <v>148</v>
      </c>
      <c r="B16" s="3">
        <f>'I. Фін результат'!B123</f>
        <v>1300</v>
      </c>
      <c r="C16" s="37">
        <f>'I. Фін результат'!C123</f>
        <v>-96</v>
      </c>
      <c r="D16" s="37">
        <f>'I. Фін результат'!D123</f>
        <v>0</v>
      </c>
      <c r="E16" s="37">
        <f>'I. Фін результат'!J123</f>
        <v>29417</v>
      </c>
      <c r="F16" s="37">
        <f>'I. Фін результат'!F123</f>
        <v>14278.933333333331</v>
      </c>
      <c r="G16" s="36">
        <f t="shared" si="2"/>
        <v>30887.850000000002</v>
      </c>
      <c r="H16" s="36">
        <f t="shared" ref="H16:J18" si="5">G16*105%</f>
        <v>32432.242500000004</v>
      </c>
      <c r="I16" s="36">
        <f t="shared" si="5"/>
        <v>34053.854625000007</v>
      </c>
      <c r="J16" s="36">
        <f t="shared" si="5"/>
        <v>35756.547356250012</v>
      </c>
    </row>
    <row r="17" spans="1:11" ht="35">
      <c r="A17" s="25" t="s">
        <v>2</v>
      </c>
      <c r="B17" s="3">
        <f>'I. Фін результат'!B99</f>
        <v>1100</v>
      </c>
      <c r="C17" s="37">
        <f>'I. Фін результат'!C99</f>
        <v>-1380</v>
      </c>
      <c r="D17" s="37">
        <f>'I. Фін результат'!D99</f>
        <v>924</v>
      </c>
      <c r="E17" s="37">
        <f>'I. Фін результат'!J99</f>
        <v>285.55862960000195</v>
      </c>
      <c r="F17" s="37">
        <f>'I. Фін результат'!F99</f>
        <v>-417.06666666666388</v>
      </c>
      <c r="G17" s="36">
        <f t="shared" ref="G17" si="6">E17*105%</f>
        <v>299.83656108000207</v>
      </c>
      <c r="H17" s="36">
        <f t="shared" si="5"/>
        <v>314.82838913400218</v>
      </c>
      <c r="I17" s="36">
        <f t="shared" si="5"/>
        <v>330.56980859070228</v>
      </c>
      <c r="J17" s="36">
        <f t="shared" si="5"/>
        <v>347.09829902023739</v>
      </c>
      <c r="K17" s="42"/>
    </row>
    <row r="18" spans="1:11" ht="20.149999999999999" customHeight="1">
      <c r="A18" s="25" t="s">
        <v>149</v>
      </c>
      <c r="B18" s="3">
        <f>'I. Фін результат'!B134</f>
        <v>1410</v>
      </c>
      <c r="C18" s="37">
        <f>'I. Фін результат'!C134</f>
        <v>-511</v>
      </c>
      <c r="D18" s="37">
        <f>'I. Фін результат'!D134</f>
        <v>1928</v>
      </c>
      <c r="E18" s="37">
        <f>'I. Фін результат'!J134</f>
        <v>1414.0092962666686</v>
      </c>
      <c r="F18" s="37">
        <f>'I. Фін результат'!F134</f>
        <v>646.93333333333612</v>
      </c>
      <c r="G18" s="36">
        <f t="shared" ref="G18" si="7">E18*105%</f>
        <v>1484.709761080002</v>
      </c>
      <c r="H18" s="36">
        <f t="shared" si="5"/>
        <v>1558.9452491340021</v>
      </c>
      <c r="I18" s="36">
        <f t="shared" si="5"/>
        <v>1636.8925115907023</v>
      </c>
      <c r="J18" s="36">
        <f t="shared" si="5"/>
        <v>1718.7371371702375</v>
      </c>
    </row>
    <row r="19" spans="1:11" ht="20.149999999999999" customHeight="1">
      <c r="A19" s="26" t="s">
        <v>236</v>
      </c>
      <c r="B19" s="3">
        <f>' V. Коефіцієнти'!B8</f>
        <v>5010</v>
      </c>
      <c r="C19" s="210">
        <f>' V. Коефіцієнти'!D8</f>
        <v>-1.7573423206547905</v>
      </c>
      <c r="D19" s="37">
        <f>D18*100/D11</f>
        <v>3.6580275490456495</v>
      </c>
      <c r="E19" s="37">
        <f>' V. Коефіцієнти'!H8</f>
        <v>4.1800506951481147</v>
      </c>
      <c r="F19" s="37">
        <f>' V. Коефіцієнти'!G8</f>
        <v>2.52655696729849</v>
      </c>
      <c r="G19" s="36">
        <f t="shared" si="2"/>
        <v>4.3890532299055209</v>
      </c>
      <c r="H19" s="36">
        <f t="shared" ref="H19:J19" si="8">G19*105%</f>
        <v>4.6085058914007968</v>
      </c>
      <c r="I19" s="36">
        <f t="shared" si="8"/>
        <v>4.8389311859708366</v>
      </c>
      <c r="J19" s="36">
        <f t="shared" si="8"/>
        <v>5.0808777452693787</v>
      </c>
    </row>
    <row r="20" spans="1:11" ht="36">
      <c r="A20" s="26" t="s">
        <v>150</v>
      </c>
      <c r="B20" s="3">
        <f>'I. Фін результат'!B124</f>
        <v>1310</v>
      </c>
      <c r="C20" s="37">
        <f>'I. Фін результат'!C124</f>
        <v>0</v>
      </c>
      <c r="D20" s="37">
        <f>'I. Фін результат'!D124</f>
        <v>0</v>
      </c>
      <c r="E20" s="37">
        <f>'I. Фін результат'!J124</f>
        <v>0</v>
      </c>
      <c r="F20" s="37">
        <f>'I. Фін результат'!F124</f>
        <v>1</v>
      </c>
      <c r="G20" s="36">
        <f t="shared" si="2"/>
        <v>0</v>
      </c>
      <c r="H20" s="36">
        <f t="shared" ref="H20:J20" si="9">G20*105%</f>
        <v>0</v>
      </c>
      <c r="I20" s="36">
        <f t="shared" si="9"/>
        <v>0</v>
      </c>
      <c r="J20" s="36">
        <f t="shared" si="9"/>
        <v>0</v>
      </c>
    </row>
    <row r="21" spans="1:11" ht="20.149999999999999" customHeight="1">
      <c r="A21" s="23" t="s">
        <v>241</v>
      </c>
      <c r="B21" s="3">
        <f>'I. Фін результат'!B125</f>
        <v>1320</v>
      </c>
      <c r="C21" s="37">
        <f>'I. Фін результат'!C125</f>
        <v>1390</v>
      </c>
      <c r="D21" s="37">
        <f>'I. Фін результат'!D125</f>
        <v>1004</v>
      </c>
      <c r="E21" s="37">
        <f>'I. Фін результат'!J125</f>
        <v>1128.4506666666666</v>
      </c>
      <c r="F21" s="37">
        <f>'I. Фін результат'!F125</f>
        <v>980.33333333333326</v>
      </c>
      <c r="G21" s="36">
        <f>E21*105%</f>
        <v>1184.8732</v>
      </c>
      <c r="H21" s="36">
        <f t="shared" ref="H21:J21" si="10">G21*105%</f>
        <v>1244.1168600000001</v>
      </c>
      <c r="I21" s="36">
        <f t="shared" si="10"/>
        <v>1306.322703</v>
      </c>
      <c r="J21" s="36">
        <f t="shared" si="10"/>
        <v>1371.6388381500001</v>
      </c>
    </row>
    <row r="22" spans="1:11">
      <c r="A22" s="25" t="s">
        <v>103</v>
      </c>
      <c r="B22" s="3">
        <f>'I. Фін результат'!B115</f>
        <v>1170</v>
      </c>
      <c r="C22" s="37">
        <f>'I. Фін результат'!C115</f>
        <v>10</v>
      </c>
      <c r="D22" s="37">
        <f>'I. Фін результат'!D115</f>
        <v>1928</v>
      </c>
      <c r="E22" s="37">
        <f>'I. Фін результат'!J115</f>
        <v>1414.0092962666686</v>
      </c>
      <c r="F22" s="37">
        <f>'I. Фін результат'!F115</f>
        <v>564.26666666666938</v>
      </c>
      <c r="G22" s="36">
        <f t="shared" si="2"/>
        <v>1484.709761080002</v>
      </c>
      <c r="H22" s="36">
        <f t="shared" ref="H22:J22" si="11">G22*105%</f>
        <v>1558.9452491340021</v>
      </c>
      <c r="I22" s="36">
        <f t="shared" si="11"/>
        <v>1636.8925115907023</v>
      </c>
      <c r="J22" s="36">
        <f t="shared" si="11"/>
        <v>1718.7371371702375</v>
      </c>
    </row>
    <row r="23" spans="1:11" ht="20.149999999999999" customHeight="1">
      <c r="A23" s="26" t="s">
        <v>145</v>
      </c>
      <c r="B23" s="3">
        <f>'I. Фін результат'!B116</f>
        <v>1180</v>
      </c>
      <c r="C23" s="37">
        <f>'I. Фін результат'!C116</f>
        <v>0</v>
      </c>
      <c r="D23" s="37">
        <f>'I. Фін результат'!D116</f>
        <v>347</v>
      </c>
      <c r="E23" s="37">
        <f>'I. Фін результат'!J116</f>
        <v>255</v>
      </c>
      <c r="F23" s="37">
        <f>'I. Фін результат'!F116</f>
        <v>0</v>
      </c>
      <c r="G23" s="36">
        <f t="shared" si="2"/>
        <v>267.75</v>
      </c>
      <c r="H23" s="36">
        <f t="shared" ref="H23:J23" si="12">G23*105%</f>
        <v>281.13749999999999</v>
      </c>
      <c r="I23" s="36">
        <f t="shared" si="12"/>
        <v>295.19437499999998</v>
      </c>
      <c r="J23" s="36">
        <f t="shared" si="12"/>
        <v>309.95409374999997</v>
      </c>
    </row>
    <row r="24" spans="1:11" ht="20.149999999999999" customHeight="1">
      <c r="A24" s="25" t="s">
        <v>237</v>
      </c>
      <c r="B24" s="3">
        <f>'I. Фін результат'!B118</f>
        <v>1200</v>
      </c>
      <c r="C24" s="37">
        <f>'I. Фін результат'!C118</f>
        <v>10</v>
      </c>
      <c r="D24" s="37">
        <f>'I. Фін результат'!D118</f>
        <v>1581</v>
      </c>
      <c r="E24" s="37">
        <f>'I. Фін результат'!J118</f>
        <v>1159.0092962666686</v>
      </c>
      <c r="F24" s="37">
        <f>'I. Фін результат'!F118</f>
        <v>564.26666666666938</v>
      </c>
      <c r="G24" s="36">
        <f t="shared" si="2"/>
        <v>1216.959761080002</v>
      </c>
      <c r="H24" s="36">
        <f t="shared" ref="H24:J24" si="13">G24*105%</f>
        <v>1277.8077491340021</v>
      </c>
      <c r="I24" s="36">
        <f t="shared" si="13"/>
        <v>1341.6981365907022</v>
      </c>
      <c r="J24" s="36">
        <f t="shared" si="13"/>
        <v>1408.7830434202374</v>
      </c>
    </row>
    <row r="25" spans="1:11" ht="20.149999999999999" customHeight="1">
      <c r="A25" s="26" t="s">
        <v>238</v>
      </c>
      <c r="B25" s="3">
        <f>' V. Коефіцієнти'!B11</f>
        <v>5040</v>
      </c>
      <c r="C25" s="215">
        <f t="shared" ref="C25:J25" si="14">C24/C11</f>
        <v>3.4390260678175943E-4</v>
      </c>
      <c r="D25" s="149">
        <f t="shared" si="14"/>
        <v>2.9996584829051719E-2</v>
      </c>
      <c r="E25" s="149">
        <f>E24/E11</f>
        <v>3.4262275554579856E-2</v>
      </c>
      <c r="F25" s="149">
        <f t="shared" si="14"/>
        <v>2.2037075609248176E-2</v>
      </c>
      <c r="G25" s="149">
        <f t="shared" si="14"/>
        <v>3.4262275554579856E-2</v>
      </c>
      <c r="H25" s="149">
        <f t="shared" si="14"/>
        <v>3.4262275554579849E-2</v>
      </c>
      <c r="I25" s="149">
        <f t="shared" si="14"/>
        <v>3.4262275554579849E-2</v>
      </c>
      <c r="J25" s="149">
        <f t="shared" si="14"/>
        <v>3.4262275554579849E-2</v>
      </c>
    </row>
    <row r="26" spans="1:11" ht="25" customHeight="1">
      <c r="A26" s="349" t="s">
        <v>162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1" ht="20.149999999999999" customHeight="1">
      <c r="A27" s="5" t="s">
        <v>348</v>
      </c>
      <c r="B27" s="3">
        <f>'ІІ. Розр. з бюджетом'!B19</f>
        <v>2100</v>
      </c>
      <c r="C27" s="37">
        <f>'ІІ. Розр. з бюджетом'!C19</f>
        <v>7</v>
      </c>
      <c r="D27" s="37">
        <f>'ІІ. Розр. з бюджетом'!D19</f>
        <v>1043.4000000000001</v>
      </c>
      <c r="E27" s="37">
        <f>'ІІ. Розр. з бюджетом'!J19</f>
        <v>765</v>
      </c>
      <c r="F27" s="37">
        <f>'ІІ. Розр. з бюджетом'!F19</f>
        <v>373</v>
      </c>
      <c r="G27" s="36">
        <f>ROUND(G24*66%,0)</f>
        <v>803</v>
      </c>
      <c r="H27" s="36">
        <f>ROUND(H24*66%,0)</f>
        <v>843</v>
      </c>
      <c r="I27" s="36">
        <f>ROUND(I24*66%,0)</f>
        <v>886</v>
      </c>
      <c r="J27" s="36">
        <f>ROUND(J24*66%,0)</f>
        <v>930</v>
      </c>
    </row>
    <row r="28" spans="1:11" ht="20.149999999999999" customHeight="1">
      <c r="A28" s="27" t="s">
        <v>161</v>
      </c>
      <c r="B28" s="3">
        <f>'ІІ. Розр. з бюджетом'!B22</f>
        <v>2110</v>
      </c>
      <c r="C28" s="37">
        <f>'ІІ. Розр. з бюджетом'!C22</f>
        <v>0</v>
      </c>
      <c r="D28" s="37">
        <f>'ІІ. Розр. з бюджетом'!D22</f>
        <v>347</v>
      </c>
      <c r="E28" s="37">
        <f>'ІІ. Розр. з бюджетом'!J22</f>
        <v>255</v>
      </c>
      <c r="F28" s="37">
        <f>'ІІ. Розр. з бюджетом'!F22</f>
        <v>0</v>
      </c>
      <c r="G28" s="36">
        <f>G23</f>
        <v>267.75</v>
      </c>
      <c r="H28" s="36">
        <f>H23</f>
        <v>281.13749999999999</v>
      </c>
      <c r="I28" s="36">
        <f>I23</f>
        <v>295.19437499999998</v>
      </c>
      <c r="J28" s="36">
        <f>J23</f>
        <v>309.95409374999997</v>
      </c>
    </row>
    <row r="29" spans="1:11" ht="54">
      <c r="A29" s="27" t="s">
        <v>344</v>
      </c>
      <c r="B29" s="3" t="s">
        <v>239</v>
      </c>
      <c r="C29" s="37">
        <f>SUM('ІІ. Розр. з бюджетом'!C23,'ІІ. Розр. з бюджетом'!C24)</f>
        <v>2625</v>
      </c>
      <c r="D29" s="37">
        <f>SUM('ІІ. Розр. з бюджетом'!D23,'ІІ. Розр. з бюджетом'!D24)</f>
        <v>748</v>
      </c>
      <c r="E29" s="37">
        <f>'ІІ. Розр. з бюджетом'!J23+'ІІ. Розр. з бюджетом'!J24</f>
        <v>747.8</v>
      </c>
      <c r="F29" s="37">
        <f>SUM('ІІ. Розр. з бюджетом'!F23,'ІІ. Розр. з бюджетом'!F24)</f>
        <v>747.8</v>
      </c>
      <c r="G29" s="36">
        <f>E29*105%</f>
        <v>785.18999999999994</v>
      </c>
      <c r="H29" s="36">
        <f t="shared" ref="H29:J31" si="15">G29*105%</f>
        <v>824.44949999999994</v>
      </c>
      <c r="I29" s="36">
        <f t="shared" si="15"/>
        <v>865.67197499999997</v>
      </c>
      <c r="J29" s="36">
        <f t="shared" si="15"/>
        <v>908.95557374999999</v>
      </c>
    </row>
    <row r="30" spans="1:11" ht="54">
      <c r="A30" s="5" t="s">
        <v>349</v>
      </c>
      <c r="B30" s="3">
        <f>'ІІ. Розр. з бюджетом'!B25</f>
        <v>2140</v>
      </c>
      <c r="C30" s="37">
        <f>'ІІ. Розр. з бюджетом'!C25</f>
        <v>4044</v>
      </c>
      <c r="D30" s="37">
        <f>'ІІ. Розр. з бюджетом'!D25</f>
        <v>6727</v>
      </c>
      <c r="E30" s="37">
        <f>'ІІ. Розр. з бюджетом'!J25</f>
        <v>7164</v>
      </c>
      <c r="F30" s="37">
        <f>'ІІ. Розр. з бюджетом'!F25</f>
        <v>4549</v>
      </c>
      <c r="G30" s="36">
        <f>E30*105%</f>
        <v>7522.2000000000007</v>
      </c>
      <c r="H30" s="36">
        <f t="shared" si="15"/>
        <v>7898.3100000000013</v>
      </c>
      <c r="I30" s="36">
        <f t="shared" si="15"/>
        <v>8293.2255000000023</v>
      </c>
      <c r="J30" s="36">
        <f t="shared" si="15"/>
        <v>8707.8867750000027</v>
      </c>
    </row>
    <row r="31" spans="1:11" ht="39" customHeight="1">
      <c r="A31" s="5" t="s">
        <v>87</v>
      </c>
      <c r="B31" s="3">
        <f>'ІІ. Розр. з бюджетом'!B38</f>
        <v>2150</v>
      </c>
      <c r="C31" s="37">
        <f>'ІІ. Розр. з бюджетом'!C38</f>
        <v>4290</v>
      </c>
      <c r="D31" s="37">
        <f>'ІІ. Розр. з бюджетом'!D38</f>
        <v>7408</v>
      </c>
      <c r="E31" s="37">
        <f>'ІІ. Розр. з бюджетом'!J38</f>
        <v>7891</v>
      </c>
      <c r="F31" s="37">
        <f>'ІІ. Розр. з бюджетом'!F38</f>
        <v>5052</v>
      </c>
      <c r="G31" s="36">
        <f>F31*105%</f>
        <v>5304.6</v>
      </c>
      <c r="H31" s="36">
        <f t="shared" si="15"/>
        <v>5569.8300000000008</v>
      </c>
      <c r="I31" s="36">
        <f t="shared" si="15"/>
        <v>5848.3215000000009</v>
      </c>
      <c r="J31" s="36">
        <f t="shared" si="15"/>
        <v>6140.737575000001</v>
      </c>
    </row>
    <row r="32" spans="1:11" ht="20.149999999999999" customHeight="1">
      <c r="A32" s="7" t="s">
        <v>350</v>
      </c>
      <c r="B32" s="3">
        <f>'ІІ. Розр. з бюджетом'!B39</f>
        <v>2200</v>
      </c>
      <c r="C32" s="37">
        <f>'ІІ. Розр. з бюджетом'!C39</f>
        <v>10966</v>
      </c>
      <c r="D32" s="37">
        <f>'ІІ. Розр. з бюджетом'!D39</f>
        <v>16273.4</v>
      </c>
      <c r="E32" s="37">
        <f>'ІІ. Розр. з бюджетом'!J39</f>
        <v>16822.8</v>
      </c>
      <c r="F32" s="37">
        <f>'ІІ. Розр. з бюджетом'!F39</f>
        <v>10721.8</v>
      </c>
      <c r="G32" s="37">
        <f>SUM(G27:G31)</f>
        <v>14682.740000000002</v>
      </c>
      <c r="H32" s="37">
        <f>SUM(H27:H31)</f>
        <v>15416.727000000003</v>
      </c>
      <c r="I32" s="37">
        <f>SUM(I27:I31)</f>
        <v>16188.413350000003</v>
      </c>
      <c r="J32" s="37">
        <f>SUM(J27:J31)</f>
        <v>16997.534017500002</v>
      </c>
    </row>
    <row r="33" spans="1:11" ht="25" customHeight="1">
      <c r="A33" s="349" t="s">
        <v>160</v>
      </c>
      <c r="B33" s="349"/>
      <c r="C33" s="349"/>
      <c r="D33" s="349"/>
      <c r="E33" s="349"/>
      <c r="F33" s="349"/>
      <c r="G33" s="349"/>
      <c r="H33" s="349"/>
      <c r="I33" s="349"/>
      <c r="J33" s="349"/>
    </row>
    <row r="34" spans="1:11" ht="20.149999999999999" customHeight="1">
      <c r="A34" s="7" t="s">
        <v>151</v>
      </c>
      <c r="B34" s="3">
        <f>'ІІІ. Рух грош. коштів'!B79</f>
        <v>3600</v>
      </c>
      <c r="C34" s="37">
        <f>'ІІІ. Рух грош. коштів'!C79</f>
        <v>790</v>
      </c>
      <c r="D34" s="37">
        <f>'ІІІ. Рух грош. коштів'!D79</f>
        <v>737</v>
      </c>
      <c r="E34" s="37">
        <f>'ІІІ. Рух грош. коштів'!J79</f>
        <v>7588.3000000000029</v>
      </c>
      <c r="F34" s="37">
        <f>'ІІІ. Рух грош. коштів'!F79</f>
        <v>5914.5</v>
      </c>
      <c r="G34" s="37">
        <f>E39</f>
        <v>7607.9092962666709</v>
      </c>
      <c r="H34" s="37">
        <f>G39</f>
        <v>7628.499057346673</v>
      </c>
      <c r="I34" s="37">
        <f>H39</f>
        <v>7650.1183064806755</v>
      </c>
      <c r="J34" s="37">
        <f>I39</f>
        <v>7672.8185180713763</v>
      </c>
    </row>
    <row r="35" spans="1:11" ht="36">
      <c r="A35" s="5" t="s">
        <v>152</v>
      </c>
      <c r="B35" s="3">
        <f>'ІІІ. Рух грош. коштів'!B25</f>
        <v>3090</v>
      </c>
      <c r="C35" s="37">
        <f>'ІІІ. Рух грош. коштів'!C25</f>
        <v>313</v>
      </c>
      <c r="D35" s="37">
        <f>'ІІІ. Рух грош. коштів'!D25</f>
        <v>1581.3</v>
      </c>
      <c r="E35" s="37">
        <f>'ІІІ. Рух грош. коштів'!J25</f>
        <v>1159.0092962666686</v>
      </c>
      <c r="F35" s="37">
        <f>'ІІІ. Рух грош. коштів'!F25</f>
        <v>4872.8000000000029</v>
      </c>
      <c r="G35" s="36">
        <f>E35*105%</f>
        <v>1216.959761080002</v>
      </c>
      <c r="H35" s="36">
        <f t="shared" ref="H35:J37" si="16">G35*105%</f>
        <v>1277.8077491340021</v>
      </c>
      <c r="I35" s="36">
        <f t="shared" si="16"/>
        <v>1341.6981365907022</v>
      </c>
      <c r="J35" s="36">
        <f t="shared" si="16"/>
        <v>1408.7830434202374</v>
      </c>
    </row>
    <row r="36" spans="1:11" ht="36">
      <c r="A36" s="5" t="s">
        <v>242</v>
      </c>
      <c r="B36" s="3">
        <f>'ІІІ. Рух грош. коштів'!B44</f>
        <v>3320</v>
      </c>
      <c r="C36" s="37">
        <f>'ІІІ. Рух грош. коштів'!C44</f>
        <v>-640</v>
      </c>
      <c r="D36" s="37">
        <f>'ІІІ. Рух грош. коштів'!D44</f>
        <v>-1231</v>
      </c>
      <c r="E36" s="37">
        <f>'ІІІ. Рух грош. коштів'!J44</f>
        <v>-374.4</v>
      </c>
      <c r="F36" s="37">
        <f>'ІІІ. Рух грош. коштів'!F44</f>
        <v>-3271</v>
      </c>
      <c r="G36" s="36">
        <f>E36*105%</f>
        <v>-393.12</v>
      </c>
      <c r="H36" s="36">
        <f t="shared" si="16"/>
        <v>-412.77600000000001</v>
      </c>
      <c r="I36" s="36">
        <f t="shared" si="16"/>
        <v>-433.41480000000001</v>
      </c>
      <c r="J36" s="36">
        <f t="shared" si="16"/>
        <v>-455.08554000000004</v>
      </c>
    </row>
    <row r="37" spans="1:11" ht="36">
      <c r="A37" s="5" t="s">
        <v>153</v>
      </c>
      <c r="B37" s="3">
        <f>'ІІІ. Рух грош. коштів'!B77</f>
        <v>3580</v>
      </c>
      <c r="C37" s="37">
        <f>'ІІІ. Рух грош. коштів'!C77</f>
        <v>5452</v>
      </c>
      <c r="D37" s="37">
        <f>'ІІІ. Рух грош. коштів'!D77</f>
        <v>-43.400000000000091</v>
      </c>
      <c r="E37" s="37">
        <f>'ІІІ. Рух грош. коштів'!J77</f>
        <v>-765</v>
      </c>
      <c r="F37" s="37">
        <f>'ІІІ. Рух грош. коштів'!F77</f>
        <v>72</v>
      </c>
      <c r="G37" s="36">
        <f>E37*105%</f>
        <v>-803.25</v>
      </c>
      <c r="H37" s="36">
        <f t="shared" si="16"/>
        <v>-843.41250000000002</v>
      </c>
      <c r="I37" s="36">
        <f t="shared" si="16"/>
        <v>-885.58312500000011</v>
      </c>
      <c r="J37" s="36">
        <f t="shared" si="16"/>
        <v>-929.86228125000014</v>
      </c>
    </row>
    <row r="38" spans="1:11" ht="36">
      <c r="A38" s="5" t="s">
        <v>177</v>
      </c>
      <c r="B38" s="3">
        <f>'ІІІ. Рух грош. коштів'!B80</f>
        <v>3610</v>
      </c>
      <c r="C38" s="37">
        <f>'ІІІ. Рух грош. коштів'!C80</f>
        <v>0</v>
      </c>
      <c r="D38" s="37">
        <f>'ІІІ. Рух грош. коштів'!D80</f>
        <v>0</v>
      </c>
      <c r="E38" s="37">
        <f>'ІІІ. Рух грош. коштів'!J80</f>
        <v>0</v>
      </c>
      <c r="F38" s="37">
        <f>'ІІІ. Рух грош. коштів'!F80</f>
        <v>0</v>
      </c>
      <c r="G38" s="36">
        <f>E38*106%</f>
        <v>0</v>
      </c>
      <c r="H38" s="36">
        <f>G38*106%</f>
        <v>0</v>
      </c>
      <c r="I38" s="36">
        <f>H38*106%</f>
        <v>0</v>
      </c>
      <c r="J38" s="36">
        <f>I38*106%</f>
        <v>0</v>
      </c>
    </row>
    <row r="39" spans="1:11" ht="20.149999999999999" customHeight="1">
      <c r="A39" s="7" t="s">
        <v>154</v>
      </c>
      <c r="B39" s="3">
        <f>'ІІІ. Рух грош. коштів'!B81</f>
        <v>3620</v>
      </c>
      <c r="C39" s="37">
        <f>'ІІІ. Рух грош. коштів'!C81</f>
        <v>5915</v>
      </c>
      <c r="D39" s="37">
        <f>'ІІІ. Рух грош. коштів'!D81</f>
        <v>1043.9000000000001</v>
      </c>
      <c r="E39" s="37">
        <f>'ІІІ. Рух грош. коштів'!J81</f>
        <v>7607.9092962666709</v>
      </c>
      <c r="F39" s="37">
        <f>'ІІІ. Рух грош. коштів'!F81</f>
        <v>7588.3000000000029</v>
      </c>
      <c r="G39" s="37">
        <f>SUM(G34:G38)</f>
        <v>7628.499057346673</v>
      </c>
      <c r="H39" s="37">
        <f>SUM(H34:H38)</f>
        <v>7650.1183064806755</v>
      </c>
      <c r="I39" s="37">
        <f>SUM(I34:I38)</f>
        <v>7672.8185180713763</v>
      </c>
      <c r="J39" s="37">
        <f>SUM(J34:J38)</f>
        <v>7696.6537402416143</v>
      </c>
    </row>
    <row r="40" spans="1:11" ht="25" customHeight="1">
      <c r="A40" s="350" t="s">
        <v>221</v>
      </c>
      <c r="B40" s="351"/>
      <c r="C40" s="351"/>
      <c r="D40" s="351"/>
      <c r="E40" s="351"/>
      <c r="F40" s="351"/>
      <c r="G40" s="351"/>
      <c r="H40" s="351"/>
      <c r="I40" s="351"/>
      <c r="J40" s="352"/>
    </row>
    <row r="41" spans="1:11" ht="20.149999999999999" customHeight="1">
      <c r="A41" s="5" t="s">
        <v>220</v>
      </c>
      <c r="B41" s="3">
        <f>'IV. Кап. інвестиції'!B6</f>
        <v>4000</v>
      </c>
      <c r="C41" s="37">
        <f>'IV. Кап. інвестиції'!C6</f>
        <v>640</v>
      </c>
      <c r="D41" s="37">
        <f>'IV. Кап. інвестиції'!D6</f>
        <v>1231</v>
      </c>
      <c r="E41" s="37">
        <f>'IV. Кап. інвестиції'!I6</f>
        <v>312</v>
      </c>
      <c r="F41" s="37">
        <f>'IV. Кап. інвестиції'!E6</f>
        <v>3723</v>
      </c>
      <c r="G41" s="36">
        <f>D41*105%</f>
        <v>1292.55</v>
      </c>
      <c r="H41" s="36">
        <f t="shared" ref="H41:J41" si="17">E41*105%</f>
        <v>327.60000000000002</v>
      </c>
      <c r="I41" s="36">
        <f t="shared" si="17"/>
        <v>3909.15</v>
      </c>
      <c r="J41" s="36">
        <f t="shared" si="17"/>
        <v>1357.1775</v>
      </c>
    </row>
    <row r="42" spans="1:11" ht="25" customHeight="1">
      <c r="A42" s="353" t="s">
        <v>224</v>
      </c>
      <c r="B42" s="353"/>
      <c r="C42" s="353"/>
      <c r="D42" s="353"/>
      <c r="E42" s="353"/>
      <c r="F42" s="353"/>
      <c r="G42" s="353"/>
      <c r="H42" s="353"/>
      <c r="I42" s="353"/>
      <c r="J42" s="353"/>
    </row>
    <row r="43" spans="1:11" ht="20.149999999999999" customHeight="1">
      <c r="A43" s="5" t="s">
        <v>180</v>
      </c>
      <c r="B43" s="3">
        <f>' V. Коефіцієнти'!B9</f>
        <v>5020</v>
      </c>
      <c r="C43" s="39">
        <v>0</v>
      </c>
      <c r="D43" s="39">
        <v>4.430691545045877E-2</v>
      </c>
      <c r="E43" s="39">
        <f>' V. Коефіцієнти'!H9</f>
        <v>0.12770679258056319</v>
      </c>
      <c r="F43" s="39">
        <f>' V. Коефіцієнти'!G9</f>
        <v>5.6297183145432445E-2</v>
      </c>
      <c r="G43" s="24" t="s">
        <v>233</v>
      </c>
      <c r="H43" s="24" t="s">
        <v>233</v>
      </c>
      <c r="I43" s="24" t="s">
        <v>233</v>
      </c>
      <c r="J43" s="24" t="s">
        <v>233</v>
      </c>
    </row>
    <row r="44" spans="1:11" ht="36">
      <c r="A44" s="5" t="s">
        <v>176</v>
      </c>
      <c r="B44" s="3">
        <f>' V. Коефіцієнти'!B10</f>
        <v>5030</v>
      </c>
      <c r="C44" s="39">
        <v>0</v>
      </c>
      <c r="D44" s="39">
        <v>4.7435390295358648E-2</v>
      </c>
      <c r="E44" s="39">
        <f>' V. Коефіцієнти'!H10</f>
        <v>0.16715959468185829</v>
      </c>
      <c r="F44" s="39">
        <f>' V. Коефіцієнти'!G10</f>
        <v>7.3243336794739017E-2</v>
      </c>
      <c r="G44" s="24" t="s">
        <v>233</v>
      </c>
      <c r="H44" s="24" t="s">
        <v>233</v>
      </c>
      <c r="I44" s="24" t="s">
        <v>233</v>
      </c>
      <c r="J44" s="24" t="s">
        <v>233</v>
      </c>
    </row>
    <row r="45" spans="1:11" ht="20.149999999999999" customHeight="1">
      <c r="A45" s="5" t="s">
        <v>240</v>
      </c>
      <c r="B45" s="3">
        <f>' V. Коефіцієнти'!B14</f>
        <v>5110</v>
      </c>
      <c r="C45" s="39">
        <v>4</v>
      </c>
      <c r="D45" s="39">
        <v>14.162464985994397</v>
      </c>
      <c r="E45" s="39">
        <f>' V. Коефіцієнти'!H14</f>
        <v>3.2369511360099592</v>
      </c>
      <c r="F45" s="39">
        <f>' V. Коефіцієнти'!G14</f>
        <v>3.3221216041397152</v>
      </c>
      <c r="G45" s="24" t="s">
        <v>233</v>
      </c>
      <c r="H45" s="24" t="s">
        <v>233</v>
      </c>
      <c r="I45" s="24" t="s">
        <v>233</v>
      </c>
      <c r="J45" s="24" t="s">
        <v>233</v>
      </c>
    </row>
    <row r="46" spans="1:11" ht="25" customHeight="1">
      <c r="A46" s="349" t="s">
        <v>223</v>
      </c>
      <c r="B46" s="349"/>
      <c r="C46" s="349"/>
      <c r="D46" s="349"/>
      <c r="E46" s="349"/>
      <c r="F46" s="349"/>
      <c r="G46" s="349"/>
      <c r="H46" s="349"/>
      <c r="I46" s="349"/>
      <c r="J46" s="349"/>
    </row>
    <row r="47" spans="1:11" ht="20.149999999999999" customHeight="1">
      <c r="A47" s="5" t="s">
        <v>155</v>
      </c>
      <c r="B47" s="3">
        <v>6000</v>
      </c>
      <c r="C47" s="211">
        <v>4820</v>
      </c>
      <c r="D47" s="174">
        <v>7443</v>
      </c>
      <c r="E47" s="174">
        <f>F47+'IV. Кап. інвестиції'!I6-'I. Фін результат'!J141</f>
        <v>6399.5493333333334</v>
      </c>
      <c r="F47" s="211">
        <v>7216</v>
      </c>
      <c r="G47" s="212" t="s">
        <v>233</v>
      </c>
      <c r="H47" s="212" t="s">
        <v>233</v>
      </c>
      <c r="I47" s="212" t="s">
        <v>233</v>
      </c>
      <c r="J47" s="212" t="s">
        <v>233</v>
      </c>
    </row>
    <row r="48" spans="1:11" ht="20.149999999999999" customHeight="1">
      <c r="A48" s="5" t="s">
        <v>156</v>
      </c>
      <c r="B48" s="3">
        <v>6010</v>
      </c>
      <c r="C48" s="174">
        <v>7766</v>
      </c>
      <c r="D48" s="211">
        <v>2676</v>
      </c>
      <c r="E48" s="211">
        <f>ROUND(2230*1.2,0)</f>
        <v>2676</v>
      </c>
      <c r="F48" s="211">
        <v>2807</v>
      </c>
      <c r="G48" s="212" t="s">
        <v>233</v>
      </c>
      <c r="H48" s="212" t="s">
        <v>233</v>
      </c>
      <c r="I48" s="212" t="s">
        <v>233</v>
      </c>
      <c r="J48" s="212" t="s">
        <v>233</v>
      </c>
      <c r="K48" s="42"/>
    </row>
    <row r="49" spans="1:11" ht="36">
      <c r="A49" s="5" t="s">
        <v>265</v>
      </c>
      <c r="B49" s="3">
        <v>6020</v>
      </c>
      <c r="C49" s="174">
        <v>5915</v>
      </c>
      <c r="D49" s="174">
        <v>1044.1011900000001</v>
      </c>
      <c r="E49" s="174">
        <f>E39</f>
        <v>7607.9092962666709</v>
      </c>
      <c r="F49" s="174">
        <f>F39</f>
        <v>7588.3000000000029</v>
      </c>
      <c r="G49" s="212" t="s">
        <v>233</v>
      </c>
      <c r="H49" s="212" t="s">
        <v>233</v>
      </c>
      <c r="I49" s="212" t="s">
        <v>233</v>
      </c>
      <c r="J49" s="212" t="s">
        <v>233</v>
      </c>
    </row>
    <row r="50" spans="1:11" s="2" customFormat="1" ht="20.149999999999999" customHeight="1">
      <c r="A50" s="7" t="s">
        <v>269</v>
      </c>
      <c r="B50" s="3">
        <v>6030</v>
      </c>
      <c r="C50" s="268">
        <f>C48+C47</f>
        <v>12586</v>
      </c>
      <c r="D50" s="268">
        <f>D48+D47</f>
        <v>10119</v>
      </c>
      <c r="E50" s="268">
        <f>E48+E47</f>
        <v>9075.5493333333325</v>
      </c>
      <c r="F50" s="269">
        <f>F48+F47</f>
        <v>10023</v>
      </c>
      <c r="G50" s="212" t="s">
        <v>233</v>
      </c>
      <c r="H50" s="212" t="s">
        <v>233</v>
      </c>
      <c r="I50" s="212" t="s">
        <v>233</v>
      </c>
      <c r="J50" s="212" t="s">
        <v>233</v>
      </c>
      <c r="K50" s="42"/>
    </row>
    <row r="51" spans="1:11" ht="33" customHeight="1">
      <c r="A51" s="5" t="s">
        <v>178</v>
      </c>
      <c r="B51" s="3">
        <v>6040</v>
      </c>
      <c r="C51" s="211">
        <v>779</v>
      </c>
      <c r="D51" s="211">
        <v>0</v>
      </c>
      <c r="E51" s="211">
        <v>0</v>
      </c>
      <c r="F51" s="211">
        <v>220</v>
      </c>
      <c r="G51" s="212" t="s">
        <v>233</v>
      </c>
      <c r="H51" s="212" t="s">
        <v>233</v>
      </c>
      <c r="I51" s="212" t="s">
        <v>233</v>
      </c>
      <c r="J51" s="212" t="s">
        <v>233</v>
      </c>
    </row>
    <row r="52" spans="1:11" ht="20.149999999999999" customHeight="1">
      <c r="A52" s="5" t="s">
        <v>179</v>
      </c>
      <c r="B52" s="3">
        <v>6050</v>
      </c>
      <c r="C52" s="211">
        <v>1901</v>
      </c>
      <c r="D52" s="174">
        <v>2142</v>
      </c>
      <c r="E52" s="174">
        <f>ROUND(2002*1.07,0)</f>
        <v>2142</v>
      </c>
      <c r="F52" s="211">
        <v>2099</v>
      </c>
      <c r="G52" s="212" t="s">
        <v>233</v>
      </c>
      <c r="H52" s="212" t="s">
        <v>233</v>
      </c>
      <c r="I52" s="212" t="s">
        <v>233</v>
      </c>
      <c r="J52" s="212" t="s">
        <v>233</v>
      </c>
      <c r="K52" s="42"/>
    </row>
    <row r="53" spans="1:11" s="2" customFormat="1" ht="20.149999999999999" customHeight="1">
      <c r="A53" s="7" t="s">
        <v>268</v>
      </c>
      <c r="B53" s="3">
        <v>6060</v>
      </c>
      <c r="C53" s="270">
        <f>SUM(C51:C52)</f>
        <v>2680</v>
      </c>
      <c r="D53" s="270">
        <f>SUM(D51:D52)</f>
        <v>2142</v>
      </c>
      <c r="E53" s="270">
        <f>SUM(E51:E52)</f>
        <v>2142</v>
      </c>
      <c r="F53" s="270">
        <v>2319</v>
      </c>
      <c r="G53" s="212" t="s">
        <v>233</v>
      </c>
      <c r="H53" s="212" t="s">
        <v>233</v>
      </c>
      <c r="I53" s="212" t="s">
        <v>233</v>
      </c>
      <c r="J53" s="212" t="s">
        <v>233</v>
      </c>
      <c r="K53" s="1"/>
    </row>
    <row r="54" spans="1:11" ht="20.149999999999999" customHeight="1">
      <c r="A54" s="5" t="s">
        <v>266</v>
      </c>
      <c r="B54" s="3">
        <v>6070</v>
      </c>
      <c r="C54" s="211"/>
      <c r="D54" s="211">
        <v>0</v>
      </c>
      <c r="E54" s="211">
        <v>0</v>
      </c>
      <c r="F54" s="211">
        <v>0</v>
      </c>
      <c r="G54" s="212" t="s">
        <v>233</v>
      </c>
      <c r="H54" s="212" t="s">
        <v>233</v>
      </c>
      <c r="I54" s="212" t="s">
        <v>233</v>
      </c>
      <c r="J54" s="212" t="s">
        <v>233</v>
      </c>
      <c r="K54" s="42"/>
    </row>
    <row r="55" spans="1:11" ht="20.149999999999999" customHeight="1">
      <c r="A55" s="5" t="s">
        <v>267</v>
      </c>
      <c r="B55" s="3">
        <v>6080</v>
      </c>
      <c r="C55" s="211"/>
      <c r="D55" s="211">
        <v>0</v>
      </c>
      <c r="E55" s="211">
        <v>0</v>
      </c>
      <c r="F55" s="211">
        <v>0</v>
      </c>
      <c r="G55" s="212" t="s">
        <v>233</v>
      </c>
      <c r="H55" s="212" t="s">
        <v>233</v>
      </c>
      <c r="I55" s="212" t="s">
        <v>233</v>
      </c>
      <c r="J55" s="212" t="s">
        <v>233</v>
      </c>
    </row>
    <row r="56" spans="1:11" s="2" customFormat="1" ht="19.5" customHeight="1">
      <c r="A56" s="7" t="s">
        <v>157</v>
      </c>
      <c r="B56" s="3">
        <v>6090</v>
      </c>
      <c r="C56" s="268">
        <f>C50-C53</f>
        <v>9906</v>
      </c>
      <c r="D56" s="268">
        <f>D50-D53</f>
        <v>7977</v>
      </c>
      <c r="E56" s="268">
        <f>E50-E53</f>
        <v>6933.5493333333325</v>
      </c>
      <c r="F56" s="268">
        <f>F50-F53</f>
        <v>7704</v>
      </c>
      <c r="G56" s="212" t="s">
        <v>233</v>
      </c>
      <c r="H56" s="212" t="s">
        <v>233</v>
      </c>
      <c r="I56" s="212" t="s">
        <v>233</v>
      </c>
      <c r="J56" s="212" t="s">
        <v>233</v>
      </c>
      <c r="K56" s="42"/>
    </row>
    <row r="57" spans="1:11" s="326" customFormat="1" ht="4.5" customHeight="1">
      <c r="A57" s="319"/>
      <c r="B57" s="320"/>
      <c r="C57" s="321">
        <v>2016</v>
      </c>
      <c r="D57" s="322" t="s">
        <v>478</v>
      </c>
      <c r="E57" s="323">
        <v>2018</v>
      </c>
      <c r="F57" s="324" t="s">
        <v>479</v>
      </c>
      <c r="G57" s="325"/>
      <c r="H57" s="325"/>
      <c r="I57" s="325"/>
      <c r="J57" s="325"/>
    </row>
    <row r="58" spans="1:11" s="329" customFormat="1" ht="6.75" customHeight="1">
      <c r="A58" s="327"/>
      <c r="B58" s="320"/>
      <c r="C58" s="325"/>
      <c r="D58" s="328"/>
      <c r="E58" s="328"/>
      <c r="F58" s="328"/>
      <c r="G58" s="328"/>
      <c r="H58" s="328"/>
      <c r="I58" s="328"/>
      <c r="J58" s="328"/>
    </row>
    <row r="59" spans="1:11" ht="40.5" customHeight="1">
      <c r="A59" s="251" t="s">
        <v>583</v>
      </c>
      <c r="B59" s="173"/>
      <c r="C59" s="357"/>
      <c r="D59" s="358"/>
      <c r="E59" s="358"/>
      <c r="F59" s="358"/>
      <c r="G59" s="213"/>
      <c r="H59" s="355" t="s">
        <v>582</v>
      </c>
      <c r="I59" s="356"/>
      <c r="J59" s="356"/>
    </row>
    <row r="60" spans="1:11" ht="21" customHeight="1">
      <c r="A60" s="30" t="s">
        <v>80</v>
      </c>
      <c r="B60" s="29"/>
      <c r="C60" s="354" t="s">
        <v>81</v>
      </c>
      <c r="D60" s="354"/>
      <c r="E60" s="354"/>
      <c r="F60" s="354"/>
      <c r="G60" s="32"/>
      <c r="H60" s="354" t="s">
        <v>112</v>
      </c>
      <c r="I60" s="354"/>
      <c r="J60" s="354"/>
    </row>
    <row r="62" spans="1:11">
      <c r="A62" s="18"/>
    </row>
    <row r="63" spans="1:11">
      <c r="A63" s="18"/>
    </row>
    <row r="64" spans="1:11">
      <c r="A64" s="18"/>
    </row>
    <row r="65" spans="1:10" s="10" customFormat="1">
      <c r="A65" s="18"/>
      <c r="G65" s="1"/>
      <c r="H65" s="1"/>
      <c r="I65" s="1"/>
      <c r="J65" s="1"/>
    </row>
    <row r="66" spans="1:10" s="10" customFormat="1">
      <c r="A66" s="18"/>
      <c r="G66" s="1"/>
      <c r="H66" s="1"/>
      <c r="I66" s="1"/>
      <c r="J66" s="1"/>
    </row>
    <row r="67" spans="1:10" s="10" customFormat="1">
      <c r="A67" s="18"/>
      <c r="G67" s="1"/>
      <c r="H67" s="1"/>
      <c r="I67" s="1"/>
      <c r="J67" s="1"/>
    </row>
    <row r="68" spans="1:10" s="10" customFormat="1">
      <c r="A68" s="18"/>
      <c r="G68" s="1"/>
      <c r="H68" s="1"/>
      <c r="I68" s="1"/>
      <c r="J68" s="1"/>
    </row>
    <row r="69" spans="1:10" s="10" customFormat="1">
      <c r="A69" s="18"/>
      <c r="G69" s="1"/>
      <c r="H69" s="1"/>
      <c r="I69" s="1"/>
      <c r="J69" s="1"/>
    </row>
    <row r="70" spans="1:10" s="10" customFormat="1">
      <c r="A70" s="18"/>
      <c r="G70" s="1"/>
      <c r="H70" s="1"/>
      <c r="I70" s="1"/>
      <c r="J70" s="1"/>
    </row>
    <row r="71" spans="1:10" s="10" customFormat="1">
      <c r="A71" s="18"/>
      <c r="G71" s="1"/>
      <c r="H71" s="1"/>
      <c r="I71" s="1"/>
      <c r="J71" s="1"/>
    </row>
    <row r="72" spans="1:10" s="10" customFormat="1">
      <c r="A72" s="18"/>
      <c r="G72" s="1"/>
      <c r="H72" s="1"/>
      <c r="I72" s="1"/>
      <c r="J72" s="1"/>
    </row>
    <row r="73" spans="1:10" s="10" customFormat="1">
      <c r="A73" s="18"/>
      <c r="G73" s="1"/>
      <c r="H73" s="1"/>
      <c r="I73" s="1"/>
      <c r="J73" s="1"/>
    </row>
    <row r="74" spans="1:10" s="10" customFormat="1">
      <c r="A74" s="18"/>
      <c r="G74" s="1"/>
      <c r="H74" s="1"/>
      <c r="I74" s="1"/>
      <c r="J74" s="1"/>
    </row>
    <row r="75" spans="1:10" s="10" customFormat="1">
      <c r="A75" s="18"/>
      <c r="G75" s="1"/>
      <c r="H75" s="1"/>
      <c r="I75" s="1"/>
      <c r="J75" s="1"/>
    </row>
    <row r="76" spans="1:10" s="10" customFormat="1">
      <c r="A76" s="18"/>
      <c r="G76" s="1"/>
      <c r="H76" s="1"/>
      <c r="I76" s="1"/>
      <c r="J76" s="1"/>
    </row>
    <row r="77" spans="1:10" s="10" customFormat="1">
      <c r="A77" s="18"/>
      <c r="G77" s="1"/>
      <c r="H77" s="1"/>
      <c r="I77" s="1"/>
      <c r="J77" s="1"/>
    </row>
    <row r="78" spans="1:10" s="10" customFormat="1">
      <c r="A78" s="18"/>
      <c r="G78" s="1"/>
      <c r="H78" s="1"/>
      <c r="I78" s="1"/>
      <c r="J78" s="1"/>
    </row>
    <row r="79" spans="1:10" s="10" customFormat="1">
      <c r="A79" s="18"/>
      <c r="G79" s="1"/>
      <c r="H79" s="1"/>
      <c r="I79" s="1"/>
      <c r="J79" s="1"/>
    </row>
    <row r="80" spans="1:10" s="10" customFormat="1">
      <c r="A80" s="18"/>
      <c r="G80" s="1"/>
      <c r="H80" s="1"/>
      <c r="I80" s="1"/>
      <c r="J80" s="1"/>
    </row>
    <row r="81" spans="1:10" s="10" customFormat="1">
      <c r="A81" s="18"/>
      <c r="G81" s="1"/>
      <c r="H81" s="1"/>
      <c r="I81" s="1"/>
      <c r="J81" s="1"/>
    </row>
    <row r="82" spans="1:10" s="10" customFormat="1">
      <c r="A82" s="18"/>
      <c r="G82" s="1"/>
      <c r="H82" s="1"/>
      <c r="I82" s="1"/>
      <c r="J82" s="1"/>
    </row>
    <row r="83" spans="1:10" s="10" customFormat="1">
      <c r="A83" s="18"/>
      <c r="G83" s="1"/>
      <c r="H83" s="1"/>
      <c r="I83" s="1"/>
      <c r="J83" s="1"/>
    </row>
    <row r="84" spans="1:10" s="10" customFormat="1">
      <c r="A84" s="18"/>
      <c r="G84" s="1"/>
      <c r="H84" s="1"/>
      <c r="I84" s="1"/>
      <c r="J84" s="1"/>
    </row>
    <row r="85" spans="1:10" s="10" customFormat="1">
      <c r="A85" s="18"/>
      <c r="G85" s="1"/>
      <c r="H85" s="1"/>
      <c r="I85" s="1"/>
      <c r="J85" s="1"/>
    </row>
    <row r="86" spans="1:10" s="10" customFormat="1">
      <c r="A86" s="18"/>
      <c r="G86" s="1"/>
      <c r="H86" s="1"/>
      <c r="I86" s="1"/>
      <c r="J86" s="1"/>
    </row>
    <row r="87" spans="1:10" s="10" customFormat="1">
      <c r="A87" s="18"/>
      <c r="G87" s="1"/>
      <c r="H87" s="1"/>
      <c r="I87" s="1"/>
      <c r="J87" s="1"/>
    </row>
    <row r="88" spans="1:10" s="10" customFormat="1">
      <c r="A88" s="18"/>
      <c r="G88" s="1"/>
      <c r="H88" s="1"/>
      <c r="I88" s="1"/>
      <c r="J88" s="1"/>
    </row>
    <row r="89" spans="1:10" s="10" customFormat="1">
      <c r="A89" s="18"/>
      <c r="G89" s="1"/>
      <c r="H89" s="1"/>
      <c r="I89" s="1"/>
      <c r="J89" s="1"/>
    </row>
    <row r="90" spans="1:10" s="10" customFormat="1">
      <c r="A90" s="18"/>
      <c r="G90" s="1"/>
      <c r="H90" s="1"/>
      <c r="I90" s="1"/>
      <c r="J90" s="1"/>
    </row>
    <row r="91" spans="1:10" s="10" customFormat="1">
      <c r="A91" s="18"/>
      <c r="G91" s="1"/>
      <c r="H91" s="1"/>
      <c r="I91" s="1"/>
      <c r="J91" s="1"/>
    </row>
    <row r="92" spans="1:10" s="10" customFormat="1">
      <c r="A92" s="18"/>
      <c r="G92" s="1"/>
      <c r="H92" s="1"/>
      <c r="I92" s="1"/>
      <c r="J92" s="1"/>
    </row>
    <row r="93" spans="1:10" s="10" customFormat="1">
      <c r="A93" s="18"/>
      <c r="G93" s="1"/>
      <c r="H93" s="1"/>
      <c r="I93" s="1"/>
      <c r="J93" s="1"/>
    </row>
    <row r="94" spans="1:10" s="10" customFormat="1">
      <c r="A94" s="18"/>
      <c r="G94" s="1"/>
      <c r="H94" s="1"/>
      <c r="I94" s="1"/>
      <c r="J94" s="1"/>
    </row>
    <row r="95" spans="1:10" s="10" customFormat="1">
      <c r="A95" s="18"/>
      <c r="G95" s="1"/>
      <c r="H95" s="1"/>
      <c r="I95" s="1"/>
      <c r="J95" s="1"/>
    </row>
    <row r="96" spans="1:10" s="10" customFormat="1">
      <c r="A96" s="18"/>
      <c r="G96" s="1"/>
      <c r="H96" s="1"/>
      <c r="I96" s="1"/>
      <c r="J96" s="1"/>
    </row>
    <row r="97" spans="1:10" s="10" customFormat="1">
      <c r="A97" s="18"/>
      <c r="G97" s="1"/>
      <c r="H97" s="1"/>
      <c r="I97" s="1"/>
      <c r="J97" s="1"/>
    </row>
    <row r="98" spans="1:10" s="10" customFormat="1">
      <c r="A98" s="18"/>
      <c r="G98" s="1"/>
      <c r="H98" s="1"/>
      <c r="I98" s="1"/>
      <c r="J98" s="1"/>
    </row>
    <row r="99" spans="1:10" s="10" customFormat="1">
      <c r="A99" s="18"/>
      <c r="G99" s="1"/>
      <c r="H99" s="1"/>
      <c r="I99" s="1"/>
      <c r="J99" s="1"/>
    </row>
    <row r="100" spans="1:10" s="10" customFormat="1">
      <c r="A100" s="18"/>
      <c r="G100" s="1"/>
      <c r="H100" s="1"/>
      <c r="I100" s="1"/>
      <c r="J100" s="1"/>
    </row>
    <row r="101" spans="1:10" s="10" customFormat="1">
      <c r="A101" s="18"/>
      <c r="G101" s="1"/>
      <c r="H101" s="1"/>
      <c r="I101" s="1"/>
      <c r="J101" s="1"/>
    </row>
    <row r="102" spans="1:10" s="10" customFormat="1">
      <c r="A102" s="18"/>
      <c r="G102" s="1"/>
      <c r="H102" s="1"/>
      <c r="I102" s="1"/>
      <c r="J102" s="1"/>
    </row>
    <row r="103" spans="1:10" s="10" customFormat="1">
      <c r="A103" s="18"/>
      <c r="G103" s="1"/>
      <c r="H103" s="1"/>
      <c r="I103" s="1"/>
      <c r="J103" s="1"/>
    </row>
    <row r="104" spans="1:10" s="10" customFormat="1">
      <c r="A104" s="18"/>
      <c r="G104" s="1"/>
      <c r="H104" s="1"/>
      <c r="I104" s="1"/>
      <c r="J104" s="1"/>
    </row>
    <row r="105" spans="1:10" s="10" customFormat="1">
      <c r="A105" s="18"/>
      <c r="G105" s="1"/>
      <c r="H105" s="1"/>
      <c r="I105" s="1"/>
      <c r="J105" s="1"/>
    </row>
    <row r="106" spans="1:10" s="10" customFormat="1">
      <c r="A106" s="18"/>
      <c r="G106" s="1"/>
      <c r="H106" s="1"/>
      <c r="I106" s="1"/>
      <c r="J106" s="1"/>
    </row>
    <row r="107" spans="1:10" s="10" customFormat="1">
      <c r="A107" s="18"/>
      <c r="G107" s="1"/>
      <c r="H107" s="1"/>
      <c r="I107" s="1"/>
      <c r="J107" s="1"/>
    </row>
    <row r="108" spans="1:10" s="10" customFormat="1">
      <c r="A108" s="18"/>
      <c r="G108" s="1"/>
      <c r="H108" s="1"/>
      <c r="I108" s="1"/>
      <c r="J108" s="1"/>
    </row>
    <row r="109" spans="1:10" s="10" customFormat="1">
      <c r="A109" s="18"/>
      <c r="G109" s="1"/>
      <c r="H109" s="1"/>
      <c r="I109" s="1"/>
      <c r="J109" s="1"/>
    </row>
    <row r="110" spans="1:10" s="10" customFormat="1">
      <c r="A110" s="18"/>
      <c r="G110" s="1"/>
      <c r="H110" s="1"/>
      <c r="I110" s="1"/>
      <c r="J110" s="1"/>
    </row>
    <row r="111" spans="1:10" s="10" customFormat="1">
      <c r="A111" s="18"/>
      <c r="G111" s="1"/>
      <c r="H111" s="1"/>
      <c r="I111" s="1"/>
      <c r="J111" s="1"/>
    </row>
    <row r="112" spans="1:10" s="10" customFormat="1">
      <c r="A112" s="18"/>
      <c r="G112" s="1"/>
      <c r="H112" s="1"/>
      <c r="I112" s="1"/>
      <c r="J112" s="1"/>
    </row>
    <row r="113" spans="1:10" s="10" customFormat="1">
      <c r="A113" s="18"/>
      <c r="G113" s="1"/>
      <c r="H113" s="1"/>
      <c r="I113" s="1"/>
      <c r="J113" s="1"/>
    </row>
    <row r="114" spans="1:10" s="10" customFormat="1">
      <c r="A114" s="18"/>
      <c r="G114" s="1"/>
      <c r="H114" s="1"/>
      <c r="I114" s="1"/>
      <c r="J114" s="1"/>
    </row>
    <row r="115" spans="1:10" s="10" customFormat="1">
      <c r="A115" s="18"/>
      <c r="G115" s="1"/>
      <c r="H115" s="1"/>
      <c r="I115" s="1"/>
      <c r="J115" s="1"/>
    </row>
    <row r="116" spans="1:10" s="10" customFormat="1">
      <c r="A116" s="18"/>
      <c r="G116" s="1"/>
      <c r="H116" s="1"/>
      <c r="I116" s="1"/>
      <c r="J116" s="1"/>
    </row>
    <row r="117" spans="1:10" s="10" customFormat="1">
      <c r="A117" s="18"/>
      <c r="G117" s="1"/>
      <c r="H117" s="1"/>
      <c r="I117" s="1"/>
      <c r="J117" s="1"/>
    </row>
    <row r="118" spans="1:10" s="10" customFormat="1">
      <c r="A118" s="18"/>
      <c r="G118" s="1"/>
      <c r="H118" s="1"/>
      <c r="I118" s="1"/>
      <c r="J118" s="1"/>
    </row>
    <row r="119" spans="1:10" s="10" customFormat="1">
      <c r="A119" s="18"/>
      <c r="G119" s="1"/>
      <c r="H119" s="1"/>
      <c r="I119" s="1"/>
      <c r="J119" s="1"/>
    </row>
    <row r="120" spans="1:10" s="10" customFormat="1">
      <c r="A120" s="18"/>
      <c r="G120" s="1"/>
      <c r="H120" s="1"/>
      <c r="I120" s="1"/>
      <c r="J120" s="1"/>
    </row>
    <row r="121" spans="1:10" s="10" customFormat="1">
      <c r="A121" s="18"/>
      <c r="G121" s="1"/>
      <c r="H121" s="1"/>
      <c r="I121" s="1"/>
      <c r="J121" s="1"/>
    </row>
    <row r="122" spans="1:10" s="10" customFormat="1">
      <c r="A122" s="18"/>
      <c r="G122" s="1"/>
      <c r="H122" s="1"/>
      <c r="I122" s="1"/>
      <c r="J122" s="1"/>
    </row>
    <row r="123" spans="1:10" s="10" customFormat="1">
      <c r="A123" s="18"/>
      <c r="G123" s="1"/>
      <c r="H123" s="1"/>
      <c r="I123" s="1"/>
      <c r="J123" s="1"/>
    </row>
    <row r="124" spans="1:10" s="10" customFormat="1">
      <c r="A124" s="18"/>
      <c r="G124" s="1"/>
      <c r="H124" s="1"/>
      <c r="I124" s="1"/>
      <c r="J124" s="1"/>
    </row>
    <row r="125" spans="1:10" s="10" customFormat="1">
      <c r="A125" s="18"/>
      <c r="G125" s="1"/>
      <c r="H125" s="1"/>
      <c r="I125" s="1"/>
      <c r="J125" s="1"/>
    </row>
    <row r="126" spans="1:10" s="10" customFormat="1">
      <c r="A126" s="18"/>
      <c r="G126" s="1"/>
      <c r="H126" s="1"/>
      <c r="I126" s="1"/>
      <c r="J126" s="1"/>
    </row>
    <row r="127" spans="1:10" s="10" customFormat="1">
      <c r="A127" s="18"/>
      <c r="G127" s="1"/>
      <c r="H127" s="1"/>
      <c r="I127" s="1"/>
      <c r="J127" s="1"/>
    </row>
    <row r="128" spans="1:10" s="10" customFormat="1">
      <c r="A128" s="18"/>
      <c r="G128" s="1"/>
      <c r="H128" s="1"/>
      <c r="I128" s="1"/>
      <c r="J128" s="1"/>
    </row>
    <row r="129" spans="1:10" s="10" customFormat="1">
      <c r="A129" s="18"/>
      <c r="G129" s="1"/>
      <c r="H129" s="1"/>
      <c r="I129" s="1"/>
      <c r="J129" s="1"/>
    </row>
    <row r="130" spans="1:10" s="10" customFormat="1">
      <c r="A130" s="18"/>
      <c r="G130" s="1"/>
      <c r="H130" s="1"/>
      <c r="I130" s="1"/>
      <c r="J130" s="1"/>
    </row>
    <row r="131" spans="1:10" s="10" customFormat="1">
      <c r="A131" s="18"/>
      <c r="G131" s="1"/>
      <c r="H131" s="1"/>
      <c r="I131" s="1"/>
      <c r="J131" s="1"/>
    </row>
    <row r="132" spans="1:10" s="10" customFormat="1">
      <c r="A132" s="18"/>
      <c r="G132" s="1"/>
      <c r="H132" s="1"/>
      <c r="I132" s="1"/>
      <c r="J132" s="1"/>
    </row>
    <row r="133" spans="1:10" s="10" customFormat="1">
      <c r="A133" s="18"/>
      <c r="G133" s="1"/>
      <c r="H133" s="1"/>
      <c r="I133" s="1"/>
      <c r="J133" s="1"/>
    </row>
    <row r="134" spans="1:10" s="10" customFormat="1">
      <c r="A134" s="18"/>
      <c r="G134" s="1"/>
      <c r="H134" s="1"/>
      <c r="I134" s="1"/>
      <c r="J134" s="1"/>
    </row>
    <row r="135" spans="1:10" s="10" customFormat="1">
      <c r="A135" s="18"/>
      <c r="G135" s="1"/>
      <c r="H135" s="1"/>
      <c r="I135" s="1"/>
      <c r="J135" s="1"/>
    </row>
    <row r="136" spans="1:10" s="10" customFormat="1">
      <c r="A136" s="18"/>
      <c r="G136" s="1"/>
      <c r="H136" s="1"/>
      <c r="I136" s="1"/>
      <c r="J136" s="1"/>
    </row>
    <row r="137" spans="1:10" s="10" customFormat="1">
      <c r="A137" s="18"/>
      <c r="G137" s="1"/>
      <c r="H137" s="1"/>
      <c r="I137" s="1"/>
      <c r="J137" s="1"/>
    </row>
    <row r="138" spans="1:10" s="10" customFormat="1">
      <c r="A138" s="18"/>
      <c r="G138" s="1"/>
      <c r="H138" s="1"/>
      <c r="I138" s="1"/>
      <c r="J138" s="1"/>
    </row>
    <row r="139" spans="1:10" s="10" customFormat="1">
      <c r="A139" s="18"/>
      <c r="G139" s="1"/>
      <c r="H139" s="1"/>
      <c r="I139" s="1"/>
      <c r="J139" s="1"/>
    </row>
    <row r="140" spans="1:10" s="10" customFormat="1">
      <c r="A140" s="18"/>
      <c r="G140" s="1"/>
      <c r="H140" s="1"/>
      <c r="I140" s="1"/>
      <c r="J140" s="1"/>
    </row>
    <row r="141" spans="1:10" s="10" customFormat="1">
      <c r="A141" s="18"/>
      <c r="G141" s="1"/>
      <c r="H141" s="1"/>
      <c r="I141" s="1"/>
      <c r="J141" s="1"/>
    </row>
    <row r="142" spans="1:10" s="10" customFormat="1">
      <c r="A142" s="18"/>
      <c r="G142" s="1"/>
      <c r="H142" s="1"/>
      <c r="I142" s="1"/>
      <c r="J142" s="1"/>
    </row>
    <row r="143" spans="1:10" s="10" customFormat="1">
      <c r="A143" s="18"/>
      <c r="G143" s="1"/>
      <c r="H143" s="1"/>
      <c r="I143" s="1"/>
      <c r="J143" s="1"/>
    </row>
    <row r="144" spans="1:10" s="10" customFormat="1">
      <c r="A144" s="18"/>
      <c r="G144" s="1"/>
      <c r="H144" s="1"/>
      <c r="I144" s="1"/>
      <c r="J144" s="1"/>
    </row>
    <row r="145" spans="1:10" s="10" customFormat="1">
      <c r="A145" s="18"/>
      <c r="G145" s="1"/>
      <c r="H145" s="1"/>
      <c r="I145" s="1"/>
      <c r="J145" s="1"/>
    </row>
    <row r="146" spans="1:10" s="10" customFormat="1">
      <c r="A146" s="18"/>
      <c r="G146" s="1"/>
      <c r="H146" s="1"/>
      <c r="I146" s="1"/>
      <c r="J146" s="1"/>
    </row>
    <row r="147" spans="1:10" s="10" customFormat="1">
      <c r="A147" s="18"/>
      <c r="G147" s="1"/>
      <c r="H147" s="1"/>
      <c r="I147" s="1"/>
      <c r="J147" s="1"/>
    </row>
    <row r="148" spans="1:10" s="10" customFormat="1">
      <c r="A148" s="18"/>
      <c r="G148" s="1"/>
      <c r="H148" s="1"/>
      <c r="I148" s="1"/>
      <c r="J148" s="1"/>
    </row>
    <row r="149" spans="1:10" s="10" customFormat="1">
      <c r="A149" s="18"/>
      <c r="G149" s="1"/>
      <c r="H149" s="1"/>
      <c r="I149" s="1"/>
      <c r="J149" s="1"/>
    </row>
    <row r="150" spans="1:10" s="10" customFormat="1">
      <c r="A150" s="18"/>
      <c r="G150" s="1"/>
      <c r="H150" s="1"/>
      <c r="I150" s="1"/>
      <c r="J150" s="1"/>
    </row>
    <row r="151" spans="1:10" s="10" customFormat="1">
      <c r="A151" s="18"/>
      <c r="G151" s="1"/>
      <c r="H151" s="1"/>
      <c r="I151" s="1"/>
      <c r="J151" s="1"/>
    </row>
    <row r="152" spans="1:10" s="10" customFormat="1">
      <c r="A152" s="18"/>
      <c r="G152" s="1"/>
      <c r="H152" s="1"/>
      <c r="I152" s="1"/>
      <c r="J152" s="1"/>
    </row>
    <row r="153" spans="1:10" s="10" customFormat="1">
      <c r="A153" s="18"/>
      <c r="G153" s="1"/>
      <c r="H153" s="1"/>
      <c r="I153" s="1"/>
      <c r="J153" s="1"/>
    </row>
    <row r="154" spans="1:10" s="10" customFormat="1">
      <c r="A154" s="18"/>
      <c r="G154" s="1"/>
      <c r="H154" s="1"/>
      <c r="I154" s="1"/>
      <c r="J154" s="1"/>
    </row>
    <row r="155" spans="1:10" s="10" customFormat="1">
      <c r="A155" s="18"/>
      <c r="G155" s="1"/>
      <c r="H155" s="1"/>
      <c r="I155" s="1"/>
      <c r="J155" s="1"/>
    </row>
    <row r="156" spans="1:10" s="10" customFormat="1">
      <c r="A156" s="18"/>
      <c r="G156" s="1"/>
      <c r="H156" s="1"/>
      <c r="I156" s="1"/>
      <c r="J156" s="1"/>
    </row>
    <row r="157" spans="1:10" s="10" customFormat="1">
      <c r="A157" s="18"/>
      <c r="G157" s="1"/>
      <c r="H157" s="1"/>
      <c r="I157" s="1"/>
      <c r="J157" s="1"/>
    </row>
    <row r="158" spans="1:10" s="10" customFormat="1">
      <c r="A158" s="18"/>
      <c r="G158" s="1"/>
      <c r="H158" s="1"/>
      <c r="I158" s="1"/>
      <c r="J158" s="1"/>
    </row>
    <row r="159" spans="1:10" s="10" customFormat="1">
      <c r="A159" s="18"/>
      <c r="G159" s="1"/>
      <c r="H159" s="1"/>
      <c r="I159" s="1"/>
      <c r="J159" s="1"/>
    </row>
    <row r="160" spans="1:10" s="10" customFormat="1">
      <c r="A160" s="18"/>
      <c r="G160" s="1"/>
      <c r="H160" s="1"/>
      <c r="I160" s="1"/>
      <c r="J160" s="1"/>
    </row>
    <row r="161" spans="1:10" s="10" customFormat="1">
      <c r="A161" s="18"/>
      <c r="G161" s="1"/>
      <c r="H161" s="1"/>
      <c r="I161" s="1"/>
      <c r="J161" s="1"/>
    </row>
    <row r="162" spans="1:10" s="10" customFormat="1">
      <c r="A162" s="18"/>
      <c r="G162" s="1"/>
      <c r="H162" s="1"/>
      <c r="I162" s="1"/>
      <c r="J162" s="1"/>
    </row>
    <row r="163" spans="1:10" s="10" customFormat="1">
      <c r="A163" s="18"/>
      <c r="G163" s="1"/>
      <c r="H163" s="1"/>
      <c r="I163" s="1"/>
      <c r="J163" s="1"/>
    </row>
    <row r="164" spans="1:10" s="10" customFormat="1">
      <c r="A164" s="18"/>
      <c r="G164" s="1"/>
      <c r="H164" s="1"/>
      <c r="I164" s="1"/>
      <c r="J164" s="1"/>
    </row>
    <row r="165" spans="1:10" s="10" customFormat="1">
      <c r="A165" s="18"/>
      <c r="G165" s="1"/>
      <c r="H165" s="1"/>
      <c r="I165" s="1"/>
      <c r="J165" s="1"/>
    </row>
    <row r="166" spans="1:10" s="10" customFormat="1">
      <c r="A166" s="18"/>
      <c r="G166" s="1"/>
      <c r="H166" s="1"/>
      <c r="I166" s="1"/>
      <c r="J166" s="1"/>
    </row>
    <row r="167" spans="1:10" s="10" customFormat="1">
      <c r="A167" s="18"/>
      <c r="G167" s="1"/>
      <c r="H167" s="1"/>
      <c r="I167" s="1"/>
      <c r="J167" s="1"/>
    </row>
    <row r="168" spans="1:10" s="10" customFormat="1">
      <c r="A168" s="18"/>
      <c r="G168" s="1"/>
      <c r="H168" s="1"/>
      <c r="I168" s="1"/>
      <c r="J168" s="1"/>
    </row>
    <row r="169" spans="1:10" s="10" customFormat="1">
      <c r="A169" s="18"/>
      <c r="G169" s="1"/>
      <c r="H169" s="1"/>
      <c r="I169" s="1"/>
      <c r="J169" s="1"/>
    </row>
    <row r="170" spans="1:10" s="10" customFormat="1">
      <c r="A170" s="18"/>
      <c r="G170" s="1"/>
      <c r="H170" s="1"/>
      <c r="I170" s="1"/>
      <c r="J170" s="1"/>
    </row>
    <row r="171" spans="1:10" s="10" customFormat="1">
      <c r="A171" s="18"/>
      <c r="G171" s="1"/>
      <c r="H171" s="1"/>
      <c r="I171" s="1"/>
      <c r="J171" s="1"/>
    </row>
    <row r="172" spans="1:10" s="10" customFormat="1">
      <c r="A172" s="18"/>
      <c r="G172" s="1"/>
      <c r="H172" s="1"/>
      <c r="I172" s="1"/>
      <c r="J172" s="1"/>
    </row>
    <row r="173" spans="1:10" s="10" customFormat="1">
      <c r="A173" s="18"/>
      <c r="G173" s="1"/>
      <c r="H173" s="1"/>
      <c r="I173" s="1"/>
      <c r="J173" s="1"/>
    </row>
    <row r="174" spans="1:10" s="10" customFormat="1">
      <c r="A174" s="18"/>
      <c r="G174" s="1"/>
      <c r="H174" s="1"/>
      <c r="I174" s="1"/>
      <c r="J174" s="1"/>
    </row>
    <row r="175" spans="1:10" s="10" customFormat="1">
      <c r="A175" s="18"/>
      <c r="G175" s="1"/>
      <c r="H175" s="1"/>
      <c r="I175" s="1"/>
      <c r="J175" s="1"/>
    </row>
    <row r="176" spans="1:10" s="10" customFormat="1">
      <c r="A176" s="18"/>
      <c r="G176" s="1"/>
      <c r="H176" s="1"/>
      <c r="I176" s="1"/>
      <c r="J176" s="1"/>
    </row>
    <row r="177" spans="1:10" s="10" customFormat="1">
      <c r="A177" s="18"/>
      <c r="G177" s="1"/>
      <c r="H177" s="1"/>
      <c r="I177" s="1"/>
      <c r="J177" s="1"/>
    </row>
    <row r="178" spans="1:10" s="10" customFormat="1">
      <c r="A178" s="18"/>
      <c r="G178" s="1"/>
      <c r="H178" s="1"/>
      <c r="I178" s="1"/>
      <c r="J178" s="1"/>
    </row>
    <row r="179" spans="1:10" s="10" customFormat="1">
      <c r="A179" s="18"/>
      <c r="G179" s="1"/>
      <c r="H179" s="1"/>
      <c r="I179" s="1"/>
      <c r="J179" s="1"/>
    </row>
    <row r="180" spans="1:10" s="10" customFormat="1">
      <c r="A180" s="18"/>
      <c r="G180" s="1"/>
      <c r="H180" s="1"/>
      <c r="I180" s="1"/>
      <c r="J180" s="1"/>
    </row>
    <row r="181" spans="1:10" s="10" customFormat="1">
      <c r="A181" s="18"/>
      <c r="G181" s="1"/>
      <c r="H181" s="1"/>
      <c r="I181" s="1"/>
      <c r="J181" s="1"/>
    </row>
    <row r="182" spans="1:10" s="10" customFormat="1">
      <c r="A182" s="18"/>
      <c r="G182" s="1"/>
      <c r="H182" s="1"/>
      <c r="I182" s="1"/>
      <c r="J182" s="1"/>
    </row>
    <row r="183" spans="1:10" s="10" customFormat="1">
      <c r="A183" s="18"/>
      <c r="G183" s="1"/>
      <c r="H183" s="1"/>
      <c r="I183" s="1"/>
      <c r="J183" s="1"/>
    </row>
    <row r="184" spans="1:10" s="10" customFormat="1">
      <c r="A184" s="18"/>
      <c r="G184" s="1"/>
      <c r="H184" s="1"/>
      <c r="I184" s="1"/>
      <c r="J184" s="1"/>
    </row>
    <row r="185" spans="1:10" s="10" customFormat="1">
      <c r="A185" s="18"/>
      <c r="G185" s="1"/>
      <c r="H185" s="1"/>
      <c r="I185" s="1"/>
      <c r="J185" s="1"/>
    </row>
    <row r="186" spans="1:10" s="10" customFormat="1">
      <c r="A186" s="18"/>
      <c r="G186" s="1"/>
      <c r="H186" s="1"/>
      <c r="I186" s="1"/>
      <c r="J186" s="1"/>
    </row>
    <row r="187" spans="1:10" s="10" customFormat="1">
      <c r="A187" s="18"/>
      <c r="G187" s="1"/>
      <c r="H187" s="1"/>
      <c r="I187" s="1"/>
      <c r="J187" s="1"/>
    </row>
    <row r="188" spans="1:10" s="10" customFormat="1">
      <c r="A188" s="18"/>
      <c r="G188" s="1"/>
      <c r="H188" s="1"/>
      <c r="I188" s="1"/>
      <c r="J188" s="1"/>
    </row>
    <row r="189" spans="1:10" s="10" customFormat="1">
      <c r="A189" s="18"/>
      <c r="G189" s="1"/>
      <c r="H189" s="1"/>
      <c r="I189" s="1"/>
      <c r="J189" s="1"/>
    </row>
    <row r="190" spans="1:10" s="10" customFormat="1">
      <c r="A190" s="18"/>
      <c r="G190" s="1"/>
      <c r="H190" s="1"/>
      <c r="I190" s="1"/>
      <c r="J190" s="1"/>
    </row>
    <row r="191" spans="1:10" s="10" customFormat="1">
      <c r="A191" s="18"/>
      <c r="G191" s="1"/>
      <c r="H191" s="1"/>
      <c r="I191" s="1"/>
      <c r="J191" s="1"/>
    </row>
    <row r="192" spans="1:10" s="10" customFormat="1">
      <c r="A192" s="18"/>
      <c r="G192" s="1"/>
      <c r="H192" s="1"/>
      <c r="I192" s="1"/>
      <c r="J192" s="1"/>
    </row>
    <row r="193" spans="1:10" s="10" customFormat="1">
      <c r="A193" s="18"/>
      <c r="G193" s="1"/>
      <c r="H193" s="1"/>
      <c r="I193" s="1"/>
      <c r="J193" s="1"/>
    </row>
    <row r="194" spans="1:10" s="10" customFormat="1">
      <c r="A194" s="18"/>
      <c r="G194" s="1"/>
      <c r="H194" s="1"/>
      <c r="I194" s="1"/>
      <c r="J194" s="1"/>
    </row>
    <row r="195" spans="1:10" s="10" customFormat="1">
      <c r="A195" s="18"/>
      <c r="G195" s="1"/>
      <c r="H195" s="1"/>
      <c r="I195" s="1"/>
      <c r="J195" s="1"/>
    </row>
    <row r="196" spans="1:10" s="10" customFormat="1">
      <c r="A196" s="18"/>
      <c r="G196" s="1"/>
      <c r="H196" s="1"/>
      <c r="I196" s="1"/>
      <c r="J196" s="1"/>
    </row>
    <row r="197" spans="1:10" s="10" customFormat="1">
      <c r="A197" s="18"/>
      <c r="G197" s="1"/>
      <c r="H197" s="1"/>
      <c r="I197" s="1"/>
      <c r="J197" s="1"/>
    </row>
    <row r="198" spans="1:10" s="10" customFormat="1">
      <c r="A198" s="18"/>
      <c r="G198" s="1"/>
      <c r="H198" s="1"/>
      <c r="I198" s="1"/>
      <c r="J198" s="1"/>
    </row>
    <row r="199" spans="1:10" s="10" customFormat="1">
      <c r="A199" s="18"/>
      <c r="G199" s="1"/>
      <c r="H199" s="1"/>
      <c r="I199" s="1"/>
      <c r="J199" s="1"/>
    </row>
    <row r="200" spans="1:10" s="10" customFormat="1">
      <c r="A200" s="18"/>
      <c r="G200" s="1"/>
      <c r="H200" s="1"/>
      <c r="I200" s="1"/>
      <c r="J200" s="1"/>
    </row>
    <row r="201" spans="1:10" s="10" customFormat="1">
      <c r="A201" s="18"/>
      <c r="G201" s="1"/>
      <c r="H201" s="1"/>
      <c r="I201" s="1"/>
      <c r="J201" s="1"/>
    </row>
    <row r="202" spans="1:10" s="10" customFormat="1">
      <c r="A202" s="18"/>
      <c r="G202" s="1"/>
      <c r="H202" s="1"/>
      <c r="I202" s="1"/>
      <c r="J202" s="1"/>
    </row>
    <row r="203" spans="1:10" s="10" customFormat="1">
      <c r="A203" s="18"/>
      <c r="G203" s="1"/>
      <c r="H203" s="1"/>
      <c r="I203" s="1"/>
      <c r="J203" s="1"/>
    </row>
    <row r="204" spans="1:10" s="10" customFormat="1">
      <c r="A204" s="18"/>
      <c r="G204" s="1"/>
      <c r="H204" s="1"/>
      <c r="I204" s="1"/>
      <c r="J204" s="1"/>
    </row>
    <row r="205" spans="1:10" s="10" customFormat="1">
      <c r="A205" s="18"/>
      <c r="G205" s="1"/>
      <c r="H205" s="1"/>
      <c r="I205" s="1"/>
      <c r="J205" s="1"/>
    </row>
    <row r="206" spans="1:10" s="10" customFormat="1">
      <c r="A206" s="18"/>
      <c r="G206" s="1"/>
      <c r="H206" s="1"/>
      <c r="I206" s="1"/>
      <c r="J206" s="1"/>
    </row>
    <row r="207" spans="1:10" s="10" customFormat="1">
      <c r="A207" s="18"/>
      <c r="G207" s="1"/>
      <c r="H207" s="1"/>
      <c r="I207" s="1"/>
      <c r="J207" s="1"/>
    </row>
    <row r="208" spans="1:10" s="10" customFormat="1">
      <c r="A208" s="18"/>
      <c r="G208" s="1"/>
      <c r="H208" s="1"/>
      <c r="I208" s="1"/>
      <c r="J208" s="1"/>
    </row>
    <row r="209" spans="1:10" s="10" customFormat="1">
      <c r="A209" s="18"/>
      <c r="G209" s="1"/>
      <c r="H209" s="1"/>
      <c r="I209" s="1"/>
      <c r="J209" s="1"/>
    </row>
    <row r="210" spans="1:10" s="10" customFormat="1">
      <c r="A210" s="18"/>
      <c r="G210" s="1"/>
      <c r="H210" s="1"/>
      <c r="I210" s="1"/>
      <c r="J210" s="1"/>
    </row>
    <row r="211" spans="1:10" s="10" customFormat="1">
      <c r="A211" s="18"/>
      <c r="G211" s="1"/>
      <c r="H211" s="1"/>
      <c r="I211" s="1"/>
      <c r="J211" s="1"/>
    </row>
    <row r="212" spans="1:10" s="10" customFormat="1">
      <c r="A212" s="18"/>
      <c r="G212" s="1"/>
      <c r="H212" s="1"/>
      <c r="I212" s="1"/>
      <c r="J212" s="1"/>
    </row>
    <row r="213" spans="1:10" s="10" customFormat="1">
      <c r="A213" s="18"/>
      <c r="G213" s="1"/>
      <c r="H213" s="1"/>
      <c r="I213" s="1"/>
      <c r="J213" s="1"/>
    </row>
    <row r="214" spans="1:10" s="10" customFormat="1">
      <c r="A214" s="18"/>
      <c r="G214" s="1"/>
      <c r="H214" s="1"/>
      <c r="I214" s="1"/>
      <c r="J214" s="1"/>
    </row>
    <row r="215" spans="1:10" s="10" customFormat="1">
      <c r="A215" s="18"/>
      <c r="G215" s="1"/>
      <c r="H215" s="1"/>
      <c r="I215" s="1"/>
      <c r="J215" s="1"/>
    </row>
    <row r="216" spans="1:10" s="10" customFormat="1">
      <c r="A216" s="18"/>
      <c r="G216" s="1"/>
      <c r="H216" s="1"/>
      <c r="I216" s="1"/>
      <c r="J216" s="1"/>
    </row>
    <row r="217" spans="1:10" s="10" customFormat="1">
      <c r="A217" s="18"/>
      <c r="G217" s="1"/>
      <c r="H217" s="1"/>
      <c r="I217" s="1"/>
      <c r="J217" s="1"/>
    </row>
    <row r="218" spans="1:10" s="10" customFormat="1">
      <c r="A218" s="18"/>
      <c r="G218" s="1"/>
      <c r="H218" s="1"/>
      <c r="I218" s="1"/>
      <c r="J218" s="1"/>
    </row>
    <row r="219" spans="1:10" s="10" customFormat="1">
      <c r="A219" s="18"/>
      <c r="G219" s="1"/>
      <c r="H219" s="1"/>
      <c r="I219" s="1"/>
      <c r="J219" s="1"/>
    </row>
    <row r="220" spans="1:10" s="10" customFormat="1">
      <c r="A220" s="18"/>
      <c r="G220" s="1"/>
      <c r="H220" s="1"/>
      <c r="I220" s="1"/>
      <c r="J220" s="1"/>
    </row>
    <row r="221" spans="1:10" s="10" customFormat="1">
      <c r="A221" s="18"/>
      <c r="G221" s="1"/>
      <c r="H221" s="1"/>
      <c r="I221" s="1"/>
      <c r="J221" s="1"/>
    </row>
    <row r="222" spans="1:10" s="10" customFormat="1">
      <c r="A222" s="18"/>
      <c r="G222" s="1"/>
      <c r="H222" s="1"/>
      <c r="I222" s="1"/>
      <c r="J222" s="1"/>
    </row>
    <row r="223" spans="1:10" s="10" customFormat="1">
      <c r="A223" s="18"/>
      <c r="G223" s="1"/>
      <c r="H223" s="1"/>
      <c r="I223" s="1"/>
      <c r="J223" s="1"/>
    </row>
    <row r="224" spans="1:10" s="10" customFormat="1">
      <c r="A224" s="18"/>
      <c r="G224" s="1"/>
      <c r="H224" s="1"/>
      <c r="I224" s="1"/>
      <c r="J224" s="1"/>
    </row>
    <row r="225" spans="1:10" s="10" customFormat="1">
      <c r="A225" s="18"/>
      <c r="G225" s="1"/>
      <c r="H225" s="1"/>
      <c r="I225" s="1"/>
      <c r="J225" s="1"/>
    </row>
    <row r="226" spans="1:10" s="10" customFormat="1">
      <c r="A226" s="18"/>
      <c r="G226" s="1"/>
      <c r="H226" s="1"/>
      <c r="I226" s="1"/>
      <c r="J226" s="1"/>
    </row>
    <row r="227" spans="1:10" s="10" customFormat="1">
      <c r="A227" s="18"/>
      <c r="G227" s="1"/>
      <c r="H227" s="1"/>
      <c r="I227" s="1"/>
      <c r="J227" s="1"/>
    </row>
    <row r="228" spans="1:10" s="10" customFormat="1">
      <c r="A228" s="18"/>
      <c r="G228" s="1"/>
      <c r="H228" s="1"/>
      <c r="I228" s="1"/>
      <c r="J228" s="1"/>
    </row>
    <row r="229" spans="1:10" s="10" customFormat="1">
      <c r="A229" s="18"/>
      <c r="G229" s="1"/>
      <c r="H229" s="1"/>
      <c r="I229" s="1"/>
      <c r="J229" s="1"/>
    </row>
  </sheetData>
  <sheetProtection formatCells="0" formatColumns="0" formatRows="0"/>
  <mergeCells count="19">
    <mergeCell ref="A5:J5"/>
    <mergeCell ref="A3:J3"/>
    <mergeCell ref="A10:J10"/>
    <mergeCell ref="G7:J7"/>
    <mergeCell ref="C7:C8"/>
    <mergeCell ref="A7:A8"/>
    <mergeCell ref="F7:F8"/>
    <mergeCell ref="D7:D8"/>
    <mergeCell ref="B7:B8"/>
    <mergeCell ref="E7:E8"/>
    <mergeCell ref="A26:J26"/>
    <mergeCell ref="A40:J40"/>
    <mergeCell ref="A42:J42"/>
    <mergeCell ref="C60:F60"/>
    <mergeCell ref="A46:J46"/>
    <mergeCell ref="H60:J60"/>
    <mergeCell ref="H59:J59"/>
    <mergeCell ref="A33:J33"/>
    <mergeCell ref="C59:F59"/>
  </mergeCells>
  <phoneticPr fontId="4" type="noConversion"/>
  <pageMargins left="1.1811023622047243" right="0.39370078740157483" top="0.78740157480314965" bottom="0.78740157480314965" header="0.19685039370078741" footer="0.31496062992125984"/>
  <pageSetup paperSize="9" scale="37" orientation="portrait" r:id="rId1"/>
  <headerFooter alignWithMargins="0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X373"/>
  <sheetViews>
    <sheetView tabSelected="1" view="pageBreakPreview" topLeftCell="A115" zoomScale="65" zoomScaleNormal="65" zoomScaleSheetLayoutView="65" workbookViewId="0">
      <selection activeCell="P119" sqref="P119"/>
    </sheetView>
  </sheetViews>
  <sheetFormatPr defaultColWidth="9.1796875" defaultRowHeight="18"/>
  <cols>
    <col min="1" max="1" width="48.453125" style="1" customWidth="1"/>
    <col min="2" max="2" width="11.81640625" style="10" customWidth="1"/>
    <col min="3" max="3" width="15.81640625" style="10" customWidth="1"/>
    <col min="4" max="4" width="16.54296875" style="10" customWidth="1"/>
    <col min="5" max="5" width="17.7265625" style="241" hidden="1" customWidth="1"/>
    <col min="6" max="6" width="17" style="307" customWidth="1"/>
    <col min="7" max="7" width="14.453125" style="1" customWidth="1"/>
    <col min="8" max="8" width="15.1796875" style="1" customWidth="1"/>
    <col min="9" max="9" width="15.81640625" style="1" customWidth="1"/>
    <col min="10" max="10" width="15.54296875" style="42" customWidth="1"/>
    <col min="11" max="12" width="15.54296875" style="42" hidden="1" customWidth="1"/>
    <col min="13" max="13" width="18.7265625" style="1" hidden="1" customWidth="1"/>
    <col min="14" max="14" width="21" style="1" hidden="1" customWidth="1"/>
    <col min="15" max="15" width="14.54296875" style="1" hidden="1" customWidth="1"/>
    <col min="16" max="16" width="14.54296875" style="1" bestFit="1" customWidth="1"/>
    <col min="17" max="17" width="31.54296875" style="1" customWidth="1"/>
    <col min="18" max="18" width="10.7265625" style="1" hidden="1" customWidth="1"/>
    <col min="19" max="19" width="13" style="1" hidden="1" customWidth="1"/>
    <col min="20" max="21" width="9.1796875" style="1" hidden="1" customWidth="1"/>
    <col min="22" max="16384" width="9.1796875" style="1"/>
  </cols>
  <sheetData>
    <row r="1" spans="1:17">
      <c r="A1" s="371" t="s">
        <v>358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7" s="146" customFormat="1" ht="18.75" customHeight="1">
      <c r="A2" s="144"/>
      <c r="B2" s="145"/>
      <c r="C2" s="145"/>
      <c r="D2" s="145"/>
      <c r="E2" s="233"/>
      <c r="F2" s="299">
        <v>2022</v>
      </c>
      <c r="G2" s="145"/>
      <c r="H2" s="145"/>
      <c r="I2" s="144"/>
      <c r="J2" s="160"/>
      <c r="K2" s="160"/>
      <c r="L2" s="160"/>
    </row>
    <row r="3" spans="1:17" ht="36" customHeight="1">
      <c r="A3" s="367" t="s">
        <v>263</v>
      </c>
      <c r="B3" s="370" t="s">
        <v>15</v>
      </c>
      <c r="C3" s="372" t="s">
        <v>29</v>
      </c>
      <c r="D3" s="378" t="s">
        <v>37</v>
      </c>
      <c r="E3" s="234" t="s">
        <v>568</v>
      </c>
      <c r="F3" s="373" t="s">
        <v>174</v>
      </c>
      <c r="G3" s="370" t="s">
        <v>353</v>
      </c>
      <c r="H3" s="370"/>
      <c r="I3" s="370"/>
      <c r="J3" s="370"/>
      <c r="K3" s="4"/>
      <c r="L3" s="4"/>
      <c r="M3" s="374" t="s">
        <v>243</v>
      </c>
    </row>
    <row r="4" spans="1:17" ht="41.25" customHeight="1">
      <c r="A4" s="367"/>
      <c r="B4" s="370"/>
      <c r="C4" s="372"/>
      <c r="D4" s="379"/>
      <c r="E4" s="234" t="s">
        <v>501</v>
      </c>
      <c r="F4" s="373"/>
      <c r="G4" s="63" t="s">
        <v>354</v>
      </c>
      <c r="H4" s="63" t="s">
        <v>355</v>
      </c>
      <c r="I4" s="63" t="s">
        <v>356</v>
      </c>
      <c r="J4" s="161" t="s">
        <v>83</v>
      </c>
      <c r="K4" s="161" t="s">
        <v>83</v>
      </c>
      <c r="L4" s="161"/>
      <c r="M4" s="374"/>
    </row>
    <row r="5" spans="1:17" ht="18" customHeight="1">
      <c r="A5" s="3">
        <v>1</v>
      </c>
      <c r="B5" s="4">
        <v>2</v>
      </c>
      <c r="C5" s="4">
        <v>5</v>
      </c>
      <c r="D5" s="4">
        <v>4</v>
      </c>
      <c r="E5" s="235"/>
      <c r="F5" s="300">
        <v>5</v>
      </c>
      <c r="G5" s="4">
        <v>6</v>
      </c>
      <c r="H5" s="4">
        <v>7</v>
      </c>
      <c r="I5" s="4">
        <v>8</v>
      </c>
      <c r="J5" s="37">
        <v>9</v>
      </c>
      <c r="K5" s="37">
        <v>9</v>
      </c>
      <c r="L5" s="39">
        <v>1.06</v>
      </c>
      <c r="M5" s="4">
        <v>10</v>
      </c>
    </row>
    <row r="6" spans="1:17" s="2" customFormat="1" ht="20.149999999999999" customHeight="1">
      <c r="A6" s="375" t="s">
        <v>270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7"/>
    </row>
    <row r="7" spans="1:17" s="2" customFormat="1" ht="57" customHeight="1">
      <c r="A7" s="35" t="s">
        <v>117</v>
      </c>
      <c r="B7" s="8">
        <v>1000</v>
      </c>
      <c r="C7" s="201">
        <f t="shared" ref="C7:J7" si="0">C8</f>
        <v>29078</v>
      </c>
      <c r="D7" s="201">
        <v>52706</v>
      </c>
      <c r="E7" s="236">
        <f>E8</f>
        <v>19204</v>
      </c>
      <c r="F7" s="301">
        <f>F8</f>
        <v>25605.333333333336</v>
      </c>
      <c r="G7" s="201">
        <f t="shared" si="0"/>
        <v>8457</v>
      </c>
      <c r="H7" s="201">
        <f t="shared" si="0"/>
        <v>16914</v>
      </c>
      <c r="I7" s="201">
        <f t="shared" si="0"/>
        <v>25371</v>
      </c>
      <c r="J7" s="201">
        <f t="shared" si="0"/>
        <v>33827.563333333332</v>
      </c>
      <c r="K7" s="201"/>
      <c r="L7" s="201"/>
      <c r="M7" s="34" t="s">
        <v>461</v>
      </c>
    </row>
    <row r="8" spans="1:17" s="2" customFormat="1" ht="42" customHeight="1">
      <c r="A8" s="20" t="s">
        <v>385</v>
      </c>
      <c r="B8" s="3" t="s">
        <v>373</v>
      </c>
      <c r="C8" s="36">
        <v>29078</v>
      </c>
      <c r="D8" s="36">
        <v>52706</v>
      </c>
      <c r="E8" s="237">
        <v>19204</v>
      </c>
      <c r="F8" s="274">
        <f>E8/9*12</f>
        <v>25605.333333333336</v>
      </c>
      <c r="G8" s="36">
        <f>ROUND(J8*0.25,0)</f>
        <v>8457</v>
      </c>
      <c r="H8" s="36">
        <f>ROUND(J8*0.5,0)</f>
        <v>16914</v>
      </c>
      <c r="I8" s="36">
        <f>ROUND(J8*0.75,0)</f>
        <v>25371</v>
      </c>
      <c r="J8" s="36">
        <f>'6.1. Інша інфо_1'!M51</f>
        <v>33827.563333333332</v>
      </c>
      <c r="K8" s="36"/>
      <c r="L8" s="36"/>
      <c r="M8" s="34"/>
    </row>
    <row r="9" spans="1:17" s="2" customFormat="1" ht="58.5" customHeight="1">
      <c r="A9" s="35" t="s">
        <v>133</v>
      </c>
      <c r="B9" s="8">
        <v>1010</v>
      </c>
      <c r="C9" s="38">
        <f t="shared" ref="C9:J9" si="1">SUM(C10:C17)</f>
        <v>22676</v>
      </c>
      <c r="D9" s="38">
        <f t="shared" si="1"/>
        <v>39833</v>
      </c>
      <c r="E9" s="236">
        <f t="shared" si="1"/>
        <v>23873</v>
      </c>
      <c r="F9" s="275">
        <f t="shared" si="1"/>
        <v>31830.666666666664</v>
      </c>
      <c r="G9" s="38">
        <f t="shared" si="1"/>
        <v>12109.956293600002</v>
      </c>
      <c r="H9" s="38">
        <f t="shared" si="1"/>
        <v>24211.912587200004</v>
      </c>
      <c r="I9" s="38">
        <f t="shared" si="1"/>
        <v>36703.753034099995</v>
      </c>
      <c r="J9" s="38">
        <f t="shared" si="1"/>
        <v>49622.182110399997</v>
      </c>
      <c r="K9" s="38"/>
      <c r="L9" s="38"/>
      <c r="M9" s="171"/>
    </row>
    <row r="10" spans="1:17" s="156" customFormat="1" ht="20.149999999999999" customHeight="1">
      <c r="A10" s="20" t="s">
        <v>295</v>
      </c>
      <c r="B10" s="4">
        <v>1011</v>
      </c>
      <c r="C10" s="36">
        <v>112</v>
      </c>
      <c r="D10" s="36">
        <v>70</v>
      </c>
      <c r="E10" s="237">
        <v>36</v>
      </c>
      <c r="F10" s="274">
        <f>E10/9*12</f>
        <v>48</v>
      </c>
      <c r="G10" s="36">
        <f>ROUND(J10*0.25,0)</f>
        <v>19</v>
      </c>
      <c r="H10" s="36">
        <f>ROUND(J10*0.5,0)</f>
        <v>37</v>
      </c>
      <c r="I10" s="36">
        <f>ROUND(J10*0.75,0)</f>
        <v>56</v>
      </c>
      <c r="J10" s="36">
        <f>L10</f>
        <v>74.2</v>
      </c>
      <c r="K10" s="36">
        <v>70</v>
      </c>
      <c r="L10" s="36">
        <f>K10*$L$5</f>
        <v>74.2</v>
      </c>
      <c r="M10" s="33"/>
      <c r="P10" s="178"/>
      <c r="Q10" s="178"/>
    </row>
    <row r="11" spans="1:17" s="191" customFormat="1" ht="20.149999999999999" customHeight="1">
      <c r="A11" s="20" t="s">
        <v>66</v>
      </c>
      <c r="B11" s="4">
        <v>1012</v>
      </c>
      <c r="C11" s="36">
        <v>1435</v>
      </c>
      <c r="D11" s="36">
        <v>1601</v>
      </c>
      <c r="E11" s="237">
        <v>2546</v>
      </c>
      <c r="F11" s="274">
        <f t="shared" ref="F11:F31" si="2">E11/9*12</f>
        <v>3394.666666666667</v>
      </c>
      <c r="G11" s="36">
        <f t="shared" ref="G11:G16" si="3">ROUND(J11*0.25,0)</f>
        <v>1748</v>
      </c>
      <c r="H11" s="36">
        <f t="shared" ref="H11:H16" si="4">ROUND(J11*0.5,0)</f>
        <v>3497</v>
      </c>
      <c r="I11" s="36">
        <f t="shared" ref="I11:I16" si="5">ROUND(J11*0.75,0)</f>
        <v>5245</v>
      </c>
      <c r="J11" s="36">
        <f>2546/9*12+2546/9*12*L5</f>
        <v>6993.0133333333342</v>
      </c>
      <c r="K11" s="36">
        <v>1601</v>
      </c>
      <c r="L11" s="36">
        <f t="shared" ref="L11:L76" si="6">K11*$L$5</f>
        <v>1697.0600000000002</v>
      </c>
      <c r="M11" s="203" t="s">
        <v>460</v>
      </c>
      <c r="P11" s="178"/>
      <c r="Q11" s="178"/>
    </row>
    <row r="12" spans="1:17" s="191" customFormat="1" ht="20.149999999999999" customHeight="1">
      <c r="A12" s="20" t="s">
        <v>65</v>
      </c>
      <c r="B12" s="4">
        <v>1013</v>
      </c>
      <c r="C12" s="36">
        <v>268</v>
      </c>
      <c r="D12" s="36">
        <v>307</v>
      </c>
      <c r="E12" s="237">
        <v>283</v>
      </c>
      <c r="F12" s="274">
        <f t="shared" si="2"/>
        <v>377.33333333333331</v>
      </c>
      <c r="G12" s="36">
        <f t="shared" si="3"/>
        <v>125</v>
      </c>
      <c r="H12" s="36">
        <f t="shared" si="4"/>
        <v>250</v>
      </c>
      <c r="I12" s="36">
        <f t="shared" si="5"/>
        <v>375</v>
      </c>
      <c r="J12" s="36">
        <v>500</v>
      </c>
      <c r="K12" s="36">
        <v>306.8</v>
      </c>
      <c r="L12" s="36">
        <f t="shared" si="6"/>
        <v>325.20800000000003</v>
      </c>
      <c r="M12" s="33"/>
      <c r="P12" s="178"/>
      <c r="Q12" s="178"/>
    </row>
    <row r="13" spans="1:17" s="193" customFormat="1" ht="20.149999999999999" customHeight="1">
      <c r="A13" s="204" t="s">
        <v>40</v>
      </c>
      <c r="B13" s="205">
        <v>1014</v>
      </c>
      <c r="C13" s="202">
        <v>14232</v>
      </c>
      <c r="D13" s="202">
        <v>26223</v>
      </c>
      <c r="E13" s="238">
        <v>13333</v>
      </c>
      <c r="F13" s="274">
        <f t="shared" si="2"/>
        <v>17777.333333333332</v>
      </c>
      <c r="G13" s="174">
        <f>штатка!J5/1000</f>
        <v>6769.3545000000004</v>
      </c>
      <c r="H13" s="174">
        <f>штатка!K5/1000</f>
        <v>13538.709000000001</v>
      </c>
      <c r="I13" s="174">
        <f>штатка!L5/1000</f>
        <v>20633.500499999998</v>
      </c>
      <c r="J13" s="174">
        <f>штатка!M5/1000</f>
        <v>28063.030999999999</v>
      </c>
      <c r="K13" s="202">
        <v>28063</v>
      </c>
      <c r="L13" s="36">
        <f t="shared" si="6"/>
        <v>29746.780000000002</v>
      </c>
      <c r="M13" s="206"/>
      <c r="P13" s="178"/>
      <c r="Q13" s="178"/>
    </row>
    <row r="14" spans="1:17" s="157" customFormat="1" ht="20.149999999999999" customHeight="1">
      <c r="A14" s="20" t="s">
        <v>41</v>
      </c>
      <c r="B14" s="4">
        <v>1015</v>
      </c>
      <c r="C14" s="36">
        <v>3109</v>
      </c>
      <c r="D14" s="202">
        <v>5596</v>
      </c>
      <c r="E14" s="237">
        <v>2866</v>
      </c>
      <c r="F14" s="274">
        <f t="shared" si="2"/>
        <v>3821.3333333333335</v>
      </c>
      <c r="G14" s="174">
        <f>штатка!J6/1000</f>
        <v>1444.6017936000003</v>
      </c>
      <c r="H14" s="174">
        <f>штатка!K6/1000</f>
        <v>2889.2035872000006</v>
      </c>
      <c r="I14" s="174">
        <f>штатка!L6/1000</f>
        <v>4403.2525341</v>
      </c>
      <c r="J14" s="174">
        <f>штатка!M6/1000</f>
        <v>5990.5725104000003</v>
      </c>
      <c r="K14" s="202">
        <v>5991</v>
      </c>
      <c r="L14" s="36">
        <f t="shared" si="6"/>
        <v>6350.46</v>
      </c>
      <c r="M14" s="33"/>
      <c r="P14" s="178"/>
      <c r="Q14" s="178"/>
    </row>
    <row r="15" spans="1:17" s="155" customFormat="1" ht="72">
      <c r="A15" s="20" t="s">
        <v>254</v>
      </c>
      <c r="B15" s="4">
        <v>1016</v>
      </c>
      <c r="C15" s="36">
        <v>272</v>
      </c>
      <c r="D15" s="36">
        <v>34</v>
      </c>
      <c r="E15" s="237">
        <v>40</v>
      </c>
      <c r="F15" s="274">
        <f t="shared" si="2"/>
        <v>53.333333333333336</v>
      </c>
      <c r="G15" s="36">
        <f t="shared" si="3"/>
        <v>20</v>
      </c>
      <c r="H15" s="36">
        <f t="shared" si="4"/>
        <v>40</v>
      </c>
      <c r="I15" s="36">
        <f t="shared" si="5"/>
        <v>60</v>
      </c>
      <c r="J15" s="36">
        <v>80</v>
      </c>
      <c r="K15" s="36">
        <v>34</v>
      </c>
      <c r="L15" s="36">
        <f t="shared" si="6"/>
        <v>36.04</v>
      </c>
      <c r="M15" s="33"/>
      <c r="P15" s="298">
        <f>P119</f>
        <v>3.4262275554579856E-2</v>
      </c>
      <c r="Q15" s="178"/>
    </row>
    <row r="16" spans="1:17" s="158" customFormat="1" ht="36">
      <c r="A16" s="20" t="s">
        <v>64</v>
      </c>
      <c r="B16" s="4">
        <v>1017</v>
      </c>
      <c r="C16" s="36">
        <v>794</v>
      </c>
      <c r="D16" s="36">
        <v>923</v>
      </c>
      <c r="E16" s="237">
        <v>709</v>
      </c>
      <c r="F16" s="274">
        <f t="shared" si="2"/>
        <v>945.33333333333326</v>
      </c>
      <c r="G16" s="36">
        <f t="shared" si="3"/>
        <v>245</v>
      </c>
      <c r="H16" s="36">
        <f t="shared" si="4"/>
        <v>489</v>
      </c>
      <c r="I16" s="36">
        <f t="shared" si="5"/>
        <v>734</v>
      </c>
      <c r="J16" s="36">
        <f>L16</f>
        <v>978.45066666666651</v>
      </c>
      <c r="K16" s="36">
        <v>923.06666666666649</v>
      </c>
      <c r="L16" s="36">
        <f t="shared" si="6"/>
        <v>978.45066666666651</v>
      </c>
      <c r="M16" s="33"/>
      <c r="P16" s="178"/>
      <c r="Q16" s="178"/>
    </row>
    <row r="17" spans="1:24" s="155" customFormat="1" ht="20.149999999999999" customHeight="1">
      <c r="A17" s="20" t="s">
        <v>131</v>
      </c>
      <c r="B17" s="4">
        <v>1018</v>
      </c>
      <c r="C17" s="36">
        <f>SUM(C18:C26)</f>
        <v>2454</v>
      </c>
      <c r="D17" s="36">
        <v>5079</v>
      </c>
      <c r="E17" s="237">
        <f t="shared" ref="E17:J17" si="7">SUM(E18:E28)</f>
        <v>4060</v>
      </c>
      <c r="F17" s="274">
        <f t="shared" si="7"/>
        <v>5413.3333333333339</v>
      </c>
      <c r="G17" s="36">
        <f t="shared" si="7"/>
        <v>1739</v>
      </c>
      <c r="H17" s="36">
        <f t="shared" si="7"/>
        <v>3471</v>
      </c>
      <c r="I17" s="36">
        <f t="shared" si="7"/>
        <v>5197</v>
      </c>
      <c r="J17" s="36">
        <f t="shared" si="7"/>
        <v>6942.9146000000001</v>
      </c>
      <c r="K17" s="36">
        <v>5208.01</v>
      </c>
      <c r="L17" s="36">
        <f t="shared" si="6"/>
        <v>5520.4906000000001</v>
      </c>
      <c r="M17" s="33"/>
      <c r="P17" s="178"/>
      <c r="Q17" s="178"/>
    </row>
    <row r="18" spans="1:24" s="155" customFormat="1" ht="20.149999999999999" customHeight="1">
      <c r="A18" s="20" t="s">
        <v>386</v>
      </c>
      <c r="B18" s="4" t="s">
        <v>380</v>
      </c>
      <c r="C18" s="36">
        <v>315</v>
      </c>
      <c r="D18" s="36">
        <v>353</v>
      </c>
      <c r="E18" s="237">
        <v>225</v>
      </c>
      <c r="F18" s="274">
        <f t="shared" si="2"/>
        <v>300</v>
      </c>
      <c r="G18" s="36">
        <f>ROUND(J18*0.25,0)</f>
        <v>94</v>
      </c>
      <c r="H18" s="36">
        <f>ROUND(J18*0.5,0)</f>
        <v>187</v>
      </c>
      <c r="I18" s="36">
        <f>ROUND(J18*0.75,0)</f>
        <v>281</v>
      </c>
      <c r="J18" s="36">
        <f t="shared" ref="J18:J25" si="8">L18</f>
        <v>374.18</v>
      </c>
      <c r="K18" s="36">
        <v>353</v>
      </c>
      <c r="L18" s="36">
        <f t="shared" si="6"/>
        <v>374.18</v>
      </c>
      <c r="M18" s="33"/>
      <c r="P18" s="178"/>
      <c r="Q18" s="178"/>
    </row>
    <row r="19" spans="1:24" s="155" customFormat="1" ht="20.149999999999999" customHeight="1">
      <c r="A19" s="20" t="s">
        <v>532</v>
      </c>
      <c r="B19" s="4" t="s">
        <v>411</v>
      </c>
      <c r="C19" s="36">
        <v>71</v>
      </c>
      <c r="D19" s="36">
        <v>709</v>
      </c>
      <c r="E19" s="237">
        <v>278</v>
      </c>
      <c r="F19" s="274">
        <f t="shared" si="2"/>
        <v>370.66666666666669</v>
      </c>
      <c r="G19" s="36">
        <f t="shared" ref="G19:G28" si="9">ROUND(J19*0.25,0)</f>
        <v>193</v>
      </c>
      <c r="H19" s="36">
        <f t="shared" ref="H19:H28" si="10">ROUND(J19*0.5,0)</f>
        <v>385</v>
      </c>
      <c r="I19" s="36">
        <f t="shared" ref="I19:I26" si="11">ROUND(J19*0.75,0)</f>
        <v>578</v>
      </c>
      <c r="J19" s="36">
        <v>770</v>
      </c>
      <c r="K19" s="36">
        <v>709</v>
      </c>
      <c r="L19" s="36">
        <f t="shared" si="6"/>
        <v>751.54000000000008</v>
      </c>
      <c r="M19" s="33"/>
      <c r="P19" s="178"/>
      <c r="Q19" s="178"/>
    </row>
    <row r="20" spans="1:24" s="155" customFormat="1" ht="35.25" customHeight="1">
      <c r="A20" s="20" t="s">
        <v>533</v>
      </c>
      <c r="B20" s="4" t="s">
        <v>412</v>
      </c>
      <c r="C20" s="36">
        <v>129</v>
      </c>
      <c r="D20" s="36">
        <v>267</v>
      </c>
      <c r="E20" s="237">
        <v>286</v>
      </c>
      <c r="F20" s="274">
        <f t="shared" si="2"/>
        <v>381.33333333333337</v>
      </c>
      <c r="G20" s="36">
        <f t="shared" si="9"/>
        <v>46</v>
      </c>
      <c r="H20" s="36">
        <f t="shared" si="10"/>
        <v>92</v>
      </c>
      <c r="I20" s="36">
        <f t="shared" si="11"/>
        <v>137</v>
      </c>
      <c r="J20" s="36">
        <v>183</v>
      </c>
      <c r="K20" s="36">
        <v>267</v>
      </c>
      <c r="L20" s="36">
        <f t="shared" si="6"/>
        <v>283.02000000000004</v>
      </c>
      <c r="M20" s="33"/>
      <c r="P20" s="178"/>
      <c r="Q20" s="178"/>
    </row>
    <row r="21" spans="1:24" s="155" customFormat="1" ht="20.149999999999999" customHeight="1">
      <c r="A21" s="20" t="s">
        <v>481</v>
      </c>
      <c r="B21" s="4" t="s">
        <v>413</v>
      </c>
      <c r="C21" s="36">
        <v>85</v>
      </c>
      <c r="D21" s="36">
        <v>379</v>
      </c>
      <c r="E21" s="237">
        <v>22</v>
      </c>
      <c r="F21" s="274">
        <f t="shared" si="2"/>
        <v>29.333333333333336</v>
      </c>
      <c r="G21" s="36">
        <f t="shared" si="9"/>
        <v>13</v>
      </c>
      <c r="H21" s="36">
        <f t="shared" si="10"/>
        <v>25</v>
      </c>
      <c r="I21" s="36">
        <f t="shared" si="11"/>
        <v>38</v>
      </c>
      <c r="J21" s="36">
        <v>50</v>
      </c>
      <c r="K21" s="36">
        <v>379</v>
      </c>
      <c r="L21" s="36">
        <f t="shared" si="6"/>
        <v>401.74</v>
      </c>
      <c r="M21" s="33"/>
      <c r="P21" s="178"/>
      <c r="Q21" s="178"/>
    </row>
    <row r="22" spans="1:24" s="155" customFormat="1" ht="20.149999999999999" customHeight="1">
      <c r="A22" s="20" t="s">
        <v>482</v>
      </c>
      <c r="B22" s="4" t="s">
        <v>421</v>
      </c>
      <c r="C22" s="36">
        <v>65</v>
      </c>
      <c r="D22" s="36">
        <v>50</v>
      </c>
      <c r="E22" s="237">
        <v>31</v>
      </c>
      <c r="F22" s="274">
        <f t="shared" si="2"/>
        <v>41.333333333333336</v>
      </c>
      <c r="G22" s="36">
        <f t="shared" si="9"/>
        <v>15</v>
      </c>
      <c r="H22" s="36">
        <f t="shared" si="10"/>
        <v>30</v>
      </c>
      <c r="I22" s="36">
        <f t="shared" si="11"/>
        <v>45</v>
      </c>
      <c r="J22" s="36">
        <v>60</v>
      </c>
      <c r="K22" s="36">
        <v>50</v>
      </c>
      <c r="L22" s="36">
        <f t="shared" si="6"/>
        <v>53</v>
      </c>
      <c r="M22" s="33"/>
      <c r="P22" s="178"/>
      <c r="Q22" s="178"/>
    </row>
    <row r="23" spans="1:24" s="155" customFormat="1" ht="17.25" customHeight="1">
      <c r="A23" s="20" t="s">
        <v>423</v>
      </c>
      <c r="B23" s="4" t="s">
        <v>422</v>
      </c>
      <c r="C23" s="36">
        <v>785</v>
      </c>
      <c r="D23" s="36">
        <v>1836</v>
      </c>
      <c r="E23" s="237">
        <v>981</v>
      </c>
      <c r="F23" s="274">
        <f t="shared" si="2"/>
        <v>1308</v>
      </c>
      <c r="G23" s="36">
        <f t="shared" si="9"/>
        <v>521</v>
      </c>
      <c r="H23" s="36">
        <f t="shared" si="10"/>
        <v>1041</v>
      </c>
      <c r="I23" s="36">
        <f t="shared" si="11"/>
        <v>1562</v>
      </c>
      <c r="J23" s="36">
        <f t="shared" si="8"/>
        <v>2082.2746000000002</v>
      </c>
      <c r="K23" s="36">
        <v>1964.41</v>
      </c>
      <c r="L23" s="36">
        <f t="shared" si="6"/>
        <v>2082.2746000000002</v>
      </c>
      <c r="M23" s="33"/>
      <c r="P23" s="178"/>
      <c r="Q23" s="178"/>
    </row>
    <row r="24" spans="1:24" s="155" customFormat="1">
      <c r="A24" s="20" t="s">
        <v>510</v>
      </c>
      <c r="B24" s="4" t="s">
        <v>458</v>
      </c>
      <c r="C24" s="36">
        <v>8</v>
      </c>
      <c r="D24" s="36">
        <v>31</v>
      </c>
      <c r="E24" s="237">
        <v>5</v>
      </c>
      <c r="F24" s="274">
        <f t="shared" si="2"/>
        <v>6.666666666666667</v>
      </c>
      <c r="G24" s="36">
        <f t="shared" si="9"/>
        <v>8</v>
      </c>
      <c r="H24" s="36">
        <f t="shared" si="10"/>
        <v>16</v>
      </c>
      <c r="I24" s="36">
        <f t="shared" si="11"/>
        <v>25</v>
      </c>
      <c r="J24" s="36">
        <f t="shared" si="8"/>
        <v>32.86</v>
      </c>
      <c r="K24" s="36">
        <v>31</v>
      </c>
      <c r="L24" s="36">
        <f t="shared" si="6"/>
        <v>32.86</v>
      </c>
      <c r="M24" s="33"/>
      <c r="P24" s="281"/>
      <c r="Q24" s="178"/>
    </row>
    <row r="25" spans="1:24" s="155" customFormat="1">
      <c r="A25" s="20" t="s">
        <v>537</v>
      </c>
      <c r="B25" s="4" t="s">
        <v>466</v>
      </c>
      <c r="C25" s="36">
        <v>996</v>
      </c>
      <c r="D25" s="36">
        <v>10</v>
      </c>
      <c r="E25" s="237"/>
      <c r="F25" s="274">
        <f t="shared" si="2"/>
        <v>0</v>
      </c>
      <c r="G25" s="36">
        <f t="shared" si="9"/>
        <v>3</v>
      </c>
      <c r="H25" s="36">
        <f t="shared" si="10"/>
        <v>5</v>
      </c>
      <c r="I25" s="36">
        <f t="shared" si="11"/>
        <v>8</v>
      </c>
      <c r="J25" s="36">
        <f t="shared" si="8"/>
        <v>10.600000000000001</v>
      </c>
      <c r="K25" s="36">
        <v>10</v>
      </c>
      <c r="L25" s="36">
        <f t="shared" si="6"/>
        <v>10.600000000000001</v>
      </c>
      <c r="M25" s="33"/>
      <c r="P25" s="281"/>
      <c r="Q25" s="178"/>
    </row>
    <row r="26" spans="1:24" s="155" customFormat="1" ht="36" customHeight="1">
      <c r="A26" s="20" t="s">
        <v>483</v>
      </c>
      <c r="B26" s="4" t="s">
        <v>535</v>
      </c>
      <c r="C26" s="36"/>
      <c r="D26" s="36">
        <v>1395</v>
      </c>
      <c r="E26" s="237">
        <v>2051</v>
      </c>
      <c r="F26" s="274">
        <f t="shared" si="2"/>
        <v>2734.6666666666665</v>
      </c>
      <c r="G26" s="36">
        <f t="shared" si="9"/>
        <v>750</v>
      </c>
      <c r="H26" s="36">
        <f t="shared" si="10"/>
        <v>1500</v>
      </c>
      <c r="I26" s="36">
        <f t="shared" si="11"/>
        <v>2250</v>
      </c>
      <c r="J26" s="36">
        <v>3000</v>
      </c>
      <c r="K26" s="36">
        <v>1394.6</v>
      </c>
      <c r="L26" s="36">
        <f t="shared" si="6"/>
        <v>1478.2760000000001</v>
      </c>
      <c r="M26" s="33"/>
      <c r="N26" s="198"/>
      <c r="P26" s="178"/>
      <c r="Q26" s="178"/>
    </row>
    <row r="27" spans="1:24" s="155" customFormat="1" ht="36" customHeight="1">
      <c r="A27" s="20" t="s">
        <v>534</v>
      </c>
      <c r="B27" s="4" t="s">
        <v>536</v>
      </c>
      <c r="C27" s="36"/>
      <c r="D27" s="36">
        <v>50</v>
      </c>
      <c r="E27" s="237">
        <v>11</v>
      </c>
      <c r="F27" s="274">
        <f t="shared" si="2"/>
        <v>14.666666666666668</v>
      </c>
      <c r="G27" s="36">
        <f>ROUND(J27*0.25,0)</f>
        <v>8</v>
      </c>
      <c r="H27" s="36">
        <f>ROUND(J27*0.5,0)</f>
        <v>15</v>
      </c>
      <c r="I27" s="36">
        <f>ROUND(J27*0.75,0)</f>
        <v>23</v>
      </c>
      <c r="J27" s="36">
        <v>30</v>
      </c>
      <c r="K27" s="36">
        <v>50</v>
      </c>
      <c r="L27" s="36">
        <f t="shared" si="6"/>
        <v>53</v>
      </c>
      <c r="M27" s="33"/>
      <c r="N27" s="198"/>
      <c r="P27" s="178"/>
      <c r="Q27" s="178"/>
    </row>
    <row r="28" spans="1:24" s="155" customFormat="1" ht="36" customHeight="1">
      <c r="A28" s="20" t="s">
        <v>570</v>
      </c>
      <c r="B28" s="4" t="s">
        <v>569</v>
      </c>
      <c r="C28" s="36"/>
      <c r="D28" s="36"/>
      <c r="E28" s="237">
        <v>170</v>
      </c>
      <c r="F28" s="274">
        <f t="shared" si="2"/>
        <v>226.66666666666669</v>
      </c>
      <c r="G28" s="36">
        <f t="shared" si="9"/>
        <v>88</v>
      </c>
      <c r="H28" s="36">
        <f t="shared" si="10"/>
        <v>175</v>
      </c>
      <c r="I28" s="36">
        <v>250</v>
      </c>
      <c r="J28" s="36">
        <v>350</v>
      </c>
      <c r="K28" s="36"/>
      <c r="L28" s="36"/>
      <c r="M28" s="33"/>
      <c r="N28" s="198"/>
      <c r="P28" s="178"/>
      <c r="Q28" s="178"/>
    </row>
    <row r="29" spans="1:24" s="2" customFormat="1" ht="20.149999999999999" customHeight="1">
      <c r="A29" s="35" t="s">
        <v>21</v>
      </c>
      <c r="B29" s="8">
        <v>1020</v>
      </c>
      <c r="C29" s="38">
        <f t="shared" ref="C29:J29" si="12">C7-C9</f>
        <v>6402</v>
      </c>
      <c r="D29" s="38">
        <f t="shared" si="12"/>
        <v>12873</v>
      </c>
      <c r="E29" s="237">
        <f t="shared" si="12"/>
        <v>-4669</v>
      </c>
      <c r="F29" s="275">
        <f t="shared" si="12"/>
        <v>-6225.3333333333285</v>
      </c>
      <c r="G29" s="38">
        <f t="shared" si="12"/>
        <v>-3652.956293600002</v>
      </c>
      <c r="H29" s="38">
        <f t="shared" si="12"/>
        <v>-7297.9125872000041</v>
      </c>
      <c r="I29" s="38">
        <f t="shared" si="12"/>
        <v>-11332.753034099995</v>
      </c>
      <c r="J29" s="38">
        <f t="shared" si="12"/>
        <v>-15794.618777066666</v>
      </c>
      <c r="K29" s="38">
        <v>32196.206666666658</v>
      </c>
      <c r="L29" s="36">
        <f t="shared" si="6"/>
        <v>34127.979066666659</v>
      </c>
      <c r="M29" s="34"/>
      <c r="N29" s="1"/>
      <c r="P29" s="282"/>
      <c r="Q29" s="282"/>
    </row>
    <row r="30" spans="1:24" ht="36">
      <c r="A30" s="20" t="s">
        <v>226</v>
      </c>
      <c r="B30" s="6">
        <v>1030</v>
      </c>
      <c r="C30" s="36"/>
      <c r="D30" s="36"/>
      <c r="E30" s="237">
        <f>E31+E32+E33</f>
        <v>12836</v>
      </c>
      <c r="F30" s="274">
        <f t="shared" si="2"/>
        <v>17114.666666666664</v>
      </c>
      <c r="G30" s="36">
        <f>ROUND(J30*0.25,0)</f>
        <v>7354</v>
      </c>
      <c r="H30" s="36">
        <f>ROUND(J30*0.5,0)</f>
        <v>14709</v>
      </c>
      <c r="I30" s="36">
        <f>ROUND(J30*0.75,0)</f>
        <v>22063</v>
      </c>
      <c r="J30" s="36">
        <f>J31</f>
        <v>29417</v>
      </c>
      <c r="K30" s="36"/>
      <c r="L30" s="36">
        <f t="shared" si="6"/>
        <v>0</v>
      </c>
      <c r="M30" s="33"/>
      <c r="P30" s="178"/>
      <c r="Q30" s="178"/>
      <c r="R30" s="178"/>
      <c r="S30" s="178"/>
      <c r="T30" s="178"/>
      <c r="U30" s="178"/>
      <c r="V30" s="178"/>
      <c r="W30" s="178"/>
      <c r="X30" s="178"/>
    </row>
    <row r="31" spans="1:24" ht="54">
      <c r="A31" s="20" t="s">
        <v>571</v>
      </c>
      <c r="B31" s="3" t="s">
        <v>381</v>
      </c>
      <c r="C31" s="36"/>
      <c r="D31" s="36"/>
      <c r="E31" s="237">
        <v>12836</v>
      </c>
      <c r="F31" s="274">
        <f t="shared" si="2"/>
        <v>17114.666666666664</v>
      </c>
      <c r="G31" s="36">
        <f>ROUND(J31*0.25,0)</f>
        <v>7354</v>
      </c>
      <c r="H31" s="36">
        <f>ROUND(J31*0.5,0)</f>
        <v>14709</v>
      </c>
      <c r="I31" s="36">
        <f>ROUND(J31*0.75,0)</f>
        <v>22063</v>
      </c>
      <c r="J31" s="36">
        <v>29417</v>
      </c>
      <c r="K31" s="36"/>
      <c r="L31" s="36">
        <f t="shared" si="6"/>
        <v>0</v>
      </c>
      <c r="M31" s="33"/>
      <c r="P31" s="178"/>
      <c r="Q31" s="178"/>
    </row>
    <row r="32" spans="1:24" ht="16.5" customHeight="1">
      <c r="A32" s="20" t="s">
        <v>425</v>
      </c>
      <c r="B32" s="3" t="s">
        <v>424</v>
      </c>
      <c r="C32" s="36"/>
      <c r="D32" s="36"/>
      <c r="E32" s="237"/>
      <c r="F32" s="274">
        <f>E32/4*7</f>
        <v>0</v>
      </c>
      <c r="G32" s="36"/>
      <c r="H32" s="36"/>
      <c r="I32" s="36"/>
      <c r="J32" s="36"/>
      <c r="K32" s="36"/>
      <c r="L32" s="36">
        <f t="shared" si="6"/>
        <v>0</v>
      </c>
      <c r="M32" s="33"/>
      <c r="P32" s="178"/>
      <c r="Q32" s="178"/>
    </row>
    <row r="33" spans="1:17" ht="16.5" customHeight="1">
      <c r="A33" s="20" t="s">
        <v>435</v>
      </c>
      <c r="B33" s="3" t="s">
        <v>434</v>
      </c>
      <c r="C33" s="36"/>
      <c r="D33" s="36"/>
      <c r="E33" s="237"/>
      <c r="F33" s="274"/>
      <c r="G33" s="36"/>
      <c r="H33" s="36"/>
      <c r="I33" s="36"/>
      <c r="J33" s="36"/>
      <c r="K33" s="36"/>
      <c r="L33" s="36">
        <f t="shared" si="6"/>
        <v>0</v>
      </c>
      <c r="M33" s="33"/>
      <c r="P33" s="178"/>
      <c r="Q33" s="178"/>
    </row>
    <row r="34" spans="1:17" ht="20.149999999999999" customHeight="1">
      <c r="A34" s="20" t="s">
        <v>227</v>
      </c>
      <c r="B34" s="6">
        <v>1031</v>
      </c>
      <c r="C34" s="36"/>
      <c r="D34" s="36"/>
      <c r="E34" s="237"/>
      <c r="F34" s="274"/>
      <c r="G34" s="36"/>
      <c r="H34" s="36"/>
      <c r="I34" s="36"/>
      <c r="J34" s="36"/>
      <c r="K34" s="36"/>
      <c r="L34" s="36">
        <f t="shared" si="6"/>
        <v>0</v>
      </c>
      <c r="M34" s="33"/>
      <c r="P34" s="178"/>
      <c r="Q34" s="178"/>
    </row>
    <row r="35" spans="1:17" ht="39" customHeight="1">
      <c r="A35" s="35" t="s">
        <v>234</v>
      </c>
      <c r="B35" s="8">
        <v>1040</v>
      </c>
      <c r="C35" s="38">
        <f t="shared" ref="C35:I35" si="13">SUM(C36:C57)</f>
        <v>5731</v>
      </c>
      <c r="D35" s="38">
        <f t="shared" si="13"/>
        <v>7414</v>
      </c>
      <c r="E35" s="236">
        <f t="shared" si="13"/>
        <v>4616</v>
      </c>
      <c r="F35" s="275">
        <f t="shared" si="13"/>
        <v>5954.6666666666661</v>
      </c>
      <c r="G35" s="38">
        <f t="shared" si="13"/>
        <v>2086.2213000000002</v>
      </c>
      <c r="H35" s="38">
        <f t="shared" si="13"/>
        <v>4170.4426000000003</v>
      </c>
      <c r="I35" s="38">
        <f t="shared" si="13"/>
        <v>6330.393399999999</v>
      </c>
      <c r="J35" s="38">
        <f>SUM(J36:J57)</f>
        <v>8147.1906633333329</v>
      </c>
      <c r="K35" s="38">
        <v>7598.1733333333332</v>
      </c>
      <c r="L35" s="36">
        <f t="shared" si="6"/>
        <v>8054.0637333333334</v>
      </c>
      <c r="M35" s="33"/>
      <c r="N35" s="224">
        <f>J35/J9</f>
        <v>0.16418444971257753</v>
      </c>
      <c r="P35" s="178"/>
      <c r="Q35" s="178"/>
    </row>
    <row r="36" spans="1:17" s="155" customFormat="1" ht="36">
      <c r="A36" s="20" t="s">
        <v>116</v>
      </c>
      <c r="B36" s="6">
        <v>1041</v>
      </c>
      <c r="C36" s="36"/>
      <c r="D36" s="36"/>
      <c r="E36" s="237"/>
      <c r="F36" s="274"/>
      <c r="G36" s="36"/>
      <c r="H36" s="36"/>
      <c r="I36" s="36"/>
      <c r="J36" s="36"/>
      <c r="K36" s="36"/>
      <c r="L36" s="36">
        <f t="shared" si="6"/>
        <v>0</v>
      </c>
      <c r="M36" s="33"/>
      <c r="P36" s="178"/>
      <c r="Q36" s="178"/>
    </row>
    <row r="37" spans="1:17" s="155" customFormat="1" ht="20.149999999999999" customHeight="1">
      <c r="A37" s="20" t="s">
        <v>216</v>
      </c>
      <c r="B37" s="6">
        <v>1042</v>
      </c>
      <c r="C37" s="36"/>
      <c r="D37" s="36"/>
      <c r="E37" s="237"/>
      <c r="F37" s="274"/>
      <c r="G37" s="287">
        <f>ROUND(J37*0.25,0)</f>
        <v>54</v>
      </c>
      <c r="H37" s="287">
        <f>ROUND(J37*0.5,0)</f>
        <v>108</v>
      </c>
      <c r="I37" s="287">
        <f>ROUND(J37*0.75,0)</f>
        <v>162</v>
      </c>
      <c r="J37" s="287">
        <f>18*12</f>
        <v>216</v>
      </c>
      <c r="K37" s="36">
        <v>0</v>
      </c>
      <c r="L37" s="36">
        <f t="shared" si="6"/>
        <v>0</v>
      </c>
      <c r="M37" s="33"/>
      <c r="P37" s="178"/>
      <c r="Q37" s="178"/>
    </row>
    <row r="38" spans="1:17" s="155" customFormat="1" ht="20.149999999999999" customHeight="1">
      <c r="A38" s="20" t="s">
        <v>63</v>
      </c>
      <c r="B38" s="6">
        <v>1043</v>
      </c>
      <c r="C38" s="36"/>
      <c r="D38" s="36"/>
      <c r="E38" s="237"/>
      <c r="F38" s="274"/>
      <c r="G38" s="36"/>
      <c r="H38" s="36"/>
      <c r="I38" s="36"/>
      <c r="J38" s="36"/>
      <c r="K38" s="36"/>
      <c r="L38" s="36">
        <f t="shared" si="6"/>
        <v>0</v>
      </c>
      <c r="M38" s="33"/>
      <c r="P38" s="178"/>
      <c r="Q38" s="178"/>
    </row>
    <row r="39" spans="1:17" s="155" customFormat="1" ht="20.149999999999999" customHeight="1">
      <c r="A39" s="20" t="s">
        <v>19</v>
      </c>
      <c r="B39" s="6">
        <v>1044</v>
      </c>
      <c r="C39" s="36"/>
      <c r="D39" s="36"/>
      <c r="E39" s="237"/>
      <c r="F39" s="274"/>
      <c r="G39" s="36"/>
      <c r="H39" s="36"/>
      <c r="I39" s="36"/>
      <c r="J39" s="36"/>
      <c r="K39" s="36"/>
      <c r="L39" s="36">
        <f t="shared" si="6"/>
        <v>0</v>
      </c>
      <c r="M39" s="33"/>
      <c r="P39" s="178"/>
      <c r="Q39" s="178"/>
    </row>
    <row r="40" spans="1:17" s="155" customFormat="1" ht="20.149999999999999" customHeight="1">
      <c r="A40" s="20" t="s">
        <v>20</v>
      </c>
      <c r="B40" s="6">
        <v>1045</v>
      </c>
      <c r="C40" s="36"/>
      <c r="D40" s="36"/>
      <c r="E40" s="237"/>
      <c r="F40" s="274"/>
      <c r="G40" s="36"/>
      <c r="H40" s="36"/>
      <c r="I40" s="36"/>
      <c r="J40" s="36"/>
      <c r="K40" s="36"/>
      <c r="L40" s="36">
        <f t="shared" si="6"/>
        <v>0</v>
      </c>
      <c r="M40" s="33"/>
      <c r="P40" s="178"/>
      <c r="Q40" s="178"/>
    </row>
    <row r="41" spans="1:17" s="155" customFormat="1" ht="20.149999999999999" customHeight="1">
      <c r="A41" s="20" t="s">
        <v>38</v>
      </c>
      <c r="B41" s="6">
        <v>1046</v>
      </c>
      <c r="C41" s="36">
        <v>2</v>
      </c>
      <c r="D41" s="36">
        <v>5</v>
      </c>
      <c r="E41" s="237"/>
      <c r="F41" s="274">
        <f>E41/9*12</f>
        <v>0</v>
      </c>
      <c r="G41" s="36"/>
      <c r="H41" s="36"/>
      <c r="I41" s="36"/>
      <c r="J41" s="36">
        <f t="shared" ref="J41:J56" si="14">L41</f>
        <v>5.3000000000000007</v>
      </c>
      <c r="K41" s="36">
        <v>5</v>
      </c>
      <c r="L41" s="36">
        <f t="shared" si="6"/>
        <v>5.3000000000000007</v>
      </c>
      <c r="M41" s="33"/>
      <c r="P41" s="178"/>
      <c r="Q41" s="178"/>
    </row>
    <row r="42" spans="1:17" s="155" customFormat="1" ht="20.149999999999999" customHeight="1">
      <c r="A42" s="20" t="s">
        <v>39</v>
      </c>
      <c r="B42" s="6">
        <v>1047</v>
      </c>
      <c r="C42" s="36">
        <v>15</v>
      </c>
      <c r="D42" s="36">
        <v>15</v>
      </c>
      <c r="E42" s="237">
        <v>4</v>
      </c>
      <c r="F42" s="274">
        <f>E42/9*12</f>
        <v>5.333333333333333</v>
      </c>
      <c r="G42" s="36">
        <f>ROUND(J42*0.25,0)</f>
        <v>4</v>
      </c>
      <c r="H42" s="36">
        <f>ROUND(J42*0.5,0)</f>
        <v>8</v>
      </c>
      <c r="I42" s="36">
        <f>ROUND(J42*0.75,0)</f>
        <v>12</v>
      </c>
      <c r="J42" s="36">
        <f t="shared" si="14"/>
        <v>16.253333333333334</v>
      </c>
      <c r="K42" s="36">
        <v>15.333333333333334</v>
      </c>
      <c r="L42" s="36">
        <f t="shared" si="6"/>
        <v>16.253333333333334</v>
      </c>
      <c r="M42" s="33"/>
      <c r="P42" s="178"/>
      <c r="Q42" s="178"/>
    </row>
    <row r="43" spans="1:17" s="193" customFormat="1" ht="20.149999999999999" customHeight="1">
      <c r="A43" s="20" t="s">
        <v>40</v>
      </c>
      <c r="B43" s="6">
        <v>1048</v>
      </c>
      <c r="C43" s="36">
        <v>4008</v>
      </c>
      <c r="D43" s="36">
        <v>5070</v>
      </c>
      <c r="E43" s="237">
        <v>3040</v>
      </c>
      <c r="F43" s="274">
        <f>E43/9*12</f>
        <v>4053.333333333333</v>
      </c>
      <c r="G43" s="174">
        <f>штатка!J8/1000</f>
        <v>1341.165</v>
      </c>
      <c r="H43" s="174">
        <f>штатка!K8/1000</f>
        <v>2682.33</v>
      </c>
      <c r="I43" s="174">
        <f>штатка!L8/1000</f>
        <v>4081.47</v>
      </c>
      <c r="J43" s="174">
        <f>штатка!M8/1000</f>
        <v>5212.277</v>
      </c>
      <c r="K43" s="36">
        <v>5212</v>
      </c>
      <c r="L43" s="36">
        <f t="shared" si="6"/>
        <v>5524.72</v>
      </c>
      <c r="M43" s="33"/>
      <c r="N43" s="194"/>
      <c r="O43" s="194"/>
      <c r="P43" s="178"/>
      <c r="Q43" s="178"/>
    </row>
    <row r="44" spans="1:17" s="157" customFormat="1" ht="20.149999999999999" customHeight="1">
      <c r="A44" s="20" t="s">
        <v>41</v>
      </c>
      <c r="B44" s="6">
        <v>1049</v>
      </c>
      <c r="C44" s="36">
        <v>919</v>
      </c>
      <c r="D44" s="36">
        <v>1115</v>
      </c>
      <c r="E44" s="237">
        <v>684</v>
      </c>
      <c r="F44" s="274">
        <f>E44/9*12</f>
        <v>912</v>
      </c>
      <c r="G44" s="174">
        <f>штатка!J9/1000</f>
        <v>295.05629999999996</v>
      </c>
      <c r="H44" s="174">
        <f>штатка!K9/1000</f>
        <v>590.11259999999993</v>
      </c>
      <c r="I44" s="174">
        <f>штатка!L9/1000</f>
        <v>897.92340000000002</v>
      </c>
      <c r="J44" s="174">
        <f>штатка!M9/1000</f>
        <v>1146.7009399999999</v>
      </c>
      <c r="K44" s="36">
        <v>1147</v>
      </c>
      <c r="L44" s="36">
        <f t="shared" si="6"/>
        <v>1215.8200000000002</v>
      </c>
      <c r="M44" s="33"/>
      <c r="N44" s="196"/>
      <c r="O44" s="196"/>
      <c r="P44" s="283"/>
      <c r="Q44" s="283"/>
    </row>
    <row r="45" spans="1:17" s="158" customFormat="1" ht="54">
      <c r="A45" s="20" t="s">
        <v>42</v>
      </c>
      <c r="B45" s="6">
        <v>1050</v>
      </c>
      <c r="C45" s="36">
        <v>44</v>
      </c>
      <c r="D45" s="36">
        <v>46</v>
      </c>
      <c r="E45" s="237">
        <v>45</v>
      </c>
      <c r="F45" s="274">
        <f>E45/9*12</f>
        <v>60</v>
      </c>
      <c r="G45" s="36">
        <f>ROUND(J45*0.25,0)</f>
        <v>20</v>
      </c>
      <c r="H45" s="36">
        <f>ROUND(J45*0.5,0)</f>
        <v>40</v>
      </c>
      <c r="I45" s="36">
        <f>ROUND(J45*0.75,0)</f>
        <v>60</v>
      </c>
      <c r="J45" s="36">
        <v>80</v>
      </c>
      <c r="K45" s="36">
        <v>46</v>
      </c>
      <c r="L45" s="36">
        <f t="shared" si="6"/>
        <v>48.760000000000005</v>
      </c>
      <c r="M45" s="33"/>
      <c r="P45" s="178"/>
      <c r="Q45" s="178"/>
    </row>
    <row r="46" spans="1:17" s="155" customFormat="1" ht="54">
      <c r="A46" s="20" t="s">
        <v>43</v>
      </c>
      <c r="B46" s="6">
        <v>1051</v>
      </c>
      <c r="C46" s="36"/>
      <c r="D46" s="36"/>
      <c r="E46" s="237"/>
      <c r="F46" s="274"/>
      <c r="G46" s="36"/>
      <c r="H46" s="36"/>
      <c r="I46" s="36"/>
      <c r="J46" s="36">
        <f t="shared" si="14"/>
        <v>0</v>
      </c>
      <c r="K46" s="36">
        <v>0</v>
      </c>
      <c r="L46" s="36">
        <f t="shared" si="6"/>
        <v>0</v>
      </c>
      <c r="M46" s="33"/>
      <c r="P46" s="178"/>
      <c r="Q46" s="178"/>
    </row>
    <row r="47" spans="1:17" s="155" customFormat="1" ht="36">
      <c r="A47" s="20" t="s">
        <v>44</v>
      </c>
      <c r="B47" s="6">
        <v>1052</v>
      </c>
      <c r="C47" s="36"/>
      <c r="D47" s="36"/>
      <c r="E47" s="237"/>
      <c r="F47" s="274"/>
      <c r="G47" s="36"/>
      <c r="H47" s="36"/>
      <c r="I47" s="36"/>
      <c r="J47" s="36">
        <f t="shared" si="14"/>
        <v>0</v>
      </c>
      <c r="K47" s="36"/>
      <c r="L47" s="36">
        <f t="shared" si="6"/>
        <v>0</v>
      </c>
      <c r="M47" s="33"/>
      <c r="P47" s="178"/>
      <c r="Q47" s="178"/>
    </row>
    <row r="48" spans="1:17" s="155" customFormat="1" ht="36">
      <c r="A48" s="20" t="s">
        <v>45</v>
      </c>
      <c r="B48" s="6">
        <v>1053</v>
      </c>
      <c r="C48" s="36"/>
      <c r="D48" s="36"/>
      <c r="E48" s="237"/>
      <c r="F48" s="274"/>
      <c r="G48" s="36"/>
      <c r="H48" s="36"/>
      <c r="I48" s="36"/>
      <c r="J48" s="36">
        <f t="shared" si="14"/>
        <v>0</v>
      </c>
      <c r="K48" s="36"/>
      <c r="L48" s="36">
        <f t="shared" si="6"/>
        <v>0</v>
      </c>
      <c r="M48" s="33"/>
      <c r="P48" s="178"/>
      <c r="Q48" s="178"/>
    </row>
    <row r="49" spans="1:17" s="155" customFormat="1" ht="20.149999999999999" customHeight="1">
      <c r="A49" s="20" t="s">
        <v>46</v>
      </c>
      <c r="B49" s="6">
        <v>1054</v>
      </c>
      <c r="C49" s="36">
        <v>121</v>
      </c>
      <c r="D49" s="36">
        <v>50</v>
      </c>
      <c r="E49" s="237">
        <v>101</v>
      </c>
      <c r="F49" s="274">
        <f>E49/9*12</f>
        <v>134.66666666666666</v>
      </c>
      <c r="G49" s="36">
        <f>ROUND(J49*0.25,0)</f>
        <v>50</v>
      </c>
      <c r="H49" s="36">
        <f>ROUND(J49*0.5,0)</f>
        <v>100</v>
      </c>
      <c r="I49" s="36">
        <f>ROUND(J49*0.75,0)</f>
        <v>150</v>
      </c>
      <c r="J49" s="36">
        <v>200</v>
      </c>
      <c r="K49" s="36">
        <v>50</v>
      </c>
      <c r="L49" s="36">
        <f t="shared" si="6"/>
        <v>53</v>
      </c>
      <c r="M49" s="33"/>
      <c r="P49" s="178"/>
      <c r="Q49" s="178"/>
    </row>
    <row r="50" spans="1:17" s="155" customFormat="1" ht="20.149999999999999" customHeight="1">
      <c r="A50" s="20" t="s">
        <v>67</v>
      </c>
      <c r="B50" s="6">
        <v>1055</v>
      </c>
      <c r="C50" s="36">
        <v>35</v>
      </c>
      <c r="D50" s="36">
        <v>80</v>
      </c>
      <c r="E50" s="237">
        <v>18</v>
      </c>
      <c r="F50" s="274">
        <f>E50/9*12</f>
        <v>24</v>
      </c>
      <c r="G50" s="36">
        <f>ROUND(J50*0.25,0)</f>
        <v>21</v>
      </c>
      <c r="H50" s="36">
        <f>ROUND(J50*0.5,0)</f>
        <v>42</v>
      </c>
      <c r="I50" s="36">
        <f>ROUND(J50*0.75,0)</f>
        <v>64</v>
      </c>
      <c r="J50" s="36">
        <f t="shared" si="14"/>
        <v>84.800000000000011</v>
      </c>
      <c r="K50" s="36">
        <v>80</v>
      </c>
      <c r="L50" s="36">
        <f t="shared" si="6"/>
        <v>84.800000000000011</v>
      </c>
      <c r="M50" s="33"/>
      <c r="P50" s="178"/>
      <c r="Q50" s="178"/>
    </row>
    <row r="51" spans="1:17" s="155" customFormat="1" ht="20.25" customHeight="1">
      <c r="A51" s="20" t="s">
        <v>47</v>
      </c>
      <c r="B51" s="6">
        <v>1056</v>
      </c>
      <c r="C51" s="36">
        <v>40</v>
      </c>
      <c r="D51" s="36">
        <v>120</v>
      </c>
      <c r="E51" s="237">
        <v>0</v>
      </c>
      <c r="F51" s="274">
        <f>E51/9*12</f>
        <v>0</v>
      </c>
      <c r="G51" s="36">
        <f>ROUND(J51*0.25,0)</f>
        <v>0</v>
      </c>
      <c r="H51" s="36">
        <f>ROUND(J51*0.5,0)</f>
        <v>0</v>
      </c>
      <c r="I51" s="36">
        <f>ROUND(J51*0.75,0)</f>
        <v>0</v>
      </c>
      <c r="J51" s="36">
        <v>0</v>
      </c>
      <c r="K51" s="36">
        <v>120</v>
      </c>
      <c r="L51" s="36">
        <f t="shared" si="6"/>
        <v>127.2</v>
      </c>
      <c r="M51" s="33"/>
      <c r="P51" s="178"/>
      <c r="Q51" s="178"/>
    </row>
    <row r="52" spans="1:17" s="155" customFormat="1" ht="20.149999999999999" customHeight="1">
      <c r="A52" s="20" t="s">
        <v>48</v>
      </c>
      <c r="B52" s="6">
        <v>1057</v>
      </c>
      <c r="C52" s="36"/>
      <c r="D52" s="36"/>
      <c r="E52" s="237"/>
      <c r="F52" s="274"/>
      <c r="G52" s="36"/>
      <c r="H52" s="36"/>
      <c r="I52" s="36"/>
      <c r="J52" s="36">
        <f t="shared" si="14"/>
        <v>0</v>
      </c>
      <c r="K52" s="36"/>
      <c r="L52" s="36">
        <f t="shared" si="6"/>
        <v>0</v>
      </c>
      <c r="M52" s="33"/>
      <c r="P52" s="178"/>
      <c r="Q52" s="178"/>
    </row>
    <row r="53" spans="1:17" s="155" customFormat="1" ht="36">
      <c r="A53" s="20" t="s">
        <v>49</v>
      </c>
      <c r="B53" s="6">
        <v>1058</v>
      </c>
      <c r="C53" s="36"/>
      <c r="D53" s="36"/>
      <c r="E53" s="237"/>
      <c r="F53" s="274"/>
      <c r="G53" s="36">
        <v>0</v>
      </c>
      <c r="H53" s="36">
        <v>0</v>
      </c>
      <c r="I53" s="36"/>
      <c r="J53" s="36">
        <f t="shared" si="14"/>
        <v>0</v>
      </c>
      <c r="K53" s="36"/>
      <c r="L53" s="36">
        <f t="shared" si="6"/>
        <v>0</v>
      </c>
      <c r="M53" s="174"/>
      <c r="P53" s="178"/>
      <c r="Q53" s="178"/>
    </row>
    <row r="54" spans="1:17" s="155" customFormat="1" ht="36">
      <c r="A54" s="20" t="s">
        <v>50</v>
      </c>
      <c r="B54" s="6">
        <v>1059</v>
      </c>
      <c r="C54" s="36"/>
      <c r="D54" s="36"/>
      <c r="E54" s="237"/>
      <c r="F54" s="274"/>
      <c r="G54" s="36"/>
      <c r="H54" s="36"/>
      <c r="I54" s="36"/>
      <c r="J54" s="36">
        <f t="shared" si="14"/>
        <v>0</v>
      </c>
      <c r="K54" s="36"/>
      <c r="L54" s="36">
        <f t="shared" si="6"/>
        <v>0</v>
      </c>
      <c r="M54" s="33"/>
      <c r="P54" s="178"/>
      <c r="Q54" s="178"/>
    </row>
    <row r="55" spans="1:17" s="155" customFormat="1" ht="72">
      <c r="A55" s="20" t="s">
        <v>79</v>
      </c>
      <c r="B55" s="6">
        <v>1060</v>
      </c>
      <c r="C55" s="36"/>
      <c r="D55" s="36"/>
      <c r="E55" s="237"/>
      <c r="F55" s="274"/>
      <c r="G55" s="36"/>
      <c r="H55" s="36"/>
      <c r="I55" s="36"/>
      <c r="J55" s="36">
        <f t="shared" si="14"/>
        <v>0</v>
      </c>
      <c r="K55" s="36"/>
      <c r="L55" s="36">
        <f t="shared" si="6"/>
        <v>0</v>
      </c>
      <c r="M55" s="33"/>
      <c r="P55" s="178"/>
      <c r="Q55" s="178"/>
    </row>
    <row r="56" spans="1:17" s="155" customFormat="1" ht="20.149999999999999" customHeight="1">
      <c r="A56" s="20" t="s">
        <v>51</v>
      </c>
      <c r="B56" s="6">
        <v>1061</v>
      </c>
      <c r="C56" s="36"/>
      <c r="D56" s="36"/>
      <c r="E56" s="237">
        <v>150</v>
      </c>
      <c r="F56" s="274"/>
      <c r="G56" s="36"/>
      <c r="H56" s="36"/>
      <c r="I56" s="36"/>
      <c r="J56" s="36">
        <f t="shared" si="14"/>
        <v>0</v>
      </c>
      <c r="K56" s="36"/>
      <c r="L56" s="36">
        <f t="shared" si="6"/>
        <v>0</v>
      </c>
      <c r="M56" s="33"/>
      <c r="P56" s="178"/>
      <c r="Q56" s="178"/>
    </row>
    <row r="57" spans="1:17" ht="36">
      <c r="A57" s="20" t="s">
        <v>120</v>
      </c>
      <c r="B57" s="6">
        <v>1062</v>
      </c>
      <c r="C57" s="36">
        <f>SUM(C58:C66)</f>
        <v>547</v>
      </c>
      <c r="D57" s="36">
        <f>SUM(D58:D65)</f>
        <v>913</v>
      </c>
      <c r="E57" s="237">
        <f t="shared" ref="E57:J57" si="15">SUM(E58:E66)</f>
        <v>574</v>
      </c>
      <c r="F57" s="274">
        <f t="shared" si="15"/>
        <v>765.33333333333337</v>
      </c>
      <c r="G57" s="36">
        <f t="shared" si="15"/>
        <v>301</v>
      </c>
      <c r="H57" s="36">
        <f t="shared" si="15"/>
        <v>600</v>
      </c>
      <c r="I57" s="36">
        <f t="shared" si="15"/>
        <v>903</v>
      </c>
      <c r="J57" s="36">
        <f t="shared" si="15"/>
        <v>1185.8593900000001</v>
      </c>
      <c r="K57" s="36">
        <v>922.84</v>
      </c>
      <c r="L57" s="36">
        <f t="shared" si="6"/>
        <v>978.21040000000005</v>
      </c>
      <c r="M57" s="33"/>
      <c r="P57" s="178"/>
      <c r="Q57" s="178"/>
    </row>
    <row r="58" spans="1:17" s="191" customFormat="1">
      <c r="A58" s="20" t="s">
        <v>65</v>
      </c>
      <c r="B58" s="3" t="s">
        <v>374</v>
      </c>
      <c r="C58" s="36">
        <v>21</v>
      </c>
      <c r="D58" s="36">
        <v>120</v>
      </c>
      <c r="E58" s="237">
        <v>38</v>
      </c>
      <c r="F58" s="274">
        <f t="shared" ref="F58:F66" si="16">E58/9*12</f>
        <v>50.666666666666671</v>
      </c>
      <c r="G58" s="36">
        <f>ROUND(J58*0.25,0)</f>
        <v>30</v>
      </c>
      <c r="H58" s="36">
        <f>ROUND(J58*0.5,0)</f>
        <v>60</v>
      </c>
      <c r="I58" s="36">
        <f>ROUND(J58*0.75,0)</f>
        <v>90</v>
      </c>
      <c r="J58" s="36">
        <v>120</v>
      </c>
      <c r="K58" s="36">
        <v>120</v>
      </c>
      <c r="L58" s="36">
        <f t="shared" si="6"/>
        <v>127.2</v>
      </c>
      <c r="M58" s="33"/>
      <c r="P58" s="178"/>
      <c r="Q58" s="178"/>
    </row>
    <row r="59" spans="1:17" s="155" customFormat="1">
      <c r="A59" s="20" t="s">
        <v>538</v>
      </c>
      <c r="B59" s="3" t="s">
        <v>375</v>
      </c>
      <c r="C59" s="36">
        <v>18</v>
      </c>
      <c r="D59" s="36">
        <v>50</v>
      </c>
      <c r="E59" s="237">
        <v>47</v>
      </c>
      <c r="F59" s="274">
        <f t="shared" si="16"/>
        <v>62.666666666666671</v>
      </c>
      <c r="G59" s="36">
        <f>ROUND(J59*0.25,0)</f>
        <v>38</v>
      </c>
      <c r="H59" s="36">
        <f>ROUND(J59*0.5,0)</f>
        <v>75</v>
      </c>
      <c r="I59" s="36">
        <f>ROUND(J59*0.75,0)</f>
        <v>113</v>
      </c>
      <c r="J59" s="36">
        <v>150</v>
      </c>
      <c r="K59" s="36">
        <v>50</v>
      </c>
      <c r="L59" s="36">
        <f t="shared" si="6"/>
        <v>53</v>
      </c>
      <c r="M59" s="33"/>
      <c r="P59" s="178"/>
      <c r="Q59" s="178"/>
    </row>
    <row r="60" spans="1:17" s="155" customFormat="1">
      <c r="A60" s="20" t="s">
        <v>389</v>
      </c>
      <c r="B60" s="3" t="s">
        <v>376</v>
      </c>
      <c r="C60" s="36">
        <v>170</v>
      </c>
      <c r="D60" s="36">
        <v>170</v>
      </c>
      <c r="E60" s="237">
        <v>159</v>
      </c>
      <c r="F60" s="274">
        <f t="shared" si="16"/>
        <v>212</v>
      </c>
      <c r="G60" s="36">
        <f>ROUND(J60*0.25,0)</f>
        <v>75</v>
      </c>
      <c r="H60" s="36">
        <f>ROUND(J60*0.5,0)</f>
        <v>150</v>
      </c>
      <c r="I60" s="36">
        <f>ROUND(J60*0.75,0)</f>
        <v>225</v>
      </c>
      <c r="J60" s="36">
        <v>300</v>
      </c>
      <c r="K60" s="36">
        <v>170</v>
      </c>
      <c r="L60" s="36">
        <f t="shared" si="6"/>
        <v>180.20000000000002</v>
      </c>
      <c r="M60" s="33"/>
      <c r="P60" s="178"/>
      <c r="Q60" s="178"/>
    </row>
    <row r="61" spans="1:17" s="156" customFormat="1">
      <c r="A61" s="20" t="s">
        <v>477</v>
      </c>
      <c r="B61" s="3" t="s">
        <v>377</v>
      </c>
      <c r="C61" s="36">
        <v>10</v>
      </c>
      <c r="D61" s="36">
        <v>86</v>
      </c>
      <c r="E61" s="237">
        <v>14</v>
      </c>
      <c r="F61" s="274">
        <f t="shared" si="16"/>
        <v>18.666666666666668</v>
      </c>
      <c r="G61" s="36">
        <f>ROUND(J61*0.25,0)</f>
        <v>22</v>
      </c>
      <c r="H61" s="36">
        <f>ROUND(J61*0.5,0)</f>
        <v>43</v>
      </c>
      <c r="I61" s="36">
        <f>ROUND(J61*0.75,0)</f>
        <v>65</v>
      </c>
      <c r="J61" s="36">
        <f>19+67</f>
        <v>86</v>
      </c>
      <c r="K61" s="36">
        <v>86</v>
      </c>
      <c r="L61" s="36">
        <f t="shared" si="6"/>
        <v>91.160000000000011</v>
      </c>
      <c r="M61" s="33"/>
      <c r="P61" s="178"/>
      <c r="Q61" s="178"/>
    </row>
    <row r="62" spans="1:17" s="155" customFormat="1">
      <c r="A62" s="20" t="s">
        <v>390</v>
      </c>
      <c r="B62" s="3" t="s">
        <v>387</v>
      </c>
      <c r="C62" s="36"/>
      <c r="D62" s="36">
        <v>7</v>
      </c>
      <c r="E62" s="237">
        <v>4</v>
      </c>
      <c r="F62" s="274">
        <f t="shared" si="16"/>
        <v>5.333333333333333</v>
      </c>
      <c r="G62" s="36">
        <f>ROUND(J62*0.25,0)</f>
        <v>2</v>
      </c>
      <c r="H62" s="36">
        <f>ROUND(J62*0.5,0)</f>
        <v>4</v>
      </c>
      <c r="I62" s="36">
        <f>ROUND(J62*0.75,0)</f>
        <v>5</v>
      </c>
      <c r="J62" s="36">
        <v>7</v>
      </c>
      <c r="K62" s="36">
        <v>7</v>
      </c>
      <c r="L62" s="36">
        <f t="shared" si="6"/>
        <v>7.42</v>
      </c>
      <c r="M62" s="33"/>
      <c r="P62" s="178"/>
      <c r="Q62" s="178"/>
    </row>
    <row r="63" spans="1:17" s="155" customFormat="1">
      <c r="A63" s="20" t="s">
        <v>423</v>
      </c>
      <c r="B63" s="3" t="s">
        <v>388</v>
      </c>
      <c r="C63" s="36">
        <v>308</v>
      </c>
      <c r="D63" s="36">
        <v>355</v>
      </c>
      <c r="E63" s="237">
        <v>231</v>
      </c>
      <c r="F63" s="274">
        <f t="shared" si="16"/>
        <v>308</v>
      </c>
      <c r="G63" s="36">
        <f>ROUND(G43*0.07,0)</f>
        <v>94</v>
      </c>
      <c r="H63" s="36">
        <f>ROUND(H43*0.07,0)</f>
        <v>188</v>
      </c>
      <c r="I63" s="36">
        <f>ROUND(I43*0.07,0)</f>
        <v>286</v>
      </c>
      <c r="J63" s="36">
        <f>J43*0.07</f>
        <v>364.85939000000002</v>
      </c>
      <c r="K63" s="36">
        <v>364.84000000000003</v>
      </c>
      <c r="L63" s="36">
        <f t="shared" si="6"/>
        <v>386.73040000000003</v>
      </c>
      <c r="M63" s="33"/>
      <c r="P63" s="178"/>
      <c r="Q63" s="178"/>
    </row>
    <row r="64" spans="1:17" s="155" customFormat="1">
      <c r="A64" s="20" t="s">
        <v>391</v>
      </c>
      <c r="B64" s="3" t="s">
        <v>452</v>
      </c>
      <c r="C64" s="36">
        <v>2</v>
      </c>
      <c r="D64" s="36">
        <v>5</v>
      </c>
      <c r="E64" s="237">
        <v>0</v>
      </c>
      <c r="F64" s="274">
        <f t="shared" si="16"/>
        <v>0</v>
      </c>
      <c r="G64" s="36">
        <f>ROUND(J64*0.25,0)</f>
        <v>1</v>
      </c>
      <c r="H64" s="36">
        <f>ROUND(J64*0.5,0)</f>
        <v>3</v>
      </c>
      <c r="I64" s="36">
        <f>ROUND(J64*0.75,0)</f>
        <v>4</v>
      </c>
      <c r="J64" s="36">
        <v>5</v>
      </c>
      <c r="K64" s="36">
        <v>5</v>
      </c>
      <c r="L64" s="36">
        <f t="shared" si="6"/>
        <v>5.3000000000000007</v>
      </c>
      <c r="M64" s="33"/>
      <c r="P64" s="178"/>
      <c r="Q64" s="178"/>
    </row>
    <row r="65" spans="1:17" s="155" customFormat="1">
      <c r="A65" s="20" t="s">
        <v>540</v>
      </c>
      <c r="B65" s="3" t="s">
        <v>539</v>
      </c>
      <c r="C65" s="36">
        <v>15</v>
      </c>
      <c r="D65" s="36">
        <v>120</v>
      </c>
      <c r="E65" s="237">
        <v>76</v>
      </c>
      <c r="F65" s="274">
        <f t="shared" si="16"/>
        <v>101.33333333333334</v>
      </c>
      <c r="G65" s="36">
        <f>ROUND(J65*0.25,0)</f>
        <v>38</v>
      </c>
      <c r="H65" s="36">
        <f>ROUND(J65*0.5,0)</f>
        <v>75</v>
      </c>
      <c r="I65" s="36">
        <f>ROUND(J65*0.75,0)</f>
        <v>113</v>
      </c>
      <c r="J65" s="36">
        <v>150</v>
      </c>
      <c r="K65" s="36">
        <v>120</v>
      </c>
      <c r="L65" s="36">
        <f t="shared" si="6"/>
        <v>127.2</v>
      </c>
      <c r="M65" s="33"/>
      <c r="P65" s="178"/>
      <c r="Q65" s="178"/>
    </row>
    <row r="66" spans="1:17" s="155" customFormat="1" ht="36">
      <c r="A66" s="20" t="s">
        <v>572</v>
      </c>
      <c r="B66" s="3" t="s">
        <v>560</v>
      </c>
      <c r="C66" s="36">
        <v>3</v>
      </c>
      <c r="D66" s="36"/>
      <c r="E66" s="237">
        <v>5</v>
      </c>
      <c r="F66" s="274">
        <f t="shared" si="16"/>
        <v>6.666666666666667</v>
      </c>
      <c r="G66" s="36">
        <f>ROUND(J66*0.25,0)</f>
        <v>1</v>
      </c>
      <c r="H66" s="36">
        <f>ROUND(J66*0.5,0)</f>
        <v>2</v>
      </c>
      <c r="I66" s="36">
        <f>ROUND(J66*0.75,0)</f>
        <v>2</v>
      </c>
      <c r="J66" s="36">
        <v>3</v>
      </c>
      <c r="K66" s="36"/>
      <c r="L66" s="36"/>
      <c r="M66" s="33"/>
      <c r="P66" s="178"/>
      <c r="Q66" s="178"/>
    </row>
    <row r="67" spans="1:17" ht="20.149999999999999" customHeight="1">
      <c r="A67" s="35" t="s">
        <v>235</v>
      </c>
      <c r="B67" s="8">
        <v>1070</v>
      </c>
      <c r="C67" s="38">
        <f t="shared" ref="C67:J67" si="17">SUM(C68:C73)</f>
        <v>1955</v>
      </c>
      <c r="D67" s="38">
        <f t="shared" si="17"/>
        <v>4535</v>
      </c>
      <c r="E67" s="236">
        <f t="shared" si="17"/>
        <v>1887</v>
      </c>
      <c r="F67" s="275">
        <f>SUM(F68:F73)</f>
        <v>2516</v>
      </c>
      <c r="G67" s="38">
        <f t="shared" si="17"/>
        <v>1259.62924</v>
      </c>
      <c r="H67" s="38">
        <f t="shared" si="17"/>
        <v>2517.25848</v>
      </c>
      <c r="I67" s="38">
        <f t="shared" si="17"/>
        <v>3826.8658400000004</v>
      </c>
      <c r="J67" s="38">
        <f t="shared" si="17"/>
        <v>5189.6319299999996</v>
      </c>
      <c r="K67" s="38">
        <v>4866.9566666666669</v>
      </c>
      <c r="L67" s="36">
        <f t="shared" si="6"/>
        <v>5158.9740666666676</v>
      </c>
      <c r="M67" s="33"/>
      <c r="N67" s="224">
        <f>J67/J9</f>
        <v>0.10458290444491231</v>
      </c>
      <c r="P67" s="178"/>
      <c r="Q67" s="178"/>
    </row>
    <row r="68" spans="1:17" s="155" customFormat="1" ht="20.149999999999999" customHeight="1">
      <c r="A68" s="20" t="s">
        <v>194</v>
      </c>
      <c r="B68" s="6">
        <v>1071</v>
      </c>
      <c r="C68" s="36"/>
      <c r="D68" s="36"/>
      <c r="E68" s="237"/>
      <c r="F68" s="274">
        <f>E68/4*7</f>
        <v>0</v>
      </c>
      <c r="G68" s="36"/>
      <c r="H68" s="36"/>
      <c r="I68" s="36"/>
      <c r="J68" s="36"/>
      <c r="K68" s="36"/>
      <c r="L68" s="36">
        <f t="shared" si="6"/>
        <v>0</v>
      </c>
      <c r="M68" s="33"/>
      <c r="P68" s="178"/>
      <c r="Q68" s="178"/>
    </row>
    <row r="69" spans="1:17" s="155" customFormat="1" ht="20.149999999999999" customHeight="1">
      <c r="A69" s="20" t="s">
        <v>195</v>
      </c>
      <c r="B69" s="6">
        <v>1072</v>
      </c>
      <c r="C69" s="36"/>
      <c r="D69" s="36"/>
      <c r="E69" s="237"/>
      <c r="F69" s="274">
        <f>E69/4*7</f>
        <v>0</v>
      </c>
      <c r="G69" s="36"/>
      <c r="H69" s="36"/>
      <c r="I69" s="36"/>
      <c r="J69" s="36"/>
      <c r="K69" s="36"/>
      <c r="L69" s="36">
        <f t="shared" si="6"/>
        <v>0</v>
      </c>
      <c r="M69" s="33"/>
      <c r="P69" s="178"/>
      <c r="Q69" s="178"/>
    </row>
    <row r="70" spans="1:17" s="193" customFormat="1" ht="20.149999999999999" customHeight="1">
      <c r="A70" s="20" t="s">
        <v>40</v>
      </c>
      <c r="B70" s="6">
        <v>1073</v>
      </c>
      <c r="C70" s="36">
        <v>1167</v>
      </c>
      <c r="D70" s="36">
        <v>3170</v>
      </c>
      <c r="E70" s="237">
        <v>1146</v>
      </c>
      <c r="F70" s="274">
        <f>E70/9*12</f>
        <v>1528</v>
      </c>
      <c r="G70" s="174">
        <f>штатка!J11/1000</f>
        <v>834.94200000000001</v>
      </c>
      <c r="H70" s="174">
        <f>штатка!K11/1000</f>
        <v>1669.884</v>
      </c>
      <c r="I70" s="174">
        <f>штатка!L11/1000</f>
        <v>2544.9720000000002</v>
      </c>
      <c r="J70" s="174">
        <f>штатка!M11/1000</f>
        <v>3427.0169999999998</v>
      </c>
      <c r="K70" s="36">
        <v>3427</v>
      </c>
      <c r="L70" s="36">
        <f t="shared" si="6"/>
        <v>3632.6200000000003</v>
      </c>
      <c r="M70" s="33"/>
      <c r="N70" s="192"/>
      <c r="O70" s="192"/>
      <c r="P70" s="178"/>
      <c r="Q70" s="178"/>
    </row>
    <row r="71" spans="1:17" s="158" customFormat="1" ht="36">
      <c r="A71" s="20" t="s">
        <v>64</v>
      </c>
      <c r="B71" s="6">
        <v>1074</v>
      </c>
      <c r="C71" s="36">
        <v>31</v>
      </c>
      <c r="D71" s="36">
        <v>35</v>
      </c>
      <c r="E71" s="237">
        <v>45</v>
      </c>
      <c r="F71" s="274">
        <f>E71/9*12</f>
        <v>60</v>
      </c>
      <c r="G71" s="36">
        <f>ROUND(J71*0.25,0)</f>
        <v>18</v>
      </c>
      <c r="H71" s="36">
        <f>ROUND(J71*0.5,0)</f>
        <v>35</v>
      </c>
      <c r="I71" s="36">
        <f>ROUND(J71*0.75,0)</f>
        <v>53</v>
      </c>
      <c r="J71" s="36">
        <v>70</v>
      </c>
      <c r="K71" s="36">
        <v>35.266666666666666</v>
      </c>
      <c r="L71" s="36">
        <f t="shared" si="6"/>
        <v>37.382666666666665</v>
      </c>
      <c r="M71" s="33"/>
      <c r="N71" s="197"/>
      <c r="O71" s="197"/>
      <c r="P71" s="284"/>
      <c r="Q71" s="284"/>
    </row>
    <row r="72" spans="1:17" s="155" customFormat="1" ht="17.25" customHeight="1">
      <c r="A72" s="20" t="s">
        <v>82</v>
      </c>
      <c r="B72" s="6">
        <v>1075</v>
      </c>
      <c r="C72" s="36"/>
      <c r="D72" s="36"/>
      <c r="E72" s="237"/>
      <c r="F72" s="274">
        <f>E72/9*12</f>
        <v>0</v>
      </c>
      <c r="G72" s="36"/>
      <c r="H72" s="36"/>
      <c r="I72" s="36"/>
      <c r="J72" s="36"/>
      <c r="K72" s="36"/>
      <c r="L72" s="36">
        <f t="shared" si="6"/>
        <v>0</v>
      </c>
      <c r="M72" s="33"/>
      <c r="N72" s="199"/>
      <c r="O72" s="199"/>
      <c r="P72" s="284"/>
      <c r="Q72" s="284"/>
    </row>
    <row r="73" spans="1:17" ht="20.149999999999999" customHeight="1">
      <c r="A73" s="20" t="s">
        <v>132</v>
      </c>
      <c r="B73" s="6">
        <v>1076</v>
      </c>
      <c r="C73" s="36">
        <f t="shared" ref="C73:H73" si="18">SUM(C74:C79)</f>
        <v>757</v>
      </c>
      <c r="D73" s="36">
        <f>SUM(D74:D79)</f>
        <v>1330</v>
      </c>
      <c r="E73" s="237">
        <f>SUM(E74:E79)</f>
        <v>696</v>
      </c>
      <c r="F73" s="237">
        <f>SUM(F74:F79)</f>
        <v>928.00000000000011</v>
      </c>
      <c r="G73" s="36">
        <f t="shared" si="18"/>
        <v>406.68723999999997</v>
      </c>
      <c r="H73" s="36">
        <f t="shared" si="18"/>
        <v>812.37447999999995</v>
      </c>
      <c r="I73" s="36">
        <f>SUM(I74:I79)</f>
        <v>1228.89384</v>
      </c>
      <c r="J73" s="36">
        <f>SUM(J74:J79)</f>
        <v>1692.61493</v>
      </c>
      <c r="K73" s="36">
        <v>1404.6899999999998</v>
      </c>
      <c r="L73" s="36">
        <f t="shared" si="6"/>
        <v>1488.9713999999999</v>
      </c>
      <c r="M73" s="33"/>
      <c r="N73" s="48"/>
      <c r="O73" s="48"/>
      <c r="P73" s="284"/>
      <c r="Q73" s="284"/>
    </row>
    <row r="74" spans="1:17" s="157" customFormat="1" ht="20.149999999999999" customHeight="1">
      <c r="A74" s="20" t="s">
        <v>41</v>
      </c>
      <c r="B74" s="3" t="s">
        <v>392</v>
      </c>
      <c r="C74" s="36">
        <v>262</v>
      </c>
      <c r="D74" s="36">
        <v>697</v>
      </c>
      <c r="E74" s="237">
        <v>239</v>
      </c>
      <c r="F74" s="274">
        <f t="shared" ref="F74:F86" si="19">E74/9*12</f>
        <v>318.66666666666669</v>
      </c>
      <c r="G74" s="174">
        <f>штатка!J12/1000</f>
        <v>183.68724</v>
      </c>
      <c r="H74" s="174">
        <f>штатка!K12/1000</f>
        <v>367.37448000000001</v>
      </c>
      <c r="I74" s="174">
        <f>штатка!L12/1000</f>
        <v>559.89383999999995</v>
      </c>
      <c r="J74" s="174">
        <f>штатка!M12/1000</f>
        <v>753.94373999999993</v>
      </c>
      <c r="K74" s="36">
        <v>754</v>
      </c>
      <c r="L74" s="36">
        <f t="shared" si="6"/>
        <v>799.24</v>
      </c>
      <c r="M74" s="33"/>
      <c r="N74" s="195"/>
      <c r="O74" s="195"/>
      <c r="P74" s="178"/>
      <c r="Q74" s="178"/>
    </row>
    <row r="75" spans="1:17" s="155" customFormat="1" ht="20.149999999999999" customHeight="1">
      <c r="A75" s="20" t="s">
        <v>423</v>
      </c>
      <c r="B75" s="3" t="s">
        <v>393</v>
      </c>
      <c r="C75" s="36">
        <v>45</v>
      </c>
      <c r="D75" s="36">
        <v>222</v>
      </c>
      <c r="E75" s="237">
        <v>85</v>
      </c>
      <c r="F75" s="274">
        <f t="shared" si="19"/>
        <v>113.33333333333334</v>
      </c>
      <c r="G75" s="36">
        <f>ROUND(G70*0.07,0)</f>
        <v>58</v>
      </c>
      <c r="H75" s="36">
        <f>ROUND(H70*0.07,0)</f>
        <v>117</v>
      </c>
      <c r="I75" s="36">
        <f>ROUND(I70*0.07,0)</f>
        <v>178</v>
      </c>
      <c r="J75" s="36">
        <f>J70*0.07</f>
        <v>239.89119000000002</v>
      </c>
      <c r="K75" s="36">
        <v>239.89000000000001</v>
      </c>
      <c r="L75" s="36">
        <f t="shared" si="6"/>
        <v>254.28340000000003</v>
      </c>
      <c r="M75" s="33"/>
      <c r="P75" s="178"/>
      <c r="Q75" s="178"/>
    </row>
    <row r="76" spans="1:17" s="155" customFormat="1" ht="20.149999999999999" customHeight="1">
      <c r="A76" s="20" t="s">
        <v>397</v>
      </c>
      <c r="B76" s="3" t="s">
        <v>394</v>
      </c>
      <c r="C76" s="36">
        <v>146</v>
      </c>
      <c r="D76" s="36">
        <v>120</v>
      </c>
      <c r="E76" s="237">
        <v>116</v>
      </c>
      <c r="F76" s="274">
        <f t="shared" si="19"/>
        <v>154.66666666666669</v>
      </c>
      <c r="G76" s="36">
        <f>ROUND(J76*0.25,0)</f>
        <v>50</v>
      </c>
      <c r="H76" s="36">
        <f>ROUND(J76*0.5,0)</f>
        <v>100</v>
      </c>
      <c r="I76" s="36">
        <f>ROUND(J76*0.75,0)</f>
        <v>150</v>
      </c>
      <c r="J76" s="36">
        <v>200</v>
      </c>
      <c r="K76" s="36">
        <v>120</v>
      </c>
      <c r="L76" s="36">
        <f t="shared" si="6"/>
        <v>127.2</v>
      </c>
      <c r="M76" s="33"/>
      <c r="P76" s="178"/>
      <c r="Q76" s="178"/>
    </row>
    <row r="77" spans="1:17" s="191" customFormat="1" ht="20.149999999999999" customHeight="1">
      <c r="A77" s="20" t="s">
        <v>65</v>
      </c>
      <c r="B77" s="3" t="s">
        <v>395</v>
      </c>
      <c r="C77" s="36">
        <v>184</v>
      </c>
      <c r="D77" s="36">
        <v>175</v>
      </c>
      <c r="E77" s="237">
        <v>143</v>
      </c>
      <c r="F77" s="274">
        <f t="shared" si="19"/>
        <v>190.66666666666669</v>
      </c>
      <c r="G77" s="36">
        <f>ROUND(J77*0.25,0)</f>
        <v>75</v>
      </c>
      <c r="H77" s="36">
        <f>ROUND(J77*0.5,0)</f>
        <v>150</v>
      </c>
      <c r="I77" s="36">
        <f>ROUND(J77*0.75,0)</f>
        <v>225</v>
      </c>
      <c r="J77" s="36">
        <v>300</v>
      </c>
      <c r="K77" s="36">
        <v>174.8</v>
      </c>
      <c r="L77" s="36">
        <f t="shared" ref="L77:L121" si="20">K77*$L$5</f>
        <v>185.28800000000001</v>
      </c>
      <c r="M77" s="207" t="s">
        <v>459</v>
      </c>
      <c r="P77" s="178"/>
      <c r="Q77" s="178"/>
    </row>
    <row r="78" spans="1:17" s="155" customFormat="1" ht="20.149999999999999" customHeight="1">
      <c r="A78" s="20" t="s">
        <v>509</v>
      </c>
      <c r="B78" s="3" t="s">
        <v>396</v>
      </c>
      <c r="C78" s="36"/>
      <c r="D78" s="36">
        <v>0</v>
      </c>
      <c r="E78" s="237">
        <v>2</v>
      </c>
      <c r="F78" s="274">
        <f t="shared" si="19"/>
        <v>2.6666666666666665</v>
      </c>
      <c r="G78" s="36">
        <f>ROUND(J78*0.25,0)</f>
        <v>1</v>
      </c>
      <c r="H78" s="36">
        <f>ROUND(J78*0.5,0)</f>
        <v>2</v>
      </c>
      <c r="I78" s="36">
        <f>ROUND(J78*0.75,0)</f>
        <v>2</v>
      </c>
      <c r="J78" s="36">
        <v>3</v>
      </c>
      <c r="K78" s="36"/>
      <c r="L78" s="36">
        <f t="shared" si="20"/>
        <v>0</v>
      </c>
      <c r="M78" s="33"/>
      <c r="P78" s="178"/>
      <c r="Q78" s="178"/>
    </row>
    <row r="79" spans="1:17" s="155" customFormat="1" ht="20.149999999999999" customHeight="1">
      <c r="A79" s="20" t="s">
        <v>398</v>
      </c>
      <c r="B79" s="3" t="s">
        <v>467</v>
      </c>
      <c r="C79" s="36">
        <f>SUM(C80:C86)</f>
        <v>120</v>
      </c>
      <c r="D79" s="36">
        <v>116</v>
      </c>
      <c r="E79" s="237">
        <v>111</v>
      </c>
      <c r="F79" s="274">
        <f t="shared" si="19"/>
        <v>148</v>
      </c>
      <c r="G79" s="36">
        <f>SUM(G80:G84)</f>
        <v>39</v>
      </c>
      <c r="H79" s="36">
        <f>SUM(H80:H84)</f>
        <v>76</v>
      </c>
      <c r="I79" s="36">
        <f>SUM(I80:I84)</f>
        <v>114</v>
      </c>
      <c r="J79" s="36">
        <f>SUM(J80:J86)</f>
        <v>195.78</v>
      </c>
      <c r="K79" s="36">
        <v>116</v>
      </c>
      <c r="L79" s="36">
        <f t="shared" si="20"/>
        <v>122.96000000000001</v>
      </c>
      <c r="M79" s="33"/>
      <c r="P79" s="178"/>
      <c r="Q79" s="178"/>
    </row>
    <row r="80" spans="1:17" s="155" customFormat="1" ht="20.149999999999999" customHeight="1">
      <c r="A80" s="20" t="s">
        <v>443</v>
      </c>
      <c r="B80" s="3" t="s">
        <v>468</v>
      </c>
      <c r="C80" s="36"/>
      <c r="D80" s="36">
        <v>3</v>
      </c>
      <c r="E80" s="237"/>
      <c r="F80" s="274">
        <f t="shared" si="19"/>
        <v>0</v>
      </c>
      <c r="G80" s="36">
        <f t="shared" ref="G80:G86" si="21">ROUND(J80*0.25,0)</f>
        <v>1</v>
      </c>
      <c r="H80" s="36">
        <f t="shared" ref="H80:H86" si="22">ROUND(J80*0.5,0)</f>
        <v>2</v>
      </c>
      <c r="I80" s="36">
        <f t="shared" ref="I80:I86" si="23">ROUND(J80*0.75,0)</f>
        <v>2</v>
      </c>
      <c r="J80" s="36">
        <f t="shared" ref="J80:J81" si="24">L80</f>
        <v>3.18</v>
      </c>
      <c r="K80" s="36">
        <v>3</v>
      </c>
      <c r="L80" s="36">
        <f t="shared" si="20"/>
        <v>3.18</v>
      </c>
      <c r="M80" s="33"/>
      <c r="P80" s="178"/>
      <c r="Q80" s="178"/>
    </row>
    <row r="81" spans="1:17" s="155" customFormat="1" ht="20.149999999999999" customHeight="1">
      <c r="A81" s="20" t="s">
        <v>390</v>
      </c>
      <c r="B81" s="3" t="s">
        <v>469</v>
      </c>
      <c r="C81" s="36">
        <v>6</v>
      </c>
      <c r="D81" s="36">
        <v>10</v>
      </c>
      <c r="E81" s="237">
        <v>4</v>
      </c>
      <c r="F81" s="274">
        <f t="shared" si="19"/>
        <v>5.333333333333333</v>
      </c>
      <c r="G81" s="36">
        <f t="shared" si="21"/>
        <v>3</v>
      </c>
      <c r="H81" s="36">
        <f t="shared" si="22"/>
        <v>5</v>
      </c>
      <c r="I81" s="36">
        <f t="shared" si="23"/>
        <v>8</v>
      </c>
      <c r="J81" s="36">
        <f t="shared" si="24"/>
        <v>10.600000000000001</v>
      </c>
      <c r="K81" s="36">
        <v>10</v>
      </c>
      <c r="L81" s="36">
        <f t="shared" si="20"/>
        <v>10.600000000000001</v>
      </c>
      <c r="M81" s="33"/>
      <c r="P81" s="178"/>
      <c r="Q81" s="178"/>
    </row>
    <row r="82" spans="1:17" s="155" customFormat="1" ht="20.149999999999999" customHeight="1">
      <c r="A82" s="20" t="s">
        <v>399</v>
      </c>
      <c r="B82" s="3" t="s">
        <v>470</v>
      </c>
      <c r="C82" s="36">
        <v>5</v>
      </c>
      <c r="D82" s="36">
        <v>7</v>
      </c>
      <c r="E82" s="237">
        <v>7</v>
      </c>
      <c r="F82" s="274">
        <f t="shared" si="19"/>
        <v>9.3333333333333339</v>
      </c>
      <c r="G82" s="36">
        <f t="shared" si="21"/>
        <v>3</v>
      </c>
      <c r="H82" s="36">
        <f t="shared" si="22"/>
        <v>6</v>
      </c>
      <c r="I82" s="36">
        <f t="shared" si="23"/>
        <v>9</v>
      </c>
      <c r="J82" s="36">
        <v>12</v>
      </c>
      <c r="K82" s="36">
        <v>7</v>
      </c>
      <c r="L82" s="36">
        <f t="shared" si="20"/>
        <v>7.42</v>
      </c>
      <c r="M82" s="33"/>
      <c r="P82" s="178"/>
      <c r="Q82" s="178"/>
    </row>
    <row r="83" spans="1:17" s="155" customFormat="1" ht="20.149999999999999" customHeight="1">
      <c r="A83" s="20" t="s">
        <v>400</v>
      </c>
      <c r="B83" s="3" t="s">
        <v>471</v>
      </c>
      <c r="C83" s="36">
        <v>2</v>
      </c>
      <c r="D83" s="36">
        <v>2</v>
      </c>
      <c r="E83" s="237">
        <v>3</v>
      </c>
      <c r="F83" s="274">
        <f t="shared" si="19"/>
        <v>4</v>
      </c>
      <c r="G83" s="36">
        <f t="shared" si="21"/>
        <v>2</v>
      </c>
      <c r="H83" s="36">
        <f t="shared" si="22"/>
        <v>3</v>
      </c>
      <c r="I83" s="36">
        <f t="shared" si="23"/>
        <v>5</v>
      </c>
      <c r="J83" s="36">
        <v>6</v>
      </c>
      <c r="K83" s="36">
        <v>2</v>
      </c>
      <c r="L83" s="36">
        <f t="shared" si="20"/>
        <v>2.12</v>
      </c>
      <c r="M83" s="33"/>
      <c r="P83" s="178"/>
      <c r="Q83" s="178"/>
    </row>
    <row r="84" spans="1:17" s="155" customFormat="1" ht="20.149999999999999" customHeight="1">
      <c r="A84" s="20" t="s">
        <v>46</v>
      </c>
      <c r="B84" s="3" t="s">
        <v>472</v>
      </c>
      <c r="C84" s="36">
        <v>80</v>
      </c>
      <c r="D84" s="36">
        <v>94</v>
      </c>
      <c r="E84" s="237">
        <v>75</v>
      </c>
      <c r="F84" s="274">
        <f t="shared" si="19"/>
        <v>100</v>
      </c>
      <c r="G84" s="36">
        <f t="shared" si="21"/>
        <v>30</v>
      </c>
      <c r="H84" s="36">
        <f t="shared" si="22"/>
        <v>60</v>
      </c>
      <c r="I84" s="36">
        <f t="shared" si="23"/>
        <v>90</v>
      </c>
      <c r="J84" s="36">
        <v>120</v>
      </c>
      <c r="K84" s="36">
        <v>94</v>
      </c>
      <c r="L84" s="36">
        <f t="shared" si="20"/>
        <v>99.64</v>
      </c>
      <c r="M84" s="33"/>
      <c r="P84" s="178"/>
      <c r="Q84" s="178"/>
    </row>
    <row r="85" spans="1:17" s="155" customFormat="1" ht="20.149999999999999" customHeight="1">
      <c r="A85" s="20" t="s">
        <v>564</v>
      </c>
      <c r="B85" s="3" t="s">
        <v>562</v>
      </c>
      <c r="C85" s="36">
        <v>25</v>
      </c>
      <c r="D85" s="36"/>
      <c r="E85" s="237">
        <v>19</v>
      </c>
      <c r="F85" s="274">
        <f t="shared" si="19"/>
        <v>25.333333333333336</v>
      </c>
      <c r="G85" s="36">
        <f t="shared" si="21"/>
        <v>10</v>
      </c>
      <c r="H85" s="36">
        <f t="shared" si="22"/>
        <v>20</v>
      </c>
      <c r="I85" s="36">
        <f t="shared" si="23"/>
        <v>30</v>
      </c>
      <c r="J85" s="36">
        <v>40</v>
      </c>
      <c r="K85" s="36"/>
      <c r="L85" s="36"/>
      <c r="M85" s="33"/>
      <c r="P85" s="178"/>
      <c r="Q85" s="178"/>
    </row>
    <row r="86" spans="1:17" s="155" customFormat="1" ht="20.149999999999999" customHeight="1">
      <c r="A86" s="20" t="s">
        <v>561</v>
      </c>
      <c r="B86" s="3" t="s">
        <v>563</v>
      </c>
      <c r="C86" s="36">
        <v>2</v>
      </c>
      <c r="D86" s="36"/>
      <c r="E86" s="237">
        <v>3</v>
      </c>
      <c r="F86" s="274">
        <f t="shared" si="19"/>
        <v>4</v>
      </c>
      <c r="G86" s="36">
        <f t="shared" si="21"/>
        <v>1</v>
      </c>
      <c r="H86" s="36">
        <f t="shared" si="22"/>
        <v>2</v>
      </c>
      <c r="I86" s="36">
        <f t="shared" si="23"/>
        <v>3</v>
      </c>
      <c r="J86" s="36">
        <v>4</v>
      </c>
      <c r="K86" s="36"/>
      <c r="L86" s="36"/>
      <c r="M86" s="33"/>
      <c r="P86" s="178"/>
      <c r="Q86" s="178"/>
    </row>
    <row r="87" spans="1:17" s="200" customFormat="1" ht="35">
      <c r="A87" s="208" t="s">
        <v>84</v>
      </c>
      <c r="B87" s="8">
        <v>1080</v>
      </c>
      <c r="C87" s="38">
        <f t="shared" ref="C87:J87" si="25">SUM(C88:C92)</f>
        <v>96</v>
      </c>
      <c r="D87" s="38">
        <f t="shared" si="25"/>
        <v>0</v>
      </c>
      <c r="E87" s="236">
        <f t="shared" si="25"/>
        <v>2126.8000000000002</v>
      </c>
      <c r="F87" s="275">
        <f>SUM(F88:F92)</f>
        <v>2835.7333333333336</v>
      </c>
      <c r="G87" s="38">
        <f t="shared" si="25"/>
        <v>0</v>
      </c>
      <c r="H87" s="38">
        <f t="shared" si="25"/>
        <v>0</v>
      </c>
      <c r="I87" s="38">
        <f t="shared" si="25"/>
        <v>0</v>
      </c>
      <c r="J87" s="38">
        <f t="shared" si="25"/>
        <v>0</v>
      </c>
      <c r="K87" s="38">
        <v>0</v>
      </c>
      <c r="L87" s="36">
        <f t="shared" si="20"/>
        <v>0</v>
      </c>
      <c r="M87" s="34"/>
      <c r="P87" s="282"/>
      <c r="Q87" s="282"/>
    </row>
    <row r="88" spans="1:17" s="155" customFormat="1" ht="20.149999999999999" customHeight="1">
      <c r="A88" s="20" t="s">
        <v>73</v>
      </c>
      <c r="B88" s="209">
        <v>1081</v>
      </c>
      <c r="C88" s="36"/>
      <c r="D88" s="36"/>
      <c r="E88" s="237"/>
      <c r="F88" s="274"/>
      <c r="G88" s="36"/>
      <c r="H88" s="36"/>
      <c r="I88" s="36"/>
      <c r="J88" s="36"/>
      <c r="K88" s="36"/>
      <c r="L88" s="36">
        <f t="shared" si="20"/>
        <v>0</v>
      </c>
      <c r="M88" s="33"/>
      <c r="P88" s="178"/>
      <c r="Q88" s="178"/>
    </row>
    <row r="89" spans="1:17" s="155" customFormat="1">
      <c r="A89" s="20" t="s">
        <v>52</v>
      </c>
      <c r="B89" s="209">
        <v>1082</v>
      </c>
      <c r="C89" s="36"/>
      <c r="D89" s="36"/>
      <c r="E89" s="237"/>
      <c r="F89" s="274"/>
      <c r="G89" s="36"/>
      <c r="H89" s="36"/>
      <c r="I89" s="36"/>
      <c r="J89" s="36"/>
      <c r="K89" s="36"/>
      <c r="L89" s="36">
        <f t="shared" si="20"/>
        <v>0</v>
      </c>
      <c r="M89" s="33"/>
      <c r="P89" s="178"/>
      <c r="Q89" s="178"/>
    </row>
    <row r="90" spans="1:17" s="155" customFormat="1" ht="36">
      <c r="A90" s="20" t="s">
        <v>62</v>
      </c>
      <c r="B90" s="209">
        <v>1083</v>
      </c>
      <c r="C90" s="36"/>
      <c r="D90" s="36"/>
      <c r="E90" s="237"/>
      <c r="F90" s="274"/>
      <c r="G90" s="36"/>
      <c r="H90" s="36"/>
      <c r="I90" s="36"/>
      <c r="J90" s="36"/>
      <c r="K90" s="36"/>
      <c r="L90" s="36">
        <f t="shared" si="20"/>
        <v>0</v>
      </c>
      <c r="M90" s="33"/>
      <c r="P90" s="178"/>
      <c r="Q90" s="178"/>
    </row>
    <row r="91" spans="1:17" s="155" customFormat="1" ht="20.149999999999999" customHeight="1">
      <c r="A91" s="20" t="s">
        <v>227</v>
      </c>
      <c r="B91" s="209">
        <v>1084</v>
      </c>
      <c r="C91" s="36"/>
      <c r="D91" s="36"/>
      <c r="E91" s="237"/>
      <c r="F91" s="274"/>
      <c r="G91" s="36"/>
      <c r="H91" s="36"/>
      <c r="I91" s="36"/>
      <c r="J91" s="36"/>
      <c r="K91" s="36"/>
      <c r="L91" s="36">
        <f t="shared" si="20"/>
        <v>0</v>
      </c>
      <c r="M91" s="33"/>
      <c r="P91" s="178"/>
      <c r="Q91" s="178"/>
    </row>
    <row r="92" spans="1:17" s="155" customFormat="1" ht="20.149999999999999" customHeight="1">
      <c r="A92" s="20" t="s">
        <v>255</v>
      </c>
      <c r="B92" s="209">
        <v>1085</v>
      </c>
      <c r="C92" s="36">
        <v>96</v>
      </c>
      <c r="D92" s="36"/>
      <c r="E92" s="237">
        <f>SUM(E93:E98)</f>
        <v>2126.8000000000002</v>
      </c>
      <c r="F92" s="274">
        <f>E92/9*12</f>
        <v>2835.7333333333336</v>
      </c>
      <c r="G92" s="36">
        <f>SUM(G93:G98)</f>
        <v>0</v>
      </c>
      <c r="H92" s="36">
        <f>SUM(H93:H98)</f>
        <v>0</v>
      </c>
      <c r="I92" s="36">
        <f>SUM(I93:I98)</f>
        <v>0</v>
      </c>
      <c r="J92" s="36">
        <f>SUM(J93:J98)</f>
        <v>0</v>
      </c>
      <c r="K92" s="36">
        <v>0</v>
      </c>
      <c r="L92" s="36">
        <f t="shared" si="20"/>
        <v>0</v>
      </c>
      <c r="M92" s="246"/>
      <c r="P92" s="178"/>
      <c r="Q92" s="178"/>
    </row>
    <row r="93" spans="1:17" s="155" customFormat="1" ht="20.149999999999999" customHeight="1">
      <c r="A93" s="225" t="s">
        <v>528</v>
      </c>
      <c r="B93" s="226" t="s">
        <v>378</v>
      </c>
      <c r="C93" s="36">
        <v>50</v>
      </c>
      <c r="D93" s="36"/>
      <c r="E93" s="237">
        <v>45</v>
      </c>
      <c r="F93" s="274">
        <f t="shared" ref="F93:F98" si="26">E93/9*12</f>
        <v>60</v>
      </c>
      <c r="G93" s="36"/>
      <c r="H93" s="36"/>
      <c r="I93" s="36"/>
      <c r="J93" s="36"/>
      <c r="K93" s="36"/>
      <c r="L93" s="36">
        <f t="shared" si="20"/>
        <v>0</v>
      </c>
      <c r="M93" s="246"/>
      <c r="P93" s="178"/>
      <c r="Q93" s="178"/>
    </row>
    <row r="94" spans="1:17" s="155" customFormat="1" ht="20.149999999999999" customHeight="1">
      <c r="A94" s="225" t="s">
        <v>529</v>
      </c>
      <c r="B94" s="226" t="s">
        <v>379</v>
      </c>
      <c r="C94" s="36">
        <v>43</v>
      </c>
      <c r="D94" s="36"/>
      <c r="E94" s="237">
        <v>22</v>
      </c>
      <c r="F94" s="274">
        <f t="shared" si="26"/>
        <v>29.333333333333336</v>
      </c>
      <c r="G94" s="36"/>
      <c r="H94" s="36"/>
      <c r="I94" s="36"/>
      <c r="J94" s="36"/>
      <c r="K94" s="36"/>
      <c r="L94" s="36">
        <f t="shared" si="20"/>
        <v>0</v>
      </c>
      <c r="M94" s="246"/>
      <c r="P94" s="178"/>
      <c r="Q94" s="178"/>
    </row>
    <row r="95" spans="1:17" s="155" customFormat="1" ht="20.149999999999999" customHeight="1">
      <c r="A95" s="20" t="s">
        <v>573</v>
      </c>
      <c r="B95" s="209" t="s">
        <v>414</v>
      </c>
      <c r="C95" s="36"/>
      <c r="D95" s="36"/>
      <c r="E95" s="237"/>
      <c r="F95" s="274">
        <v>2455</v>
      </c>
      <c r="G95" s="36">
        <f>ROUND(I95*0.5,0)</f>
        <v>0</v>
      </c>
      <c r="H95" s="36">
        <f>ROUND(J95*0.5,0)</f>
        <v>0</v>
      </c>
      <c r="I95" s="36">
        <f>ROUND(J95*0.75,0)</f>
        <v>0</v>
      </c>
      <c r="J95" s="36"/>
      <c r="K95" s="36"/>
      <c r="L95" s="36">
        <f t="shared" si="20"/>
        <v>0</v>
      </c>
      <c r="M95" s="33"/>
      <c r="P95" s="178"/>
      <c r="Q95" s="178"/>
    </row>
    <row r="96" spans="1:17" s="155" customFormat="1">
      <c r="A96" s="242"/>
      <c r="B96" s="209" t="s">
        <v>415</v>
      </c>
      <c r="C96" s="36"/>
      <c r="D96" s="36"/>
      <c r="E96" s="237"/>
      <c r="F96" s="274">
        <f t="shared" si="26"/>
        <v>0</v>
      </c>
      <c r="G96" s="36"/>
      <c r="H96" s="36"/>
      <c r="I96" s="36"/>
      <c r="J96" s="36"/>
      <c r="K96" s="36"/>
      <c r="L96" s="36">
        <f t="shared" si="20"/>
        <v>0</v>
      </c>
      <c r="M96" s="33"/>
      <c r="P96" s="178"/>
      <c r="Q96" s="178"/>
    </row>
    <row r="97" spans="1:17" s="155" customFormat="1" ht="20.149999999999999" customHeight="1">
      <c r="A97" s="20" t="s">
        <v>418</v>
      </c>
      <c r="B97" s="209" t="s">
        <v>416</v>
      </c>
      <c r="C97" s="36">
        <v>3</v>
      </c>
      <c r="D97" s="36">
        <v>0</v>
      </c>
      <c r="E97" s="237">
        <v>1841.4</v>
      </c>
      <c r="F97" s="274"/>
      <c r="G97" s="36"/>
      <c r="H97" s="36"/>
      <c r="I97" s="36"/>
      <c r="J97" s="36"/>
      <c r="K97" s="36"/>
      <c r="L97" s="36">
        <f t="shared" si="20"/>
        <v>0</v>
      </c>
      <c r="M97" s="33"/>
      <c r="P97" s="178"/>
      <c r="Q97" s="178"/>
    </row>
    <row r="98" spans="1:17" s="155" customFormat="1" ht="20.149999999999999" customHeight="1">
      <c r="A98" s="20" t="s">
        <v>457</v>
      </c>
      <c r="B98" s="209" t="s">
        <v>417</v>
      </c>
      <c r="C98" s="36"/>
      <c r="D98" s="36"/>
      <c r="E98" s="237">
        <v>218.4</v>
      </c>
      <c r="F98" s="274">
        <f t="shared" si="26"/>
        <v>291.2</v>
      </c>
      <c r="G98" s="36"/>
      <c r="H98" s="36"/>
      <c r="I98" s="36"/>
      <c r="J98" s="36"/>
      <c r="K98" s="36"/>
      <c r="L98" s="36">
        <f t="shared" si="20"/>
        <v>0</v>
      </c>
      <c r="M98" s="33"/>
      <c r="P98" s="178"/>
      <c r="Q98" s="178"/>
    </row>
    <row r="99" spans="1:17" s="2" customFormat="1" ht="35">
      <c r="A99" s="35" t="s">
        <v>2</v>
      </c>
      <c r="B99" s="8">
        <v>1100</v>
      </c>
      <c r="C99" s="38">
        <f t="shared" ref="C99:J99" si="27">C29+C30-C35-C67-C87</f>
        <v>-1380</v>
      </c>
      <c r="D99" s="38">
        <f t="shared" si="27"/>
        <v>924</v>
      </c>
      <c r="E99" s="236">
        <f t="shared" si="27"/>
        <v>-462.80000000000018</v>
      </c>
      <c r="F99" s="236">
        <f t="shared" si="27"/>
        <v>-417.06666666666388</v>
      </c>
      <c r="G99" s="38">
        <f t="shared" si="27"/>
        <v>355.19316639999784</v>
      </c>
      <c r="H99" s="38">
        <f t="shared" si="27"/>
        <v>723.38633279999567</v>
      </c>
      <c r="I99" s="38">
        <f t="shared" si="27"/>
        <v>572.9877259000059</v>
      </c>
      <c r="J99" s="38">
        <f t="shared" si="27"/>
        <v>285.55862960000195</v>
      </c>
      <c r="K99" s="38">
        <v>19731.07666666666</v>
      </c>
      <c r="L99" s="36">
        <f t="shared" si="20"/>
        <v>20914.941266666661</v>
      </c>
      <c r="M99" s="34"/>
      <c r="N99" s="1"/>
      <c r="P99" s="282"/>
      <c r="Q99" s="282"/>
    </row>
    <row r="100" spans="1:17" ht="36">
      <c r="A100" s="20" t="s">
        <v>118</v>
      </c>
      <c r="B100" s="6">
        <v>1110</v>
      </c>
      <c r="C100" s="36"/>
      <c r="D100" s="36"/>
      <c r="E100" s="237"/>
      <c r="F100" s="274"/>
      <c r="G100" s="36"/>
      <c r="H100" s="36"/>
      <c r="I100" s="36"/>
      <c r="J100" s="36"/>
      <c r="K100" s="36"/>
      <c r="L100" s="36">
        <f t="shared" si="20"/>
        <v>0</v>
      </c>
      <c r="M100" s="33"/>
      <c r="P100" s="178"/>
      <c r="Q100" s="178"/>
    </row>
    <row r="101" spans="1:17" ht="20.149999999999999" customHeight="1">
      <c r="A101" s="20" t="s">
        <v>119</v>
      </c>
      <c r="B101" s="6">
        <v>1120</v>
      </c>
      <c r="C101" s="36">
        <f>C102</f>
        <v>0</v>
      </c>
      <c r="D101" s="36">
        <f>D102</f>
        <v>0</v>
      </c>
      <c r="E101" s="237">
        <f>E102</f>
        <v>1</v>
      </c>
      <c r="F101" s="274">
        <v>1</v>
      </c>
      <c r="G101" s="36"/>
      <c r="H101" s="36"/>
      <c r="I101" s="36"/>
      <c r="J101" s="36"/>
      <c r="K101" s="36"/>
      <c r="L101" s="36">
        <f t="shared" si="20"/>
        <v>0</v>
      </c>
      <c r="M101" s="33"/>
      <c r="P101" s="178"/>
      <c r="Q101" s="178"/>
    </row>
    <row r="102" spans="1:17" ht="20.149999999999999" customHeight="1">
      <c r="A102" s="20" t="s">
        <v>494</v>
      </c>
      <c r="B102" s="3" t="s">
        <v>493</v>
      </c>
      <c r="C102" s="36"/>
      <c r="D102" s="36"/>
      <c r="E102" s="237">
        <v>1</v>
      </c>
      <c r="F102" s="274">
        <v>1</v>
      </c>
      <c r="G102" s="36"/>
      <c r="H102" s="36"/>
      <c r="I102" s="36"/>
      <c r="J102" s="36"/>
      <c r="K102" s="36"/>
      <c r="L102" s="36">
        <f t="shared" si="20"/>
        <v>0</v>
      </c>
      <c r="M102" s="33"/>
      <c r="P102" s="178"/>
      <c r="Q102" s="178"/>
    </row>
    <row r="103" spans="1:17" ht="36">
      <c r="A103" s="20" t="s">
        <v>122</v>
      </c>
      <c r="B103" s="6">
        <v>1130</v>
      </c>
      <c r="C103" s="36"/>
      <c r="D103" s="36"/>
      <c r="E103" s="237"/>
      <c r="F103" s="274"/>
      <c r="G103" s="36"/>
      <c r="H103" s="36"/>
      <c r="I103" s="36"/>
      <c r="J103" s="36"/>
      <c r="K103" s="36"/>
      <c r="L103" s="36">
        <f t="shared" si="20"/>
        <v>0</v>
      </c>
      <c r="M103" s="33"/>
      <c r="P103" s="178"/>
      <c r="Q103" s="178"/>
    </row>
    <row r="104" spans="1:17" ht="20.149999999999999" customHeight="1">
      <c r="A104" s="20" t="s">
        <v>121</v>
      </c>
      <c r="B104" s="6">
        <v>1140</v>
      </c>
      <c r="C104" s="36"/>
      <c r="D104" s="36"/>
      <c r="E104" s="237"/>
      <c r="F104" s="274"/>
      <c r="G104" s="36"/>
      <c r="H104" s="36"/>
      <c r="I104" s="36"/>
      <c r="J104" s="36"/>
      <c r="K104" s="36"/>
      <c r="L104" s="36">
        <f t="shared" si="20"/>
        <v>0</v>
      </c>
      <c r="M104" s="33"/>
      <c r="P104" s="178"/>
      <c r="Q104" s="178"/>
    </row>
    <row r="105" spans="1:17" ht="36">
      <c r="A105" s="20" t="s">
        <v>228</v>
      </c>
      <c r="B105" s="6">
        <v>1150</v>
      </c>
      <c r="C105" s="36">
        <f>C106+C108+C107</f>
        <v>1423</v>
      </c>
      <c r="D105" s="36">
        <f>D106+D108+D107</f>
        <v>1004</v>
      </c>
      <c r="E105" s="237">
        <f>E106+E108+E107</f>
        <v>910</v>
      </c>
      <c r="F105" s="274">
        <f>F106+F108+F107</f>
        <v>1213.3333333333333</v>
      </c>
      <c r="G105" s="36">
        <f>G106+G108</f>
        <v>283</v>
      </c>
      <c r="H105" s="36">
        <f>H106+H108</f>
        <v>564</v>
      </c>
      <c r="I105" s="36">
        <f>I106+I108</f>
        <v>847</v>
      </c>
      <c r="J105" s="36">
        <f>J106+J108</f>
        <v>1128.4506666666666</v>
      </c>
      <c r="K105" s="36">
        <v>1004.3333333333331</v>
      </c>
      <c r="L105" s="36">
        <f t="shared" si="20"/>
        <v>1064.5933333333332</v>
      </c>
      <c r="M105" s="33"/>
      <c r="P105" s="178"/>
      <c r="Q105" s="178"/>
    </row>
    <row r="106" spans="1:17">
      <c r="A106" s="20" t="s">
        <v>401</v>
      </c>
      <c r="B106" s="3" t="s">
        <v>402</v>
      </c>
      <c r="C106" s="36">
        <v>1423</v>
      </c>
      <c r="D106" s="36">
        <v>1004</v>
      </c>
      <c r="E106" s="237">
        <v>555</v>
      </c>
      <c r="F106" s="274">
        <f>E106/9*12</f>
        <v>740</v>
      </c>
      <c r="G106" s="36">
        <f>G16+G45+G71</f>
        <v>283</v>
      </c>
      <c r="H106" s="36">
        <f>H16+H45+H71</f>
        <v>564</v>
      </c>
      <c r="I106" s="36">
        <f>I16+I45+I71</f>
        <v>847</v>
      </c>
      <c r="J106" s="36">
        <f>J16+J45+J71</f>
        <v>1128.4506666666666</v>
      </c>
      <c r="K106" s="36">
        <v>1004.3333333333331</v>
      </c>
      <c r="L106" s="36">
        <f t="shared" si="20"/>
        <v>1064.5933333333332</v>
      </c>
      <c r="M106" s="165"/>
      <c r="P106" s="178"/>
      <c r="Q106" s="178"/>
    </row>
    <row r="107" spans="1:17" ht="34.5" customHeight="1">
      <c r="A107" s="227" t="s">
        <v>530</v>
      </c>
      <c r="B107" s="228" t="s">
        <v>531</v>
      </c>
      <c r="C107" s="36"/>
      <c r="D107" s="36"/>
      <c r="E107" s="237">
        <v>355</v>
      </c>
      <c r="F107" s="274">
        <f>E107/9*12</f>
        <v>473.33333333333331</v>
      </c>
      <c r="G107" s="36"/>
      <c r="H107" s="36"/>
      <c r="I107" s="36"/>
      <c r="J107" s="36"/>
      <c r="K107" s="36"/>
      <c r="L107" s="36">
        <f t="shared" si="20"/>
        <v>0</v>
      </c>
      <c r="M107" s="33"/>
      <c r="P107" s="178"/>
      <c r="Q107" s="178"/>
    </row>
    <row r="108" spans="1:17" ht="20.149999999999999" customHeight="1">
      <c r="A108" s="20" t="s">
        <v>227</v>
      </c>
      <c r="B108" s="6">
        <v>1151</v>
      </c>
      <c r="C108" s="36"/>
      <c r="D108" s="36"/>
      <c r="E108" s="237"/>
      <c r="F108" s="274"/>
      <c r="G108" s="36"/>
      <c r="H108" s="36"/>
      <c r="I108" s="36"/>
      <c r="J108" s="36"/>
      <c r="K108" s="36"/>
      <c r="L108" s="36">
        <f t="shared" si="20"/>
        <v>0</v>
      </c>
      <c r="M108" s="33"/>
      <c r="P108" s="178"/>
      <c r="Q108" s="178"/>
    </row>
    <row r="109" spans="1:17" s="155" customFormat="1" ht="35">
      <c r="A109" s="35" t="s">
        <v>229</v>
      </c>
      <c r="B109" s="8">
        <v>1160</v>
      </c>
      <c r="C109" s="201">
        <f>C110+C111+C112+C113</f>
        <v>33</v>
      </c>
      <c r="D109" s="201">
        <f>D110+D111+D112+D113</f>
        <v>0</v>
      </c>
      <c r="E109" s="236">
        <f>E110+E111+E112+E113</f>
        <v>233</v>
      </c>
      <c r="F109" s="301">
        <f>F110+F111+F112+F113+F114</f>
        <v>233</v>
      </c>
      <c r="G109" s="201">
        <f>G110+G111+G112+G113+G114</f>
        <v>0</v>
      </c>
      <c r="H109" s="201">
        <f>H110+H111+H112+H113+H114</f>
        <v>0</v>
      </c>
      <c r="I109" s="201">
        <f>I110+I111+I112+I113+I114</f>
        <v>0</v>
      </c>
      <c r="J109" s="201">
        <f>J110+J111+J112+J113+J114</f>
        <v>0</v>
      </c>
      <c r="K109" s="201">
        <v>0</v>
      </c>
      <c r="L109" s="36">
        <f t="shared" si="20"/>
        <v>0</v>
      </c>
      <c r="M109" s="34"/>
      <c r="N109" s="178"/>
      <c r="P109" s="178"/>
      <c r="Q109" s="178"/>
    </row>
    <row r="110" spans="1:17" s="155" customFormat="1">
      <c r="A110" s="247" t="s">
        <v>565</v>
      </c>
      <c r="B110" s="248" t="s">
        <v>372</v>
      </c>
      <c r="C110" s="174">
        <v>33</v>
      </c>
      <c r="D110" s="174"/>
      <c r="E110" s="237">
        <v>21</v>
      </c>
      <c r="F110" s="274">
        <v>21</v>
      </c>
      <c r="G110" s="36"/>
      <c r="H110" s="36"/>
      <c r="I110" s="36"/>
      <c r="J110" s="36"/>
      <c r="K110" s="36"/>
      <c r="L110" s="36">
        <f t="shared" si="20"/>
        <v>0</v>
      </c>
      <c r="M110" s="246"/>
      <c r="N110" s="178"/>
      <c r="O110" s="178"/>
      <c r="P110" s="178"/>
      <c r="Q110" s="178"/>
    </row>
    <row r="111" spans="1:17" ht="36">
      <c r="A111" s="20" t="s">
        <v>574</v>
      </c>
      <c r="B111" s="3" t="s">
        <v>419</v>
      </c>
      <c r="C111" s="36"/>
      <c r="D111" s="36"/>
      <c r="E111" s="237">
        <v>212</v>
      </c>
      <c r="F111" s="274">
        <v>212</v>
      </c>
      <c r="G111" s="36"/>
      <c r="H111" s="36"/>
      <c r="I111" s="36"/>
      <c r="J111" s="36"/>
      <c r="K111" s="36"/>
      <c r="L111" s="36">
        <f t="shared" si="20"/>
        <v>0</v>
      </c>
      <c r="M111" s="165"/>
      <c r="P111" s="178"/>
      <c r="Q111" s="178"/>
    </row>
    <row r="112" spans="1:17">
      <c r="A112" s="243"/>
      <c r="B112" s="3" t="s">
        <v>453</v>
      </c>
      <c r="C112" s="36"/>
      <c r="D112" s="36"/>
      <c r="E112" s="237"/>
      <c r="F112" s="274"/>
      <c r="G112" s="36"/>
      <c r="H112" s="36"/>
      <c r="I112" s="36"/>
      <c r="J112" s="36"/>
      <c r="K112" s="36"/>
      <c r="L112" s="36">
        <f t="shared" si="20"/>
        <v>0</v>
      </c>
      <c r="M112" s="33"/>
    </row>
    <row r="113" spans="1:17">
      <c r="A113" s="243"/>
      <c r="B113" s="3" t="s">
        <v>462</v>
      </c>
      <c r="C113" s="36"/>
      <c r="D113" s="36"/>
      <c r="E113" s="237"/>
      <c r="F113" s="274"/>
      <c r="G113" s="36"/>
      <c r="H113" s="36"/>
      <c r="I113" s="36"/>
      <c r="J113" s="36"/>
      <c r="K113" s="36"/>
      <c r="L113" s="36">
        <f t="shared" si="20"/>
        <v>0</v>
      </c>
      <c r="M113" s="33"/>
    </row>
    <row r="114" spans="1:17" ht="20.149999999999999" customHeight="1">
      <c r="A114" s="20" t="s">
        <v>227</v>
      </c>
      <c r="B114" s="6">
        <v>1161</v>
      </c>
      <c r="C114" s="36"/>
      <c r="D114" s="36"/>
      <c r="E114" s="237"/>
      <c r="F114" s="274"/>
      <c r="G114" s="36"/>
      <c r="H114" s="36"/>
      <c r="I114" s="36"/>
      <c r="J114" s="36"/>
      <c r="K114" s="36"/>
      <c r="L114" s="36">
        <f t="shared" si="20"/>
        <v>0</v>
      </c>
      <c r="M114" s="33"/>
    </row>
    <row r="115" spans="1:17" s="2" customFormat="1" ht="35">
      <c r="A115" s="35" t="s">
        <v>103</v>
      </c>
      <c r="B115" s="8">
        <v>1170</v>
      </c>
      <c r="C115" s="38">
        <f t="shared" ref="C115:J115" si="28">C99+C100+C101+C105-C104-C103-C109</f>
        <v>10</v>
      </c>
      <c r="D115" s="38">
        <f t="shared" si="28"/>
        <v>1928</v>
      </c>
      <c r="E115" s="236">
        <f t="shared" si="28"/>
        <v>215.19999999999982</v>
      </c>
      <c r="F115" s="275">
        <f>F99+F100+F101+F105-F104-F103-F109</f>
        <v>564.26666666666938</v>
      </c>
      <c r="G115" s="38">
        <f t="shared" si="28"/>
        <v>638.19316639999784</v>
      </c>
      <c r="H115" s="38">
        <f>H99+H100+H101+H105-H104-H103-H109</f>
        <v>1287.3863327999957</v>
      </c>
      <c r="I115" s="38">
        <f t="shared" si="28"/>
        <v>1419.9877259000059</v>
      </c>
      <c r="J115" s="38">
        <f t="shared" si="28"/>
        <v>1414.0092962666686</v>
      </c>
      <c r="K115" s="38">
        <v>20735.409999999993</v>
      </c>
      <c r="L115" s="36">
        <f t="shared" si="20"/>
        <v>21979.534599999992</v>
      </c>
      <c r="M115" s="34"/>
    </row>
    <row r="116" spans="1:17" ht="20.149999999999999" customHeight="1">
      <c r="A116" s="20" t="s">
        <v>145</v>
      </c>
      <c r="B116" s="6">
        <v>1180</v>
      </c>
      <c r="C116" s="36"/>
      <c r="D116" s="36">
        <v>347</v>
      </c>
      <c r="E116" s="36">
        <v>347</v>
      </c>
      <c r="F116" s="202">
        <v>0</v>
      </c>
      <c r="G116" s="202"/>
      <c r="H116" s="202"/>
      <c r="I116" s="202"/>
      <c r="J116" s="202">
        <f>ROUND(J115*18%,0)</f>
        <v>255</v>
      </c>
      <c r="K116" s="202">
        <v>3732</v>
      </c>
      <c r="L116" s="202">
        <f t="shared" si="20"/>
        <v>3955.92</v>
      </c>
      <c r="M116" s="206"/>
      <c r="N116" s="318"/>
      <c r="O116" s="318"/>
      <c r="P116" s="318" t="s">
        <v>592</v>
      </c>
      <c r="Q116" s="318"/>
    </row>
    <row r="117" spans="1:17" ht="36">
      <c r="A117" s="20" t="s">
        <v>146</v>
      </c>
      <c r="B117" s="6">
        <v>1190</v>
      </c>
      <c r="C117" s="36"/>
      <c r="D117" s="36"/>
      <c r="E117" s="237"/>
      <c r="F117" s="274"/>
      <c r="G117" s="36"/>
      <c r="H117" s="36"/>
      <c r="I117" s="36"/>
      <c r="J117" s="36"/>
      <c r="K117" s="36"/>
      <c r="L117" s="36">
        <f t="shared" si="20"/>
        <v>0</v>
      </c>
      <c r="M117" s="33"/>
      <c r="P117" s="1" t="s">
        <v>593</v>
      </c>
    </row>
    <row r="118" spans="1:17" s="2" customFormat="1" ht="35">
      <c r="A118" s="35" t="s">
        <v>104</v>
      </c>
      <c r="B118" s="8">
        <v>1200</v>
      </c>
      <c r="C118" s="37">
        <f t="shared" ref="C118:J118" si="29">C115-C116-C117</f>
        <v>10</v>
      </c>
      <c r="D118" s="37">
        <f t="shared" si="29"/>
        <v>1581</v>
      </c>
      <c r="E118" s="237">
        <f t="shared" si="29"/>
        <v>-131.80000000000018</v>
      </c>
      <c r="F118" s="273">
        <f t="shared" si="29"/>
        <v>564.26666666666938</v>
      </c>
      <c r="G118" s="37">
        <f t="shared" si="29"/>
        <v>638.19316639999784</v>
      </c>
      <c r="H118" s="37">
        <f t="shared" si="29"/>
        <v>1287.3863327999957</v>
      </c>
      <c r="I118" s="37">
        <f t="shared" si="29"/>
        <v>1419.9877259000059</v>
      </c>
      <c r="J118" s="37">
        <f t="shared" si="29"/>
        <v>1159.0092962666686</v>
      </c>
      <c r="K118" s="37">
        <v>17003.409999999993</v>
      </c>
      <c r="L118" s="36">
        <f t="shared" si="20"/>
        <v>18023.614599999994</v>
      </c>
      <c r="M118" s="210" t="s">
        <v>547</v>
      </c>
      <c r="N118" s="111" t="s">
        <v>511</v>
      </c>
      <c r="O118" s="190">
        <f>J7*3%</f>
        <v>1014.8268999999999</v>
      </c>
    </row>
    <row r="119" spans="1:17" ht="20.149999999999999" customHeight="1">
      <c r="A119" s="20" t="s">
        <v>22</v>
      </c>
      <c r="B119" s="3">
        <v>1201</v>
      </c>
      <c r="C119" s="37">
        <f t="shared" ref="C119:J119" si="30">SUMIF(C118,"&gt;0")</f>
        <v>10</v>
      </c>
      <c r="D119" s="37">
        <f>SUMIF(D118,"&gt;0")</f>
        <v>1581</v>
      </c>
      <c r="E119" s="237">
        <f>SUMIF(E118,"&gt;0")</f>
        <v>0</v>
      </c>
      <c r="F119" s="273">
        <f>SUMIF(F118,"&gt;0")</f>
        <v>564.26666666666938</v>
      </c>
      <c r="G119" s="37">
        <f t="shared" si="30"/>
        <v>638.19316639999784</v>
      </c>
      <c r="H119" s="37">
        <f t="shared" si="30"/>
        <v>1287.3863327999957</v>
      </c>
      <c r="I119" s="37">
        <f t="shared" si="30"/>
        <v>1419.9877259000059</v>
      </c>
      <c r="J119" s="37">
        <f t="shared" si="30"/>
        <v>1159.0092962666686</v>
      </c>
      <c r="K119" s="37">
        <f>SUMIF(K118,"&gt;0")</f>
        <v>17003.409999999993</v>
      </c>
      <c r="L119" s="36">
        <f t="shared" si="20"/>
        <v>18023.614599999994</v>
      </c>
      <c r="M119" s="47"/>
      <c r="N119" s="224">
        <f>J118/J7</f>
        <v>3.4262275554579856E-2</v>
      </c>
      <c r="O119" s="42">
        <f>J118-O118</f>
        <v>144.18239626666866</v>
      </c>
      <c r="P119" s="224">
        <f>J118/J7</f>
        <v>3.4262275554579856E-2</v>
      </c>
    </row>
    <row r="120" spans="1:17" ht="20.149999999999999" customHeight="1">
      <c r="A120" s="20" t="s">
        <v>23</v>
      </c>
      <c r="B120" s="3">
        <v>1202</v>
      </c>
      <c r="C120" s="37">
        <f t="shared" ref="C120:J120" si="31">SUMIF(C118,"&lt;0")</f>
        <v>0</v>
      </c>
      <c r="D120" s="37">
        <f t="shared" si="31"/>
        <v>0</v>
      </c>
      <c r="E120" s="237">
        <f t="shared" si="31"/>
        <v>-131.80000000000018</v>
      </c>
      <c r="F120" s="273">
        <f t="shared" si="31"/>
        <v>0</v>
      </c>
      <c r="G120" s="37">
        <f t="shared" si="31"/>
        <v>0</v>
      </c>
      <c r="H120" s="37">
        <f t="shared" si="31"/>
        <v>0</v>
      </c>
      <c r="I120" s="37">
        <f t="shared" si="31"/>
        <v>0</v>
      </c>
      <c r="J120" s="37">
        <f t="shared" si="31"/>
        <v>0</v>
      </c>
      <c r="K120" s="37">
        <f>SUMIF(K118,"&lt;0")</f>
        <v>0</v>
      </c>
      <c r="L120" s="36">
        <f t="shared" si="20"/>
        <v>0</v>
      </c>
      <c r="M120" s="33"/>
    </row>
    <row r="121" spans="1:17" ht="19.5" customHeight="1">
      <c r="A121" s="20" t="s">
        <v>256</v>
      </c>
      <c r="B121" s="6">
        <v>1210</v>
      </c>
      <c r="C121" s="36"/>
      <c r="D121" s="36"/>
      <c r="E121" s="237"/>
      <c r="F121" s="274"/>
      <c r="G121" s="36"/>
      <c r="H121" s="36"/>
      <c r="I121" s="36"/>
      <c r="J121" s="36"/>
      <c r="K121" s="36"/>
      <c r="L121" s="36">
        <f t="shared" si="20"/>
        <v>0</v>
      </c>
      <c r="M121" s="33"/>
    </row>
    <row r="122" spans="1:17" s="2" customFormat="1" ht="20.149999999999999" customHeight="1">
      <c r="A122" s="375" t="s">
        <v>296</v>
      </c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7"/>
    </row>
    <row r="123" spans="1:17" ht="42.75" customHeight="1">
      <c r="A123" s="19" t="s">
        <v>277</v>
      </c>
      <c r="B123" s="3">
        <v>1300</v>
      </c>
      <c r="C123" s="37">
        <f t="shared" ref="C123:J123" si="32">C30-C87</f>
        <v>-96</v>
      </c>
      <c r="D123" s="37">
        <f t="shared" si="32"/>
        <v>0</v>
      </c>
      <c r="E123" s="235">
        <f t="shared" si="32"/>
        <v>10709.2</v>
      </c>
      <c r="F123" s="273">
        <f t="shared" si="32"/>
        <v>14278.933333333331</v>
      </c>
      <c r="G123" s="37">
        <f>G30-G87</f>
        <v>7354</v>
      </c>
      <c r="H123" s="37">
        <f t="shared" si="32"/>
        <v>14709</v>
      </c>
      <c r="I123" s="37">
        <f t="shared" si="32"/>
        <v>22063</v>
      </c>
      <c r="J123" s="37">
        <f t="shared" si="32"/>
        <v>29417</v>
      </c>
      <c r="K123" s="37">
        <f>K30-K87</f>
        <v>0</v>
      </c>
      <c r="L123" s="37"/>
      <c r="M123" s="33"/>
    </row>
    <row r="124" spans="1:17" ht="72">
      <c r="A124" s="20" t="s">
        <v>271</v>
      </c>
      <c r="B124" s="3">
        <v>1310</v>
      </c>
      <c r="C124" s="37">
        <f t="shared" ref="C124:J124" si="33">C100+C101-C103-C104</f>
        <v>0</v>
      </c>
      <c r="D124" s="37">
        <f t="shared" si="33"/>
        <v>0</v>
      </c>
      <c r="E124" s="235">
        <f t="shared" si="33"/>
        <v>1</v>
      </c>
      <c r="F124" s="273">
        <f>F100+F101-F103-F104</f>
        <v>1</v>
      </c>
      <c r="G124" s="37">
        <f>G100+G101-G103-G104</f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>K100+K101-K103-K104</f>
        <v>0</v>
      </c>
      <c r="L124" s="37"/>
      <c r="M124" s="33"/>
    </row>
    <row r="125" spans="1:17" ht="42.75" customHeight="1">
      <c r="A125" s="19" t="s">
        <v>272</v>
      </c>
      <c r="B125" s="3">
        <v>1320</v>
      </c>
      <c r="C125" s="37">
        <f t="shared" ref="C125:J125" si="34">C105-C109</f>
        <v>1390</v>
      </c>
      <c r="D125" s="37">
        <f t="shared" si="34"/>
        <v>1004</v>
      </c>
      <c r="E125" s="235">
        <f t="shared" si="34"/>
        <v>677</v>
      </c>
      <c r="F125" s="273">
        <f t="shared" si="34"/>
        <v>980.33333333333326</v>
      </c>
      <c r="G125" s="37">
        <f>G105-G109</f>
        <v>283</v>
      </c>
      <c r="H125" s="37">
        <f t="shared" si="34"/>
        <v>564</v>
      </c>
      <c r="I125" s="37">
        <f t="shared" si="34"/>
        <v>847</v>
      </c>
      <c r="J125" s="37">
        <f t="shared" si="34"/>
        <v>1128.4506666666666</v>
      </c>
      <c r="K125" s="37">
        <f>K105-K109</f>
        <v>1004.3333333333331</v>
      </c>
      <c r="L125" s="37"/>
      <c r="M125" s="33"/>
    </row>
    <row r="126" spans="1:17" ht="36">
      <c r="A126" s="5" t="s">
        <v>351</v>
      </c>
      <c r="B126" s="6">
        <v>1330</v>
      </c>
      <c r="C126" s="37">
        <f t="shared" ref="C126:J126" si="35">C7+C30+C100+C101+C105</f>
        <v>30501</v>
      </c>
      <c r="D126" s="37">
        <f t="shared" si="35"/>
        <v>53710</v>
      </c>
      <c r="E126" s="235">
        <f t="shared" si="35"/>
        <v>32951</v>
      </c>
      <c r="F126" s="273">
        <f t="shared" si="35"/>
        <v>43934.333333333336</v>
      </c>
      <c r="G126" s="37">
        <f>G7+G30+G100+G101+G105</f>
        <v>16094</v>
      </c>
      <c r="H126" s="37">
        <f t="shared" si="35"/>
        <v>32187</v>
      </c>
      <c r="I126" s="37">
        <f t="shared" si="35"/>
        <v>48281</v>
      </c>
      <c r="J126" s="37">
        <f t="shared" si="35"/>
        <v>64373.013999999996</v>
      </c>
      <c r="K126" s="37">
        <f>K7+K30+K100+K101+K105</f>
        <v>1004.3333333333331</v>
      </c>
      <c r="L126" s="37"/>
      <c r="M126" s="33"/>
    </row>
    <row r="127" spans="1:17" ht="72">
      <c r="A127" s="5" t="s">
        <v>352</v>
      </c>
      <c r="B127" s="6">
        <v>1340</v>
      </c>
      <c r="C127" s="37">
        <f t="shared" ref="C127:I127" si="36">C9+C35+C67+C87+C103+C104+C109+C116+C117</f>
        <v>30491</v>
      </c>
      <c r="D127" s="37">
        <f t="shared" si="36"/>
        <v>52129</v>
      </c>
      <c r="E127" s="235">
        <f t="shared" si="36"/>
        <v>33082.800000000003</v>
      </c>
      <c r="F127" s="273">
        <f t="shared" si="36"/>
        <v>43370.066666666666</v>
      </c>
      <c r="G127" s="37">
        <f>G9+G35+G67+G87+G103+G104+G109+G116+G117</f>
        <v>15455.806833600001</v>
      </c>
      <c r="H127" s="37">
        <f t="shared" si="36"/>
        <v>30899.613667200003</v>
      </c>
      <c r="I127" s="37">
        <f t="shared" si="36"/>
        <v>46861.012274099994</v>
      </c>
      <c r="J127" s="37">
        <f>J9+J35+J67+J87+J103+J104+J109+J116+J117</f>
        <v>63214.004703733328</v>
      </c>
      <c r="K127" s="37">
        <f>K9+K35+K67+K87+K103+K104+K109+K116+K117</f>
        <v>16197.130000000001</v>
      </c>
      <c r="L127" s="37"/>
      <c r="M127" s="33"/>
    </row>
    <row r="128" spans="1:17" ht="20.149999999999999" customHeight="1">
      <c r="A128" s="375" t="s">
        <v>175</v>
      </c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7"/>
    </row>
    <row r="129" spans="1:23" ht="36">
      <c r="A129" s="5" t="s">
        <v>273</v>
      </c>
      <c r="B129" s="6">
        <v>1400</v>
      </c>
      <c r="C129" s="37">
        <f t="shared" ref="C129:I129" si="37">C99</f>
        <v>-1380</v>
      </c>
      <c r="D129" s="37">
        <f t="shared" si="37"/>
        <v>924</v>
      </c>
      <c r="E129" s="235">
        <f t="shared" si="37"/>
        <v>-462.80000000000018</v>
      </c>
      <c r="F129" s="273">
        <f t="shared" si="37"/>
        <v>-417.06666666666388</v>
      </c>
      <c r="G129" s="37">
        <f t="shared" si="37"/>
        <v>355.19316639999784</v>
      </c>
      <c r="H129" s="37">
        <f t="shared" si="37"/>
        <v>723.38633279999567</v>
      </c>
      <c r="I129" s="37">
        <f t="shared" si="37"/>
        <v>572.9877259000059</v>
      </c>
      <c r="J129" s="37">
        <f>J99</f>
        <v>285.55862960000195</v>
      </c>
      <c r="K129" s="37">
        <f>K99</f>
        <v>19731.07666666666</v>
      </c>
      <c r="L129" s="37"/>
      <c r="M129" s="33"/>
    </row>
    <row r="130" spans="1:23">
      <c r="A130" s="5" t="s">
        <v>274</v>
      </c>
      <c r="B130" s="6">
        <v>1401</v>
      </c>
      <c r="C130" s="37">
        <f>C141</f>
        <v>869</v>
      </c>
      <c r="D130" s="37">
        <f t="shared" ref="D130:I130" si="38">D141</f>
        <v>1004</v>
      </c>
      <c r="E130" s="235">
        <f t="shared" si="38"/>
        <v>798</v>
      </c>
      <c r="F130" s="273">
        <f>F141</f>
        <v>1064</v>
      </c>
      <c r="G130" s="37">
        <f t="shared" si="38"/>
        <v>283</v>
      </c>
      <c r="H130" s="37">
        <f t="shared" si="38"/>
        <v>564</v>
      </c>
      <c r="I130" s="37">
        <f t="shared" si="38"/>
        <v>847</v>
      </c>
      <c r="J130" s="37">
        <f>J141</f>
        <v>1128.4506666666666</v>
      </c>
      <c r="K130" s="37">
        <f>K141</f>
        <v>1004.3333333333331</v>
      </c>
      <c r="L130" s="37"/>
      <c r="M130" s="33"/>
    </row>
    <row r="131" spans="1:23" ht="36">
      <c r="A131" s="5" t="s">
        <v>275</v>
      </c>
      <c r="B131" s="6">
        <v>1402</v>
      </c>
      <c r="C131" s="37">
        <f t="shared" ref="C131:J131" si="39">C34</f>
        <v>0</v>
      </c>
      <c r="D131" s="37">
        <f t="shared" si="39"/>
        <v>0</v>
      </c>
      <c r="E131" s="235">
        <f t="shared" si="39"/>
        <v>0</v>
      </c>
      <c r="F131" s="273">
        <f t="shared" si="39"/>
        <v>0</v>
      </c>
      <c r="G131" s="37">
        <f t="shared" si="39"/>
        <v>0</v>
      </c>
      <c r="H131" s="37">
        <f t="shared" si="39"/>
        <v>0</v>
      </c>
      <c r="I131" s="37">
        <f t="shared" si="39"/>
        <v>0</v>
      </c>
      <c r="J131" s="37">
        <f t="shared" si="39"/>
        <v>0</v>
      </c>
      <c r="K131" s="37">
        <f>K34</f>
        <v>0</v>
      </c>
      <c r="L131" s="37"/>
      <c r="M131" s="33"/>
    </row>
    <row r="132" spans="1:23" ht="36">
      <c r="A132" s="5" t="s">
        <v>276</v>
      </c>
      <c r="B132" s="6">
        <v>1403</v>
      </c>
      <c r="C132" s="37">
        <f t="shared" ref="C132:J132" si="40">C91</f>
        <v>0</v>
      </c>
      <c r="D132" s="37">
        <f t="shared" si="40"/>
        <v>0</v>
      </c>
      <c r="E132" s="235">
        <f t="shared" si="40"/>
        <v>0</v>
      </c>
      <c r="F132" s="273">
        <f t="shared" si="40"/>
        <v>0</v>
      </c>
      <c r="G132" s="37">
        <f t="shared" si="40"/>
        <v>0</v>
      </c>
      <c r="H132" s="37">
        <f t="shared" si="40"/>
        <v>0</v>
      </c>
      <c r="I132" s="37">
        <f t="shared" si="40"/>
        <v>0</v>
      </c>
      <c r="J132" s="37">
        <f t="shared" si="40"/>
        <v>0</v>
      </c>
      <c r="K132" s="37">
        <f>K91</f>
        <v>0</v>
      </c>
      <c r="L132" s="37"/>
      <c r="M132" s="33"/>
    </row>
    <row r="133" spans="1:23" ht="36">
      <c r="A133" s="5" t="s">
        <v>337</v>
      </c>
      <c r="B133" s="6">
        <v>1404</v>
      </c>
      <c r="C133" s="36"/>
      <c r="D133" s="36"/>
      <c r="E133" s="237"/>
      <c r="F133" s="274"/>
      <c r="G133" s="36"/>
      <c r="H133" s="36"/>
      <c r="I133" s="36"/>
      <c r="J133" s="36"/>
      <c r="K133" s="36"/>
      <c r="L133" s="36"/>
      <c r="M133" s="33"/>
    </row>
    <row r="134" spans="1:23" s="2" customFormat="1" ht="20.149999999999999" customHeight="1">
      <c r="A134" s="7" t="s">
        <v>149</v>
      </c>
      <c r="B134" s="21">
        <v>1410</v>
      </c>
      <c r="C134" s="38">
        <f>C129+C130-C131+C132</f>
        <v>-511</v>
      </c>
      <c r="D134" s="38">
        <f t="shared" ref="D134:J134" si="41">D129+D130-D131+D132</f>
        <v>1928</v>
      </c>
      <c r="E134" s="239">
        <f>E129+E130-E131+E132</f>
        <v>335.19999999999982</v>
      </c>
      <c r="F134" s="275">
        <f>F129+F130-F131+F132</f>
        <v>646.93333333333612</v>
      </c>
      <c r="G134" s="38">
        <f t="shared" si="41"/>
        <v>638.19316639999784</v>
      </c>
      <c r="H134" s="38">
        <f t="shared" si="41"/>
        <v>1287.3863327999957</v>
      </c>
      <c r="I134" s="38">
        <f t="shared" si="41"/>
        <v>1419.9877259000059</v>
      </c>
      <c r="J134" s="38">
        <f t="shared" si="41"/>
        <v>1414.0092962666686</v>
      </c>
      <c r="K134" s="38">
        <f>K129+K130-K131+K132</f>
        <v>20735.409999999993</v>
      </c>
      <c r="L134" s="38"/>
      <c r="M134" s="34"/>
    </row>
    <row r="135" spans="1:23" ht="20.149999999999999" customHeight="1">
      <c r="A135" s="375" t="s">
        <v>244</v>
      </c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7"/>
    </row>
    <row r="136" spans="1:23" ht="20.149999999999999" customHeight="1">
      <c r="A136" s="5" t="s">
        <v>297</v>
      </c>
      <c r="B136" s="22">
        <v>1500</v>
      </c>
      <c r="C136" s="36">
        <f>C137+C138</f>
        <v>2030</v>
      </c>
      <c r="D136" s="36">
        <f>D137+D138</f>
        <v>2359</v>
      </c>
      <c r="E136" s="237">
        <f>E137+E138</f>
        <v>3060</v>
      </c>
      <c r="F136" s="274">
        <f t="shared" ref="F136:F142" si="42">E136/9*12</f>
        <v>4080</v>
      </c>
      <c r="G136" s="36">
        <f>G137+G138</f>
        <v>2019</v>
      </c>
      <c r="H136" s="36">
        <f>H137+H138</f>
        <v>4037</v>
      </c>
      <c r="I136" s="36">
        <f>I137+I138</f>
        <v>6056</v>
      </c>
      <c r="J136" s="36">
        <f>J137+J138</f>
        <v>8073.213333333334</v>
      </c>
      <c r="K136" s="36">
        <f>K137+K138</f>
        <v>2358.6</v>
      </c>
      <c r="L136" s="36"/>
      <c r="M136" s="33"/>
      <c r="N136" s="1">
        <v>2359</v>
      </c>
    </row>
    <row r="137" spans="1:23" ht="20.149999999999999" customHeight="1">
      <c r="A137" s="5" t="s">
        <v>295</v>
      </c>
      <c r="B137" s="4">
        <v>1501</v>
      </c>
      <c r="C137" s="36">
        <f>C10+C61</f>
        <v>122</v>
      </c>
      <c r="D137" s="36">
        <f>D10+D61</f>
        <v>156</v>
      </c>
      <c r="E137" s="237">
        <f>E10+E61</f>
        <v>50</v>
      </c>
      <c r="F137" s="274">
        <f t="shared" si="42"/>
        <v>66.666666666666657</v>
      </c>
      <c r="G137" s="36">
        <f>G10+G61</f>
        <v>41</v>
      </c>
      <c r="H137" s="36">
        <f>H10+H61</f>
        <v>80</v>
      </c>
      <c r="I137" s="36">
        <f>I10+I61</f>
        <v>121</v>
      </c>
      <c r="J137" s="36">
        <f>J10+J61</f>
        <v>160.19999999999999</v>
      </c>
      <c r="K137" s="36">
        <f>K10+K61</f>
        <v>156</v>
      </c>
      <c r="L137" s="266"/>
      <c r="M137" s="40"/>
      <c r="N137" s="42"/>
    </row>
    <row r="138" spans="1:23">
      <c r="A138" s="5" t="s">
        <v>26</v>
      </c>
      <c r="B138" s="4">
        <v>1502</v>
      </c>
      <c r="C138" s="36">
        <f>C11+C12+C77+C58</f>
        <v>1908</v>
      </c>
      <c r="D138" s="36">
        <f>D11+D12+D77+D58</f>
        <v>2203</v>
      </c>
      <c r="E138" s="237">
        <f>E11+E12+E77+E58</f>
        <v>3010</v>
      </c>
      <c r="F138" s="274">
        <f t="shared" si="42"/>
        <v>4013.3333333333335</v>
      </c>
      <c r="G138" s="36">
        <f>G11+G12+G77+G58</f>
        <v>1978</v>
      </c>
      <c r="H138" s="36">
        <f>H11+H12+H77+H58</f>
        <v>3957</v>
      </c>
      <c r="I138" s="36">
        <f>I11+I12+I77+I58</f>
        <v>5935</v>
      </c>
      <c r="J138" s="36">
        <f>J11+J12+J77+J58</f>
        <v>7913.0133333333342</v>
      </c>
      <c r="K138" s="36">
        <f>K11+K12+K77+K58</f>
        <v>2202.6</v>
      </c>
      <c r="L138" s="266"/>
      <c r="M138" s="40"/>
      <c r="N138" s="42"/>
    </row>
    <row r="139" spans="1:23" ht="19.5" customHeight="1">
      <c r="A139" s="5" t="s">
        <v>3</v>
      </c>
      <c r="B139" s="22">
        <v>1510</v>
      </c>
      <c r="C139" s="36">
        <f>C13+C43+C70</f>
        <v>19407</v>
      </c>
      <c r="D139" s="36">
        <f>D13+D43+D70</f>
        <v>34463</v>
      </c>
      <c r="E139" s="237">
        <v>17519</v>
      </c>
      <c r="F139" s="274">
        <f t="shared" si="42"/>
        <v>23358.666666666668</v>
      </c>
      <c r="G139" s="174">
        <f>G13+G43+G70</f>
        <v>8945.4615000000013</v>
      </c>
      <c r="H139" s="174">
        <f>H13+H43+H70</f>
        <v>17890.923000000003</v>
      </c>
      <c r="I139" s="174">
        <f>I13+I43+I70</f>
        <v>27259.942500000001</v>
      </c>
      <c r="J139" s="174">
        <f>J13+J43+J70</f>
        <v>36702.324999999997</v>
      </c>
      <c r="K139" s="36">
        <f>K13+K43+K70</f>
        <v>36702</v>
      </c>
      <c r="L139" s="36"/>
      <c r="M139" s="246"/>
      <c r="N139" s="178">
        <v>34446</v>
      </c>
      <c r="O139" s="245"/>
      <c r="P139" s="178"/>
      <c r="Q139" s="178"/>
      <c r="R139" s="178"/>
      <c r="S139" s="178"/>
      <c r="T139" s="178"/>
      <c r="U139" s="178"/>
      <c r="V139" s="178"/>
      <c r="W139" s="178"/>
    </row>
    <row r="140" spans="1:23" ht="20.149999999999999" customHeight="1">
      <c r="A140" s="5" t="s">
        <v>4</v>
      </c>
      <c r="B140" s="22">
        <v>1520</v>
      </c>
      <c r="C140" s="36">
        <f>C14+C44+C74</f>
        <v>4290</v>
      </c>
      <c r="D140" s="36">
        <f>D14+D44+D74</f>
        <v>7408</v>
      </c>
      <c r="E140" s="237">
        <v>3789</v>
      </c>
      <c r="F140" s="274">
        <f t="shared" si="42"/>
        <v>5052</v>
      </c>
      <c r="G140" s="174">
        <f>G14+G44+G74</f>
        <v>1923.3453336000002</v>
      </c>
      <c r="H140" s="174">
        <f>H14+H44+H74</f>
        <v>3846.6906672000005</v>
      </c>
      <c r="I140" s="174">
        <f>I14+I44+I74</f>
        <v>5861.0697740999994</v>
      </c>
      <c r="J140" s="174">
        <f>J14+J44+J74</f>
        <v>7891.2171903999997</v>
      </c>
      <c r="K140" s="36">
        <f>K14+K44+K74</f>
        <v>7892</v>
      </c>
      <c r="L140" s="36"/>
      <c r="M140" s="33"/>
      <c r="N140" s="1">
        <v>7408</v>
      </c>
      <c r="P140" s="178"/>
      <c r="Q140" s="178"/>
      <c r="R140" s="178"/>
      <c r="S140" s="178"/>
      <c r="T140" s="178"/>
      <c r="U140" s="178"/>
      <c r="V140" s="178"/>
      <c r="W140" s="178"/>
    </row>
    <row r="141" spans="1:23" ht="21">
      <c r="A141" s="5" t="s">
        <v>5</v>
      </c>
      <c r="B141" s="22">
        <v>1530</v>
      </c>
      <c r="C141" s="36">
        <f>C16+C45+C71</f>
        <v>869</v>
      </c>
      <c r="D141" s="36">
        <f>D16+D45+D71</f>
        <v>1004</v>
      </c>
      <c r="E141" s="237">
        <v>798</v>
      </c>
      <c r="F141" s="274">
        <f t="shared" si="42"/>
        <v>1064</v>
      </c>
      <c r="G141" s="36">
        <f>G16+G45+G71</f>
        <v>283</v>
      </c>
      <c r="H141" s="36">
        <f>H16+H45+H71</f>
        <v>564</v>
      </c>
      <c r="I141" s="36">
        <f>I16+I45+I71</f>
        <v>847</v>
      </c>
      <c r="J141" s="36">
        <f>J16+J45+J71</f>
        <v>1128.4506666666666</v>
      </c>
      <c r="K141" s="36">
        <f>K16+K45+K71</f>
        <v>1004.3333333333331</v>
      </c>
      <c r="L141" s="36"/>
      <c r="M141" s="49" t="s">
        <v>492</v>
      </c>
      <c r="N141" s="42">
        <v>1004</v>
      </c>
    </row>
    <row r="142" spans="1:23" ht="59.25" customHeight="1">
      <c r="A142" s="5" t="s">
        <v>27</v>
      </c>
      <c r="B142" s="22">
        <v>1540</v>
      </c>
      <c r="C142" s="36">
        <v>3862</v>
      </c>
      <c r="D142" s="36">
        <v>6548</v>
      </c>
      <c r="E142" s="237">
        <f>E9+E35+E67+E87-E136-E139-E140-E141</f>
        <v>7336.7999999999993</v>
      </c>
      <c r="F142" s="274">
        <f t="shared" si="42"/>
        <v>9782.4</v>
      </c>
      <c r="G142" s="174">
        <f>G15+G17+G36+G37+G38+G39+G40+G41+G42+G46+G47+G48+G49+G50+G51+G52+G53+G54+G55+G56+G59+G60+G62+G63+G65+G68+G69+G75+G76+G78+G79+G87+G64+G66</f>
        <v>2285</v>
      </c>
      <c r="H142" s="174">
        <f>H15+H17+H36+H37+H38+H39+H40+H41+H42+H46+H47+H48+H49+H50+H51+H52+H53+H54+H55+H56+H59+H60+H62+H63+H65+H68+H69+H75+H76+H78+H79+H87+H64+H66</f>
        <v>4561</v>
      </c>
      <c r="I142" s="174">
        <f>I15+I17+I36+I37+I38+I39+I40+I41+I42+I46+I47+I48+I49+I50+I51+I52+I53+I54+I55+I56+I59+I60+I62+I63+I65+I68+I69+I75+I76+I78+I79+I87+I64+I66</f>
        <v>6837</v>
      </c>
      <c r="J142" s="174">
        <f>J15+J17+J36+J37+J38+J39+J40+J41+J42+J46+J47+J48+J49+J50+J51+J52+J53+J54+J55+J56+J59+J60+J62+J63+J65+J68+J69+J75+J76+J78+J79+J87+J64+J66</f>
        <v>9163.798513333335</v>
      </c>
      <c r="K142" s="36">
        <f>K15+K17+K36+K37+K38+K39+K40+K41+K42+K46+K47+K48+K49+K50+K51+K52+K53+K54+K55+K56+K59+K60+K62+K63+K65+K68+K69+K75+K76+K78+K79+K87+K64</f>
        <v>6705.0733333333337</v>
      </c>
      <c r="L142" s="36"/>
      <c r="M142" s="244" t="s">
        <v>545</v>
      </c>
      <c r="N142" s="42">
        <f>J15+J17+J41+J42+J49+J50+J51+J59+J60+J62+J63+J64+J65+J75+J76+J79</f>
        <v>8941.798513333335</v>
      </c>
    </row>
    <row r="143" spans="1:23" s="2" customFormat="1" ht="20.149999999999999" customHeight="1">
      <c r="A143" s="7" t="s">
        <v>58</v>
      </c>
      <c r="B143" s="21">
        <v>1550</v>
      </c>
      <c r="C143" s="38">
        <f>SUM(C136,C139:C142)</f>
        <v>30458</v>
      </c>
      <c r="D143" s="38">
        <f>SUM(D136,D139:D142)</f>
        <v>51782</v>
      </c>
      <c r="E143" s="239">
        <f>SUM(E136,E139:E142)</f>
        <v>32502.799999999999</v>
      </c>
      <c r="F143" s="275">
        <f>F137+F138+F139+F140+F141+F142</f>
        <v>43337.066666666673</v>
      </c>
      <c r="G143" s="38">
        <f>G136+G139+G140+G141+G142</f>
        <v>15455.806833600001</v>
      </c>
      <c r="H143" s="38">
        <f>H136+H139+H140+H141+H142</f>
        <v>30899.613667200003</v>
      </c>
      <c r="I143" s="38">
        <f>I136+I139+I140+I141+I142</f>
        <v>46861.012274100001</v>
      </c>
      <c r="J143" s="38">
        <f>J136+J139+J140+J141+J142</f>
        <v>62959.004703733328</v>
      </c>
      <c r="K143" s="38">
        <f>K136+K139+K140+K141+K142</f>
        <v>54662.006666666668</v>
      </c>
      <c r="L143" s="38"/>
      <c r="M143" s="171"/>
      <c r="N143" s="42">
        <f>SUM(N136:N142)</f>
        <v>54158.798513333335</v>
      </c>
      <c r="O143" s="1"/>
      <c r="P143" s="42"/>
      <c r="Q143" s="1"/>
      <c r="R143" s="1"/>
      <c r="S143" s="1"/>
    </row>
    <row r="144" spans="1:23" s="2" customFormat="1" ht="20.149999999999999" customHeight="1">
      <c r="A144" s="31"/>
      <c r="B144" s="150"/>
      <c r="C144" s="151"/>
      <c r="D144" s="151"/>
      <c r="E144" s="232"/>
      <c r="F144" s="302"/>
      <c r="G144" s="168"/>
      <c r="H144" s="168"/>
      <c r="I144" s="168"/>
      <c r="J144" s="168"/>
      <c r="K144" s="168"/>
      <c r="L144" s="168"/>
      <c r="M144" s="51"/>
      <c r="N144" s="1"/>
      <c r="O144" s="1"/>
      <c r="P144" s="1"/>
      <c r="Q144" s="1"/>
      <c r="R144" s="1"/>
      <c r="S144" s="1"/>
    </row>
    <row r="145" spans="1:20" s="2" customFormat="1" ht="15.75" customHeight="1">
      <c r="A145" s="31"/>
      <c r="B145" s="150"/>
      <c r="C145" s="152"/>
      <c r="D145" s="152"/>
      <c r="E145" s="232"/>
      <c r="F145" s="303"/>
      <c r="G145" s="170"/>
      <c r="H145" s="170"/>
      <c r="I145" s="170"/>
      <c r="J145" s="169"/>
      <c r="K145" s="169"/>
      <c r="L145" s="169"/>
      <c r="M145" s="45"/>
      <c r="N145" s="1"/>
      <c r="O145" s="1"/>
      <c r="P145" s="1"/>
      <c r="Q145" s="1"/>
      <c r="R145" s="1"/>
      <c r="S145" s="1"/>
      <c r="T145" s="41"/>
    </row>
    <row r="146" spans="1:20" ht="8.25" customHeight="1">
      <c r="A146" s="31"/>
      <c r="B146" s="150"/>
      <c r="C146" s="152"/>
      <c r="D146" s="152"/>
      <c r="E146" s="232"/>
      <c r="F146" s="304"/>
      <c r="G146" s="152"/>
      <c r="H146" s="152"/>
      <c r="I146" s="152"/>
      <c r="J146" s="162"/>
      <c r="K146" s="162"/>
      <c r="L146" s="162"/>
      <c r="M146" s="29"/>
    </row>
    <row r="147" spans="1:20" ht="40.5" customHeight="1">
      <c r="A147" s="251" t="s">
        <v>583</v>
      </c>
      <c r="B147" s="173"/>
      <c r="C147" s="357"/>
      <c r="D147" s="358"/>
      <c r="E147" s="358"/>
      <c r="F147" s="358"/>
      <c r="G147" s="213"/>
      <c r="H147" s="355" t="s">
        <v>582</v>
      </c>
      <c r="I147" s="356"/>
      <c r="J147" s="356"/>
      <c r="K147" s="1"/>
      <c r="L147" s="1"/>
    </row>
    <row r="148" spans="1:20" ht="21" customHeight="1">
      <c r="A148" s="30" t="s">
        <v>80</v>
      </c>
      <c r="B148" s="29"/>
      <c r="C148" s="354" t="s">
        <v>81</v>
      </c>
      <c r="D148" s="354"/>
      <c r="E148" s="354"/>
      <c r="F148" s="354"/>
      <c r="G148" s="32"/>
      <c r="H148" s="354" t="s">
        <v>112</v>
      </c>
      <c r="I148" s="354"/>
      <c r="J148" s="354"/>
      <c r="K148" s="30"/>
      <c r="L148" s="30"/>
    </row>
    <row r="149" spans="1:20" ht="20.149999999999999" customHeight="1">
      <c r="A149" s="12"/>
      <c r="C149" s="13"/>
      <c r="D149" s="13"/>
      <c r="E149" s="240"/>
      <c r="F149" s="305"/>
      <c r="G149" s="13"/>
      <c r="H149" s="13"/>
      <c r="I149" s="13"/>
      <c r="J149" s="163"/>
      <c r="K149" s="163"/>
      <c r="L149" s="163"/>
    </row>
    <row r="150" spans="1:20">
      <c r="A150" s="12"/>
      <c r="C150" s="13"/>
      <c r="D150" s="13"/>
      <c r="E150" s="240"/>
      <c r="F150" s="305"/>
      <c r="G150" s="13"/>
      <c r="H150" s="13"/>
      <c r="I150" s="13"/>
      <c r="J150" s="163"/>
      <c r="K150" s="163"/>
      <c r="L150" s="163"/>
    </row>
    <row r="151" spans="1:20">
      <c r="A151" s="12"/>
      <c r="C151" s="13"/>
      <c r="D151" s="13"/>
      <c r="E151" s="240"/>
      <c r="F151" s="306"/>
      <c r="G151" s="142"/>
      <c r="H151" s="142"/>
      <c r="I151" s="142"/>
      <c r="J151" s="142"/>
      <c r="K151" s="142"/>
      <c r="L151" s="142"/>
    </row>
    <row r="152" spans="1:20">
      <c r="A152" s="12"/>
      <c r="C152" s="13"/>
      <c r="D152" s="13"/>
      <c r="E152" s="240"/>
      <c r="F152" s="306"/>
      <c r="G152" s="143"/>
      <c r="H152" s="143"/>
      <c r="I152" s="143"/>
      <c r="J152" s="164"/>
      <c r="K152" s="164"/>
      <c r="L152" s="164"/>
    </row>
    <row r="153" spans="1:20">
      <c r="A153" s="12"/>
      <c r="C153" s="13"/>
      <c r="D153" s="13"/>
      <c r="E153" s="240"/>
      <c r="F153" s="305"/>
      <c r="G153" s="13"/>
      <c r="H153" s="13"/>
      <c r="I153" s="13"/>
      <c r="J153" s="163"/>
      <c r="K153" s="163"/>
      <c r="L153" s="163"/>
    </row>
    <row r="154" spans="1:20">
      <c r="A154" s="12"/>
      <c r="C154" s="13"/>
      <c r="D154" s="13"/>
      <c r="E154" s="240"/>
      <c r="F154" s="305"/>
      <c r="G154" s="13"/>
      <c r="H154" s="13"/>
      <c r="I154" s="13"/>
      <c r="J154" s="163"/>
      <c r="K154" s="163"/>
      <c r="L154" s="163"/>
    </row>
    <row r="155" spans="1:20">
      <c r="A155" s="12"/>
      <c r="C155" s="13"/>
      <c r="D155" s="13"/>
      <c r="E155" s="240"/>
      <c r="F155" s="305"/>
      <c r="G155" s="13"/>
      <c r="H155" s="13"/>
      <c r="I155" s="13"/>
      <c r="J155" s="163"/>
      <c r="K155" s="163"/>
      <c r="L155" s="163"/>
    </row>
    <row r="156" spans="1:20">
      <c r="A156" s="12"/>
      <c r="C156" s="13"/>
      <c r="D156" s="13"/>
      <c r="E156" s="240"/>
      <c r="F156" s="305"/>
      <c r="G156" s="13"/>
      <c r="H156" s="13"/>
      <c r="I156" s="13"/>
      <c r="J156" s="163"/>
      <c r="K156" s="163"/>
      <c r="L156" s="163"/>
    </row>
    <row r="157" spans="1:20">
      <c r="A157" s="12"/>
      <c r="C157" s="13"/>
      <c r="D157" s="13"/>
      <c r="E157" s="240"/>
      <c r="F157" s="305"/>
      <c r="G157" s="13"/>
      <c r="H157" s="13"/>
      <c r="I157" s="13"/>
      <c r="J157" s="163"/>
      <c r="K157" s="163"/>
      <c r="L157" s="163"/>
    </row>
    <row r="158" spans="1:20">
      <c r="A158" s="12"/>
      <c r="C158" s="13"/>
      <c r="D158" s="13"/>
      <c r="E158" s="240"/>
      <c r="F158" s="305"/>
      <c r="G158" s="13"/>
      <c r="H158" s="13"/>
      <c r="I158" s="13"/>
      <c r="J158" s="163"/>
      <c r="K158" s="163"/>
      <c r="L158" s="163"/>
    </row>
    <row r="159" spans="1:20">
      <c r="A159" s="12"/>
      <c r="C159" s="13"/>
      <c r="D159" s="13"/>
      <c r="E159" s="240"/>
      <c r="F159" s="305"/>
      <c r="G159" s="13"/>
      <c r="H159" s="13"/>
      <c r="I159" s="13"/>
      <c r="J159" s="163"/>
      <c r="K159" s="163"/>
      <c r="L159" s="163"/>
    </row>
    <row r="160" spans="1:20">
      <c r="A160" s="12"/>
      <c r="C160" s="13"/>
      <c r="D160" s="13"/>
      <c r="E160" s="240"/>
      <c r="F160" s="305"/>
      <c r="G160" s="13"/>
      <c r="H160" s="13"/>
      <c r="I160" s="13"/>
      <c r="J160" s="163"/>
      <c r="K160" s="163"/>
      <c r="L160" s="163"/>
    </row>
    <row r="161" spans="1:12">
      <c r="A161" s="12"/>
      <c r="C161" s="13"/>
      <c r="D161" s="13"/>
      <c r="E161" s="240"/>
      <c r="F161" s="305"/>
      <c r="G161" s="13"/>
      <c r="H161" s="13"/>
      <c r="I161" s="13"/>
      <c r="J161" s="163"/>
      <c r="K161" s="163"/>
      <c r="L161" s="163"/>
    </row>
    <row r="162" spans="1:12">
      <c r="A162" s="12"/>
      <c r="C162" s="13"/>
      <c r="D162" s="13"/>
      <c r="E162" s="240"/>
      <c r="F162" s="305"/>
      <c r="G162" s="13"/>
      <c r="H162" s="13"/>
      <c r="I162" s="13"/>
      <c r="J162" s="163"/>
      <c r="K162" s="163"/>
      <c r="L162" s="163"/>
    </row>
    <row r="163" spans="1:12">
      <c r="A163" s="12"/>
      <c r="C163" s="13"/>
      <c r="D163" s="13"/>
      <c r="E163" s="240"/>
      <c r="F163" s="305"/>
      <c r="G163" s="13"/>
      <c r="H163" s="13"/>
      <c r="I163" s="13"/>
      <c r="J163" s="163"/>
      <c r="K163" s="163"/>
      <c r="L163" s="163"/>
    </row>
    <row r="164" spans="1:12">
      <c r="A164" s="12"/>
      <c r="C164" s="13"/>
      <c r="D164" s="13"/>
      <c r="E164" s="240"/>
      <c r="F164" s="305"/>
      <c r="G164" s="13"/>
      <c r="H164" s="13"/>
      <c r="I164" s="13"/>
      <c r="J164" s="163"/>
      <c r="K164" s="163"/>
      <c r="L164" s="163"/>
    </row>
    <row r="165" spans="1:12">
      <c r="A165" s="12"/>
      <c r="C165" s="13"/>
      <c r="D165" s="13"/>
      <c r="E165" s="240"/>
      <c r="F165" s="305"/>
      <c r="G165" s="13"/>
      <c r="H165" s="13"/>
      <c r="I165" s="13"/>
      <c r="J165" s="163"/>
      <c r="K165" s="163"/>
      <c r="L165" s="163"/>
    </row>
    <row r="166" spans="1:12">
      <c r="A166" s="12"/>
      <c r="C166" s="13"/>
      <c r="D166" s="13"/>
      <c r="E166" s="240"/>
      <c r="F166" s="305"/>
      <c r="G166" s="13"/>
      <c r="H166" s="13"/>
      <c r="I166" s="13"/>
      <c r="J166" s="163"/>
      <c r="K166" s="163"/>
      <c r="L166" s="163"/>
    </row>
    <row r="167" spans="1:12">
      <c r="A167" s="12"/>
      <c r="C167" s="13"/>
      <c r="D167" s="13"/>
      <c r="E167" s="240"/>
      <c r="F167" s="305"/>
      <c r="G167" s="13"/>
      <c r="H167" s="13"/>
      <c r="I167" s="13"/>
      <c r="J167" s="163"/>
      <c r="K167" s="163"/>
      <c r="L167" s="163"/>
    </row>
    <row r="168" spans="1:12">
      <c r="A168" s="12"/>
      <c r="C168" s="13"/>
      <c r="D168" s="13"/>
      <c r="E168" s="240"/>
      <c r="F168" s="305"/>
      <c r="G168" s="13"/>
      <c r="H168" s="13"/>
      <c r="I168" s="13"/>
      <c r="J168" s="163"/>
      <c r="K168" s="163"/>
      <c r="L168" s="163"/>
    </row>
    <row r="169" spans="1:12">
      <c r="A169" s="12"/>
      <c r="C169" s="13"/>
      <c r="D169" s="13"/>
      <c r="E169" s="240"/>
      <c r="F169" s="305"/>
      <c r="G169" s="13"/>
      <c r="H169" s="13"/>
      <c r="I169" s="13"/>
      <c r="J169" s="163"/>
      <c r="K169" s="163"/>
      <c r="L169" s="163"/>
    </row>
    <row r="170" spans="1:12">
      <c r="A170" s="12"/>
      <c r="C170" s="13"/>
      <c r="D170" s="13"/>
      <c r="E170" s="240"/>
      <c r="F170" s="305"/>
      <c r="G170" s="13"/>
      <c r="H170" s="13"/>
      <c r="I170" s="13"/>
      <c r="J170" s="163"/>
      <c r="K170" s="163"/>
      <c r="L170" s="163"/>
    </row>
    <row r="171" spans="1:12">
      <c r="A171" s="12"/>
      <c r="C171" s="13"/>
      <c r="D171" s="13"/>
      <c r="E171" s="240"/>
      <c r="F171" s="305"/>
      <c r="G171" s="13"/>
      <c r="H171" s="13"/>
      <c r="I171" s="13"/>
      <c r="J171" s="163"/>
      <c r="K171" s="163"/>
      <c r="L171" s="163"/>
    </row>
    <row r="172" spans="1:12">
      <c r="A172" s="12"/>
      <c r="C172" s="13"/>
      <c r="D172" s="13"/>
      <c r="E172" s="240"/>
      <c r="F172" s="305"/>
      <c r="G172" s="13"/>
      <c r="H172" s="13"/>
      <c r="I172" s="13"/>
      <c r="J172" s="163"/>
      <c r="K172" s="163"/>
      <c r="L172" s="163"/>
    </row>
    <row r="173" spans="1:12">
      <c r="A173" s="12"/>
      <c r="C173" s="13"/>
      <c r="D173" s="13"/>
      <c r="E173" s="240"/>
      <c r="F173" s="305"/>
      <c r="G173" s="13"/>
      <c r="H173" s="13"/>
      <c r="I173" s="13"/>
      <c r="J173" s="163"/>
      <c r="K173" s="163"/>
      <c r="L173" s="163"/>
    </row>
    <row r="174" spans="1:12">
      <c r="A174" s="12"/>
      <c r="C174" s="13"/>
      <c r="D174" s="13"/>
      <c r="E174" s="240"/>
      <c r="F174" s="305"/>
      <c r="G174" s="13"/>
      <c r="H174" s="13"/>
      <c r="I174" s="13"/>
      <c r="J174" s="163"/>
      <c r="K174" s="163"/>
      <c r="L174" s="163"/>
    </row>
    <row r="175" spans="1:12">
      <c r="A175" s="12"/>
      <c r="C175" s="13"/>
      <c r="D175" s="13"/>
      <c r="E175" s="240"/>
      <c r="F175" s="305"/>
      <c r="G175" s="13"/>
      <c r="H175" s="13"/>
      <c r="I175" s="13"/>
      <c r="J175" s="163"/>
      <c r="K175" s="163"/>
      <c r="L175" s="163"/>
    </row>
    <row r="176" spans="1:12">
      <c r="A176" s="12"/>
      <c r="C176" s="13"/>
      <c r="D176" s="13"/>
      <c r="E176" s="240"/>
      <c r="F176" s="305"/>
      <c r="G176" s="13"/>
      <c r="H176" s="13"/>
      <c r="I176" s="13"/>
      <c r="J176" s="163"/>
      <c r="K176" s="163"/>
      <c r="L176" s="163"/>
    </row>
    <row r="177" spans="1:12">
      <c r="A177" s="12"/>
      <c r="C177" s="13"/>
      <c r="D177" s="13"/>
      <c r="E177" s="240"/>
      <c r="F177" s="305"/>
      <c r="G177" s="13"/>
      <c r="H177" s="13"/>
      <c r="I177" s="13"/>
      <c r="J177" s="163"/>
      <c r="K177" s="163"/>
      <c r="L177" s="163"/>
    </row>
    <row r="178" spans="1:12">
      <c r="A178" s="12"/>
      <c r="C178" s="13"/>
      <c r="D178" s="13"/>
      <c r="E178" s="240"/>
      <c r="F178" s="305"/>
      <c r="G178" s="13"/>
      <c r="H178" s="13"/>
      <c r="I178" s="13"/>
      <c r="J178" s="163"/>
      <c r="K178" s="163"/>
      <c r="L178" s="163"/>
    </row>
    <row r="179" spans="1:12">
      <c r="A179" s="12"/>
      <c r="C179" s="13"/>
      <c r="D179" s="13"/>
      <c r="E179" s="240"/>
      <c r="F179" s="305"/>
      <c r="G179" s="13"/>
      <c r="H179" s="13"/>
      <c r="I179" s="13"/>
      <c r="J179" s="163"/>
      <c r="K179" s="163"/>
      <c r="L179" s="163"/>
    </row>
    <row r="180" spans="1:12">
      <c r="A180" s="12"/>
      <c r="C180" s="13"/>
      <c r="D180" s="13"/>
      <c r="E180" s="240"/>
      <c r="F180" s="305"/>
      <c r="G180" s="13"/>
      <c r="H180" s="13"/>
      <c r="I180" s="13"/>
      <c r="J180" s="163"/>
      <c r="K180" s="163"/>
      <c r="L180" s="163"/>
    </row>
    <row r="181" spans="1:12">
      <c r="A181" s="12"/>
      <c r="C181" s="13"/>
      <c r="D181" s="13"/>
      <c r="E181" s="240"/>
      <c r="F181" s="305"/>
      <c r="G181" s="13"/>
      <c r="H181" s="13"/>
      <c r="I181" s="13"/>
      <c r="J181" s="163"/>
      <c r="K181" s="163"/>
      <c r="L181" s="163"/>
    </row>
    <row r="182" spans="1:12">
      <c r="A182" s="12"/>
      <c r="C182" s="13"/>
      <c r="D182" s="13"/>
      <c r="E182" s="240"/>
      <c r="F182" s="305"/>
      <c r="G182" s="13"/>
      <c r="H182" s="13"/>
      <c r="I182" s="13"/>
      <c r="J182" s="163"/>
      <c r="K182" s="163"/>
      <c r="L182" s="163"/>
    </row>
    <row r="183" spans="1:12">
      <c r="A183" s="12"/>
      <c r="C183" s="13"/>
      <c r="D183" s="13"/>
      <c r="E183" s="240"/>
      <c r="F183" s="305"/>
      <c r="G183" s="13"/>
      <c r="H183" s="13"/>
      <c r="I183" s="13"/>
      <c r="J183" s="163"/>
      <c r="K183" s="163"/>
      <c r="L183" s="163"/>
    </row>
    <row r="184" spans="1:12">
      <c r="A184" s="12"/>
      <c r="C184" s="13"/>
      <c r="D184" s="13"/>
      <c r="E184" s="240"/>
      <c r="F184" s="305"/>
      <c r="G184" s="13"/>
      <c r="H184" s="13"/>
      <c r="I184" s="13"/>
      <c r="J184" s="163"/>
      <c r="K184" s="163"/>
      <c r="L184" s="163"/>
    </row>
    <row r="185" spans="1:12">
      <c r="A185" s="12"/>
      <c r="C185" s="13"/>
      <c r="D185" s="13"/>
      <c r="E185" s="240"/>
      <c r="F185" s="305"/>
      <c r="G185" s="13"/>
      <c r="H185" s="13"/>
      <c r="I185" s="13"/>
      <c r="J185" s="163"/>
      <c r="K185" s="163"/>
      <c r="L185" s="163"/>
    </row>
    <row r="186" spans="1:12">
      <c r="A186" s="12"/>
      <c r="C186" s="13"/>
      <c r="D186" s="13"/>
      <c r="E186" s="240"/>
      <c r="F186" s="305"/>
      <c r="G186" s="13"/>
      <c r="H186" s="13"/>
      <c r="I186" s="13"/>
      <c r="J186" s="163"/>
      <c r="K186" s="163"/>
      <c r="L186" s="163"/>
    </row>
    <row r="187" spans="1:12">
      <c r="A187" s="12"/>
      <c r="C187" s="13"/>
      <c r="D187" s="13"/>
      <c r="E187" s="240"/>
      <c r="F187" s="305"/>
      <c r="G187" s="13"/>
      <c r="H187" s="13"/>
      <c r="I187" s="13"/>
      <c r="J187" s="163"/>
      <c r="K187" s="163"/>
      <c r="L187" s="163"/>
    </row>
    <row r="188" spans="1:12">
      <c r="A188" s="12"/>
      <c r="C188" s="13"/>
      <c r="D188" s="13"/>
      <c r="E188" s="240"/>
      <c r="F188" s="305"/>
      <c r="G188" s="13"/>
      <c r="H188" s="13"/>
      <c r="I188" s="13"/>
      <c r="J188" s="163"/>
      <c r="K188" s="163"/>
      <c r="L188" s="163"/>
    </row>
    <row r="189" spans="1:12">
      <c r="A189" s="12"/>
      <c r="C189" s="13"/>
      <c r="D189" s="13"/>
      <c r="E189" s="240"/>
      <c r="F189" s="305"/>
      <c r="G189" s="13"/>
      <c r="H189" s="13"/>
      <c r="I189" s="13"/>
      <c r="J189" s="163"/>
      <c r="K189" s="163"/>
      <c r="L189" s="163"/>
    </row>
    <row r="190" spans="1:12">
      <c r="A190" s="12"/>
      <c r="C190" s="13"/>
      <c r="D190" s="13"/>
      <c r="E190" s="240"/>
      <c r="F190" s="305"/>
      <c r="G190" s="13"/>
      <c r="H190" s="13"/>
      <c r="I190" s="13"/>
      <c r="J190" s="163"/>
      <c r="K190" s="163"/>
      <c r="L190" s="163"/>
    </row>
    <row r="191" spans="1:12">
      <c r="A191" s="12"/>
      <c r="C191" s="13"/>
      <c r="D191" s="13"/>
      <c r="E191" s="240"/>
      <c r="F191" s="305"/>
      <c r="G191" s="13"/>
      <c r="H191" s="13"/>
      <c r="I191" s="13"/>
      <c r="J191" s="163"/>
      <c r="K191" s="163"/>
      <c r="L191" s="163"/>
    </row>
    <row r="192" spans="1:12">
      <c r="A192" s="12"/>
      <c r="C192" s="13"/>
      <c r="D192" s="13"/>
      <c r="E192" s="240"/>
      <c r="F192" s="305"/>
      <c r="G192" s="13"/>
      <c r="H192" s="13"/>
      <c r="I192" s="13"/>
      <c r="J192" s="163"/>
      <c r="K192" s="163"/>
      <c r="L192" s="163"/>
    </row>
    <row r="193" spans="1:12">
      <c r="A193" s="12"/>
      <c r="C193" s="13"/>
      <c r="D193" s="13"/>
      <c r="E193" s="240"/>
      <c r="F193" s="305"/>
      <c r="G193" s="13"/>
      <c r="H193" s="13"/>
      <c r="I193" s="13"/>
      <c r="J193" s="163"/>
      <c r="K193" s="163"/>
      <c r="L193" s="163"/>
    </row>
    <row r="194" spans="1:12">
      <c r="A194" s="12"/>
      <c r="C194" s="13"/>
      <c r="D194" s="13"/>
      <c r="E194" s="240"/>
      <c r="F194" s="305"/>
      <c r="G194" s="13"/>
      <c r="H194" s="13"/>
      <c r="I194" s="13"/>
      <c r="J194" s="163"/>
      <c r="K194" s="163"/>
      <c r="L194" s="163"/>
    </row>
    <row r="195" spans="1:12">
      <c r="A195" s="12"/>
      <c r="C195" s="13"/>
      <c r="D195" s="13"/>
      <c r="E195" s="240"/>
      <c r="F195" s="305"/>
      <c r="G195" s="13"/>
      <c r="H195" s="13"/>
      <c r="I195" s="13"/>
      <c r="J195" s="163"/>
      <c r="K195" s="163"/>
      <c r="L195" s="163"/>
    </row>
    <row r="196" spans="1:12">
      <c r="A196" s="12"/>
      <c r="C196" s="13"/>
      <c r="D196" s="13"/>
      <c r="E196" s="240"/>
      <c r="F196" s="305"/>
      <c r="G196" s="13"/>
      <c r="H196" s="13"/>
      <c r="I196" s="13"/>
      <c r="J196" s="163"/>
      <c r="K196" s="163"/>
      <c r="L196" s="163"/>
    </row>
    <row r="197" spans="1:12">
      <c r="A197" s="12"/>
      <c r="C197" s="13"/>
      <c r="D197" s="13"/>
      <c r="E197" s="240"/>
      <c r="F197" s="305"/>
      <c r="G197" s="13"/>
      <c r="H197" s="13"/>
      <c r="I197" s="13"/>
      <c r="J197" s="163"/>
      <c r="K197" s="163"/>
      <c r="L197" s="163"/>
    </row>
    <row r="198" spans="1:12">
      <c r="A198" s="12"/>
      <c r="C198" s="13"/>
      <c r="D198" s="13"/>
      <c r="E198" s="240"/>
      <c r="F198" s="305"/>
      <c r="G198" s="13"/>
      <c r="H198" s="13"/>
      <c r="I198" s="13"/>
      <c r="J198" s="163"/>
      <c r="K198" s="163"/>
      <c r="L198" s="163"/>
    </row>
    <row r="199" spans="1:12">
      <c r="A199" s="12"/>
      <c r="C199" s="13"/>
      <c r="D199" s="13"/>
      <c r="E199" s="240"/>
      <c r="F199" s="305"/>
      <c r="G199" s="13"/>
      <c r="H199" s="13"/>
      <c r="I199" s="13"/>
      <c r="J199" s="163"/>
      <c r="K199" s="163"/>
      <c r="L199" s="163"/>
    </row>
    <row r="200" spans="1:12">
      <c r="A200" s="12"/>
      <c r="C200" s="13"/>
      <c r="D200" s="13"/>
      <c r="E200" s="240"/>
      <c r="F200" s="305"/>
      <c r="G200" s="13"/>
      <c r="H200" s="13"/>
      <c r="I200" s="13"/>
      <c r="J200" s="163"/>
      <c r="K200" s="163"/>
      <c r="L200" s="163"/>
    </row>
    <row r="201" spans="1:12">
      <c r="A201" s="12"/>
      <c r="C201" s="13"/>
      <c r="D201" s="13"/>
      <c r="E201" s="240"/>
      <c r="F201" s="305"/>
      <c r="G201" s="13"/>
      <c r="H201" s="13"/>
      <c r="I201" s="13"/>
      <c r="J201" s="163"/>
      <c r="K201" s="163"/>
      <c r="L201" s="163"/>
    </row>
    <row r="202" spans="1:12">
      <c r="A202" s="12"/>
      <c r="C202" s="13"/>
      <c r="D202" s="13"/>
      <c r="E202" s="240"/>
      <c r="F202" s="305"/>
      <c r="G202" s="13"/>
      <c r="H202" s="13"/>
      <c r="I202" s="13"/>
      <c r="J202" s="163"/>
      <c r="K202" s="163"/>
      <c r="L202" s="163"/>
    </row>
    <row r="203" spans="1:12">
      <c r="A203" s="12"/>
      <c r="C203" s="13"/>
      <c r="D203" s="13"/>
      <c r="E203" s="240"/>
      <c r="F203" s="305"/>
      <c r="G203" s="13"/>
      <c r="H203" s="13"/>
      <c r="I203" s="13"/>
      <c r="J203" s="163"/>
      <c r="K203" s="163"/>
      <c r="L203" s="163"/>
    </row>
    <row r="204" spans="1:12">
      <c r="A204" s="12"/>
      <c r="C204" s="13"/>
      <c r="D204" s="13"/>
      <c r="E204" s="240"/>
      <c r="F204" s="305"/>
      <c r="G204" s="13"/>
      <c r="H204" s="13"/>
      <c r="I204" s="13"/>
      <c r="J204" s="163"/>
      <c r="K204" s="163"/>
      <c r="L204" s="163"/>
    </row>
    <row r="205" spans="1:12">
      <c r="A205" s="12"/>
      <c r="C205" s="13"/>
      <c r="D205" s="13"/>
      <c r="E205" s="240"/>
      <c r="F205" s="305"/>
      <c r="G205" s="13"/>
      <c r="H205" s="13"/>
      <c r="I205" s="13"/>
      <c r="J205" s="163"/>
      <c r="K205" s="163"/>
      <c r="L205" s="163"/>
    </row>
    <row r="206" spans="1:12">
      <c r="A206" s="12"/>
      <c r="C206" s="13"/>
      <c r="D206" s="13"/>
      <c r="E206" s="240"/>
      <c r="F206" s="305"/>
      <c r="G206" s="13"/>
      <c r="H206" s="13"/>
      <c r="I206" s="13"/>
      <c r="J206" s="163"/>
      <c r="K206" s="163"/>
      <c r="L206" s="163"/>
    </row>
    <row r="207" spans="1:12">
      <c r="A207" s="18"/>
    </row>
    <row r="208" spans="1:12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</sheetData>
  <sheetProtection formatCells="0" formatColumns="0" formatRows="0" insertRows="0" deleteRows="0"/>
  <autoFilter ref="A7:M145" xr:uid="{00000000-0009-0000-0000-000002000000}"/>
  <mergeCells count="16">
    <mergeCell ref="H148:J148"/>
    <mergeCell ref="M3:M4"/>
    <mergeCell ref="A6:M6"/>
    <mergeCell ref="A122:M122"/>
    <mergeCell ref="A128:M128"/>
    <mergeCell ref="B3:B4"/>
    <mergeCell ref="H147:J147"/>
    <mergeCell ref="A135:M135"/>
    <mergeCell ref="D3:D4"/>
    <mergeCell ref="C147:F147"/>
    <mergeCell ref="C148:F148"/>
    <mergeCell ref="A1:M1"/>
    <mergeCell ref="A3:A4"/>
    <mergeCell ref="C3:C4"/>
    <mergeCell ref="G3:J3"/>
    <mergeCell ref="F3:F4"/>
  </mergeCells>
  <phoneticPr fontId="0" type="noConversion"/>
  <pageMargins left="1.1811023622047243" right="0.39370078740157483" top="0.78740157480314965" bottom="0.78740157480314965" header="0.19685039370078741" footer="0.31496062992125984"/>
  <pageSetup paperSize="9" scale="51" fitToHeight="3" orientation="portrait" r:id="rId1"/>
  <headerFooter alignWithMargins="0"/>
  <rowBreaks count="2" manualBreakCount="2">
    <brk id="33" max="11" man="1"/>
    <brk id="1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L193"/>
  <sheetViews>
    <sheetView view="pageBreakPreview" zoomScale="80" zoomScaleNormal="65" zoomScaleSheetLayoutView="80" workbookViewId="0">
      <pane ySplit="5" topLeftCell="A6" activePane="bottomLeft" state="frozen"/>
      <selection pane="bottomLeft" activeCell="F17" sqref="F17"/>
    </sheetView>
  </sheetViews>
  <sheetFormatPr defaultColWidth="77.81640625" defaultRowHeight="18" outlineLevelRow="1"/>
  <cols>
    <col min="1" max="1" width="61.26953125" style="58" customWidth="1"/>
    <col min="2" max="2" width="15.26953125" style="78" customWidth="1"/>
    <col min="3" max="3" width="13" style="78" customWidth="1"/>
    <col min="4" max="4" width="14.26953125" style="78" customWidth="1"/>
    <col min="5" max="5" width="13.26953125" style="78" hidden="1" customWidth="1"/>
    <col min="6" max="6" width="13.453125" style="78" customWidth="1"/>
    <col min="7" max="7" width="13.7265625" style="58" customWidth="1"/>
    <col min="8" max="8" width="13.26953125" style="58" customWidth="1"/>
    <col min="9" max="9" width="13" style="58" customWidth="1"/>
    <col min="10" max="10" width="11.7265625" style="58" customWidth="1"/>
    <col min="11" max="11" width="10" style="58" customWidth="1"/>
    <col min="12" max="12" width="9.54296875" style="58" customWidth="1"/>
    <col min="13" max="255" width="9.1796875" style="58" customWidth="1"/>
    <col min="256" max="16384" width="77.81640625" style="58"/>
  </cols>
  <sheetData>
    <row r="1" spans="1:12">
      <c r="A1" s="380" t="s">
        <v>357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2" s="61" customFormat="1" outlineLevel="1">
      <c r="A2" s="59"/>
      <c r="B2" s="44"/>
      <c r="C2" s="60">
        <v>17</v>
      </c>
      <c r="D2" s="60">
        <v>2021</v>
      </c>
      <c r="E2" s="60"/>
      <c r="F2" s="60"/>
      <c r="G2" s="60"/>
      <c r="H2" s="60"/>
      <c r="I2" s="60"/>
      <c r="J2" s="60">
        <v>2019</v>
      </c>
    </row>
    <row r="3" spans="1:12" ht="38.25" customHeight="1">
      <c r="A3" s="367" t="s">
        <v>263</v>
      </c>
      <c r="B3" s="381" t="s">
        <v>15</v>
      </c>
      <c r="C3" s="381" t="s">
        <v>29</v>
      </c>
      <c r="D3" s="381" t="s">
        <v>37</v>
      </c>
      <c r="E3" s="62" t="s">
        <v>575</v>
      </c>
      <c r="F3" s="382" t="s">
        <v>174</v>
      </c>
      <c r="G3" s="370" t="s">
        <v>353</v>
      </c>
      <c r="H3" s="370"/>
      <c r="I3" s="370"/>
      <c r="J3" s="370"/>
    </row>
    <row r="4" spans="1:12" ht="50.25" customHeight="1">
      <c r="A4" s="367"/>
      <c r="B4" s="381"/>
      <c r="C4" s="381"/>
      <c r="D4" s="381"/>
      <c r="E4" s="62"/>
      <c r="F4" s="382"/>
      <c r="G4" s="63" t="s">
        <v>354</v>
      </c>
      <c r="H4" s="63" t="s">
        <v>355</v>
      </c>
      <c r="I4" s="63" t="s">
        <v>356</v>
      </c>
      <c r="J4" s="63" t="s">
        <v>83</v>
      </c>
    </row>
    <row r="5" spans="1:12" ht="18" customHeight="1">
      <c r="A5" s="64">
        <v>1</v>
      </c>
      <c r="B5" s="62">
        <v>2</v>
      </c>
      <c r="C5" s="62">
        <v>3</v>
      </c>
      <c r="D5" s="62">
        <v>4</v>
      </c>
      <c r="E5" s="62"/>
      <c r="F5" s="62">
        <v>5</v>
      </c>
      <c r="G5" s="4">
        <v>6</v>
      </c>
      <c r="H5" s="4">
        <v>7</v>
      </c>
      <c r="I5" s="4">
        <v>8</v>
      </c>
      <c r="J5" s="4">
        <v>9</v>
      </c>
    </row>
    <row r="6" spans="1:12" ht="25" customHeight="1">
      <c r="A6" s="383" t="s">
        <v>158</v>
      </c>
      <c r="B6" s="384"/>
      <c r="C6" s="384"/>
      <c r="D6" s="384"/>
      <c r="E6" s="384"/>
      <c r="F6" s="384"/>
      <c r="G6" s="384"/>
      <c r="H6" s="384"/>
      <c r="I6" s="384"/>
      <c r="J6" s="385"/>
    </row>
    <row r="7" spans="1:12" ht="52.5" customHeight="1">
      <c r="A7" s="65" t="s">
        <v>60</v>
      </c>
      <c r="B7" s="4">
        <v>2000</v>
      </c>
      <c r="C7" s="37">
        <v>-14502</v>
      </c>
      <c r="D7" s="37">
        <v>-13020</v>
      </c>
      <c r="E7" s="37">
        <v>-14492</v>
      </c>
      <c r="F7" s="315">
        <f>C17</f>
        <v>-14499</v>
      </c>
      <c r="G7" s="315">
        <f>F17</f>
        <v>-14307.73333333333</v>
      </c>
      <c r="H7" s="315">
        <f>F17</f>
        <v>-14307.73333333333</v>
      </c>
      <c r="I7" s="315">
        <f>F17</f>
        <v>-14307.73333333333</v>
      </c>
      <c r="J7" s="315">
        <f>F17</f>
        <v>-14307.73333333333</v>
      </c>
      <c r="K7" s="316"/>
      <c r="L7" s="316"/>
    </row>
    <row r="8" spans="1:12" ht="36">
      <c r="A8" s="27" t="s">
        <v>215</v>
      </c>
      <c r="B8" s="4">
        <v>2010</v>
      </c>
      <c r="C8" s="37">
        <f>C9+C10</f>
        <v>7</v>
      </c>
      <c r="D8" s="37">
        <f t="shared" ref="D8:I8" si="0">D9+D10</f>
        <v>1043.4000000000001</v>
      </c>
      <c r="E8" s="37">
        <v>88</v>
      </c>
      <c r="F8" s="37">
        <f t="shared" si="0"/>
        <v>373</v>
      </c>
      <c r="G8" s="37">
        <f t="shared" si="0"/>
        <v>421</v>
      </c>
      <c r="H8" s="37">
        <f t="shared" si="0"/>
        <v>850</v>
      </c>
      <c r="I8" s="37">
        <f t="shared" si="0"/>
        <v>937</v>
      </c>
      <c r="J8" s="37">
        <f>J9+J10</f>
        <v>765</v>
      </c>
    </row>
    <row r="9" spans="1:12" ht="42.75" customHeight="1">
      <c r="A9" s="5" t="s">
        <v>359</v>
      </c>
      <c r="B9" s="4">
        <v>2011</v>
      </c>
      <c r="C9" s="36">
        <v>2</v>
      </c>
      <c r="D9" s="36">
        <f>ROUND('I. Фін результат'!D119*0.15,0)</f>
        <v>237</v>
      </c>
      <c r="E9" s="36">
        <v>20</v>
      </c>
      <c r="F9" s="36">
        <f>ROUND('I. Фін результат'!F119*0.15,0)</f>
        <v>85</v>
      </c>
      <c r="G9" s="36">
        <f>ROUND('I. Фін результат'!G119*0.15,0)</f>
        <v>96</v>
      </c>
      <c r="H9" s="36">
        <f>ROUND('I. Фін результат'!H119*0.15,0)</f>
        <v>193</v>
      </c>
      <c r="I9" s="36">
        <f>ROUND('I. Фін результат'!I119*0.15,0)</f>
        <v>213</v>
      </c>
      <c r="J9" s="174">
        <f>ROUND('I. Фін результат'!J119*0.15,0)</f>
        <v>174</v>
      </c>
    </row>
    <row r="10" spans="1:12" ht="90">
      <c r="A10" s="5" t="s">
        <v>360</v>
      </c>
      <c r="B10" s="4">
        <v>2012</v>
      </c>
      <c r="C10" s="36">
        <v>5</v>
      </c>
      <c r="D10" s="36">
        <f>ROUND(('I. Фін результат'!D119-'ІІ. Розр. з бюджетом'!D9)*0.6,2)</f>
        <v>806.4</v>
      </c>
      <c r="E10" s="36">
        <v>68</v>
      </c>
      <c r="F10" s="36">
        <f>ROUND(('I. Фін результат'!F119-'ІІ. Розр. з бюджетом'!F9)*0.6,0)</f>
        <v>288</v>
      </c>
      <c r="G10" s="36">
        <f>ROUND(('I. Фін результат'!G119-'ІІ. Розр. з бюджетом'!G9)*0.6,0)</f>
        <v>325</v>
      </c>
      <c r="H10" s="36">
        <f>ROUND(('I. Фін результат'!H119-'ІІ. Розр. з бюджетом'!H9)*0.6,0)</f>
        <v>657</v>
      </c>
      <c r="I10" s="36">
        <f>ROUND(('I. Фін результат'!I119-'ІІ. Розр. з бюджетом'!I9)*0.6,0)</f>
        <v>724</v>
      </c>
      <c r="J10" s="174">
        <f>ROUND(('I. Фін результат'!J119-'ІІ. Розр. з бюджетом'!J9)*0.6,0)</f>
        <v>591</v>
      </c>
    </row>
    <row r="11" spans="1:12" ht="20.149999999999999" customHeight="1">
      <c r="A11" s="5" t="s">
        <v>201</v>
      </c>
      <c r="B11" s="4">
        <v>2020</v>
      </c>
      <c r="C11" s="36"/>
      <c r="D11" s="36"/>
      <c r="E11" s="36"/>
      <c r="F11" s="36"/>
      <c r="G11" s="36"/>
      <c r="H11" s="36"/>
      <c r="I11" s="36"/>
      <c r="J11" s="36"/>
    </row>
    <row r="12" spans="1:12" s="66" customFormat="1" ht="20.149999999999999" customHeight="1">
      <c r="A12" s="27" t="s">
        <v>72</v>
      </c>
      <c r="B12" s="4">
        <v>2030</v>
      </c>
      <c r="C12" s="36"/>
      <c r="D12" s="36"/>
      <c r="E12" s="36"/>
      <c r="F12" s="36"/>
      <c r="G12" s="36"/>
      <c r="H12" s="36"/>
      <c r="I12" s="36"/>
      <c r="J12" s="36"/>
    </row>
    <row r="13" spans="1:12" ht="36">
      <c r="A13" s="27" t="s">
        <v>382</v>
      </c>
      <c r="B13" s="4">
        <v>2031</v>
      </c>
      <c r="C13" s="36"/>
      <c r="D13" s="36"/>
      <c r="E13" s="36"/>
      <c r="F13" s="36"/>
      <c r="G13" s="36"/>
      <c r="H13" s="36"/>
      <c r="I13" s="36"/>
      <c r="J13" s="36"/>
    </row>
    <row r="14" spans="1:12" ht="20.149999999999999" customHeight="1">
      <c r="A14" s="27" t="s">
        <v>24</v>
      </c>
      <c r="B14" s="4">
        <v>2040</v>
      </c>
      <c r="C14" s="36"/>
      <c r="D14" s="36"/>
      <c r="E14" s="36"/>
      <c r="F14" s="36"/>
      <c r="G14" s="36"/>
      <c r="H14" s="36"/>
      <c r="I14" s="36"/>
      <c r="J14" s="36"/>
    </row>
    <row r="15" spans="1:12" ht="20.149999999999999" customHeight="1">
      <c r="A15" s="67" t="s">
        <v>124</v>
      </c>
      <c r="B15" s="4">
        <v>2050</v>
      </c>
      <c r="C15" s="36"/>
      <c r="D15" s="36"/>
      <c r="E15" s="36"/>
      <c r="F15" s="36"/>
      <c r="G15" s="36"/>
      <c r="H15" s="36"/>
      <c r="I15" s="36"/>
      <c r="J15" s="36"/>
    </row>
    <row r="16" spans="1:12" ht="20.149999999999999" customHeight="1">
      <c r="A16" s="67" t="s">
        <v>125</v>
      </c>
      <c r="B16" s="4">
        <v>2060</v>
      </c>
      <c r="C16" s="36"/>
      <c r="D16" s="36"/>
      <c r="E16" s="36"/>
      <c r="F16" s="36"/>
      <c r="G16" s="36"/>
      <c r="H16" s="36"/>
      <c r="I16" s="36"/>
      <c r="J16" s="36"/>
    </row>
    <row r="17" spans="1:11" ht="56.25" customHeight="1">
      <c r="A17" s="65" t="s">
        <v>61</v>
      </c>
      <c r="B17" s="68">
        <v>2070</v>
      </c>
      <c r="C17" s="38">
        <f>C7-C8+'I. Фін результат'!C118+C16</f>
        <v>-14499</v>
      </c>
      <c r="D17" s="38">
        <f>D7-D8+'I. Фін результат'!D118</f>
        <v>-12482.4</v>
      </c>
      <c r="E17" s="38">
        <f>E7-E8+'I. Фін результат'!E118</f>
        <v>-14711.8</v>
      </c>
      <c r="F17" s="175">
        <f>F7-F8+'I. Фін результат'!F118</f>
        <v>-14307.73333333333</v>
      </c>
      <c r="G17" s="38">
        <f>G7-G8+'I. Фін результат'!G118</f>
        <v>-14090.540166933331</v>
      </c>
      <c r="H17" s="38">
        <f>H7-H8+'I. Фін результат'!H118</f>
        <v>-13870.347000533335</v>
      </c>
      <c r="I17" s="38">
        <f>I7-I8+'I. Фін результат'!I118</f>
        <v>-13824.745607433324</v>
      </c>
      <c r="J17" s="38">
        <f>J7-J8+'I. Фін результат'!J118</f>
        <v>-13913.724037066662</v>
      </c>
      <c r="K17" s="249"/>
    </row>
    <row r="18" spans="1:11" ht="39.75" customHeight="1">
      <c r="A18" s="383" t="s">
        <v>159</v>
      </c>
      <c r="B18" s="384"/>
      <c r="C18" s="384"/>
      <c r="D18" s="384"/>
      <c r="E18" s="384"/>
      <c r="F18" s="384"/>
      <c r="G18" s="384"/>
      <c r="H18" s="384"/>
      <c r="I18" s="384"/>
      <c r="J18" s="385"/>
    </row>
    <row r="19" spans="1:11" ht="36">
      <c r="A19" s="67" t="s">
        <v>215</v>
      </c>
      <c r="B19" s="28">
        <v>2100</v>
      </c>
      <c r="C19" s="37">
        <f t="shared" ref="C19:J19" si="1">SUM(C20:C21)</f>
        <v>7</v>
      </c>
      <c r="D19" s="37">
        <f t="shared" si="1"/>
        <v>1043.4000000000001</v>
      </c>
      <c r="E19" s="37">
        <f t="shared" si="1"/>
        <v>88</v>
      </c>
      <c r="F19" s="37">
        <f t="shared" si="1"/>
        <v>373</v>
      </c>
      <c r="G19" s="37">
        <f t="shared" si="1"/>
        <v>421</v>
      </c>
      <c r="H19" s="37">
        <f t="shared" si="1"/>
        <v>850</v>
      </c>
      <c r="I19" s="37">
        <f t="shared" si="1"/>
        <v>937</v>
      </c>
      <c r="J19" s="37">
        <f t="shared" si="1"/>
        <v>765</v>
      </c>
    </row>
    <row r="20" spans="1:11" ht="42.75" customHeight="1">
      <c r="A20" s="20" t="s">
        <v>359</v>
      </c>
      <c r="B20" s="28">
        <v>2101</v>
      </c>
      <c r="C20" s="37">
        <f t="shared" ref="C20:J21" si="2">C9</f>
        <v>2</v>
      </c>
      <c r="D20" s="37">
        <f t="shared" si="2"/>
        <v>237</v>
      </c>
      <c r="E20" s="37">
        <f t="shared" si="2"/>
        <v>20</v>
      </c>
      <c r="F20" s="37">
        <f>F9</f>
        <v>85</v>
      </c>
      <c r="G20" s="37">
        <f t="shared" si="2"/>
        <v>96</v>
      </c>
      <c r="H20" s="37">
        <f t="shared" si="2"/>
        <v>193</v>
      </c>
      <c r="I20" s="37">
        <f t="shared" si="2"/>
        <v>213</v>
      </c>
      <c r="J20" s="37">
        <f t="shared" si="2"/>
        <v>174</v>
      </c>
    </row>
    <row r="21" spans="1:11" ht="90">
      <c r="A21" s="20" t="s">
        <v>360</v>
      </c>
      <c r="B21" s="28">
        <v>2102</v>
      </c>
      <c r="C21" s="37">
        <f t="shared" si="2"/>
        <v>5</v>
      </c>
      <c r="D21" s="37">
        <f t="shared" ref="D21:J21" si="3">D10</f>
        <v>806.4</v>
      </c>
      <c r="E21" s="37">
        <f>E10</f>
        <v>68</v>
      </c>
      <c r="F21" s="37">
        <f t="shared" si="3"/>
        <v>288</v>
      </c>
      <c r="G21" s="37">
        <f t="shared" si="3"/>
        <v>325</v>
      </c>
      <c r="H21" s="37">
        <f t="shared" si="3"/>
        <v>657</v>
      </c>
      <c r="I21" s="37">
        <f t="shared" si="3"/>
        <v>724</v>
      </c>
      <c r="J21" s="37">
        <f t="shared" si="3"/>
        <v>591</v>
      </c>
    </row>
    <row r="22" spans="1:11" s="66" customFormat="1" ht="20.149999999999999" customHeight="1">
      <c r="A22" s="67" t="s">
        <v>161</v>
      </c>
      <c r="B22" s="69">
        <v>2110</v>
      </c>
      <c r="C22" s="37">
        <f>'I. Фін результат'!C116</f>
        <v>0</v>
      </c>
      <c r="D22" s="37">
        <f>'I. Фін результат'!D116</f>
        <v>347</v>
      </c>
      <c r="E22" s="37">
        <f>'I. Фін результат'!E116</f>
        <v>347</v>
      </c>
      <c r="F22" s="37">
        <f>'I. Фін результат'!F116</f>
        <v>0</v>
      </c>
      <c r="G22" s="37">
        <f>'I. Фін результат'!G116</f>
        <v>0</v>
      </c>
      <c r="H22" s="37">
        <f>'I. Фін результат'!H116</f>
        <v>0</v>
      </c>
      <c r="I22" s="37">
        <f>'I. Фін результат'!I116</f>
        <v>0</v>
      </c>
      <c r="J22" s="37">
        <f>'I. Фін результат'!J116</f>
        <v>255</v>
      </c>
    </row>
    <row r="23" spans="1:11" ht="54">
      <c r="A23" s="67" t="s">
        <v>324</v>
      </c>
      <c r="B23" s="69">
        <v>2120</v>
      </c>
      <c r="C23" s="36">
        <v>2625</v>
      </c>
      <c r="D23" s="36">
        <v>748</v>
      </c>
      <c r="E23" s="36">
        <v>824</v>
      </c>
      <c r="F23" s="36">
        <v>747.8</v>
      </c>
      <c r="G23" s="36">
        <f>ROUND(J23*0.25,0)</f>
        <v>187</v>
      </c>
      <c r="H23" s="36">
        <f>ROUND(J23*0.5,0)</f>
        <v>374</v>
      </c>
      <c r="I23" s="36">
        <f>ROUND(J23*0.75,0)</f>
        <v>561</v>
      </c>
      <c r="J23" s="36">
        <f>F23</f>
        <v>747.8</v>
      </c>
    </row>
    <row r="24" spans="1:11" ht="54">
      <c r="A24" s="67" t="s">
        <v>325</v>
      </c>
      <c r="B24" s="69">
        <v>2130</v>
      </c>
      <c r="C24" s="36"/>
      <c r="D24" s="36"/>
      <c r="E24" s="36"/>
      <c r="F24" s="36"/>
      <c r="G24" s="36"/>
      <c r="H24" s="36"/>
      <c r="I24" s="36"/>
      <c r="J24" s="36"/>
    </row>
    <row r="25" spans="1:11" s="57" customFormat="1" ht="35">
      <c r="A25" s="70" t="s">
        <v>252</v>
      </c>
      <c r="B25" s="71">
        <v>2140</v>
      </c>
      <c r="C25" s="38">
        <f t="shared" ref="C25:J25" si="4">SUM(C26:C30,C33,C35)</f>
        <v>4044</v>
      </c>
      <c r="D25" s="38">
        <f t="shared" si="4"/>
        <v>6727</v>
      </c>
      <c r="E25" s="38">
        <v>3282</v>
      </c>
      <c r="F25" s="38">
        <f t="shared" si="4"/>
        <v>4549</v>
      </c>
      <c r="G25" s="38">
        <f>SUM(G26:G30,G33,G35)</f>
        <v>1746</v>
      </c>
      <c r="H25" s="38">
        <f t="shared" si="4"/>
        <v>3492</v>
      </c>
      <c r="I25" s="38">
        <f t="shared" si="4"/>
        <v>5321</v>
      </c>
      <c r="J25" s="38">
        <f t="shared" si="4"/>
        <v>7164</v>
      </c>
      <c r="K25" s="58"/>
    </row>
    <row r="26" spans="1:11" ht="20.149999999999999" customHeight="1">
      <c r="A26" s="67" t="s">
        <v>88</v>
      </c>
      <c r="B26" s="69">
        <v>2141</v>
      </c>
      <c r="C26" s="36"/>
      <c r="D26" s="36"/>
      <c r="E26" s="36"/>
      <c r="F26" s="36"/>
      <c r="G26" s="36"/>
      <c r="H26" s="36"/>
      <c r="I26" s="36"/>
      <c r="J26" s="36"/>
    </row>
    <row r="27" spans="1:11" ht="20.149999999999999" customHeight="1">
      <c r="A27" s="67" t="s">
        <v>115</v>
      </c>
      <c r="B27" s="69">
        <v>2142</v>
      </c>
      <c r="C27" s="36"/>
      <c r="D27" s="36"/>
      <c r="E27" s="36"/>
      <c r="F27" s="36"/>
      <c r="G27" s="36"/>
      <c r="H27" s="36"/>
      <c r="I27" s="36"/>
      <c r="J27" s="36"/>
    </row>
    <row r="28" spans="1:11" ht="20.149999999999999" customHeight="1">
      <c r="A28" s="67" t="s">
        <v>106</v>
      </c>
      <c r="B28" s="69">
        <v>2143</v>
      </c>
      <c r="C28" s="36"/>
      <c r="D28" s="36"/>
      <c r="E28" s="36"/>
      <c r="F28" s="36"/>
      <c r="G28" s="36"/>
      <c r="H28" s="36"/>
      <c r="I28" s="36"/>
      <c r="J28" s="36"/>
    </row>
    <row r="29" spans="1:11" ht="20.149999999999999" customHeight="1">
      <c r="A29" s="67" t="s">
        <v>86</v>
      </c>
      <c r="B29" s="69">
        <v>2144</v>
      </c>
      <c r="C29" s="36">
        <v>3728</v>
      </c>
      <c r="D29" s="36">
        <f>ROUND('I. Фін результат'!D139*0.18,0)</f>
        <v>6203</v>
      </c>
      <c r="E29" s="36">
        <v>3024</v>
      </c>
      <c r="F29" s="36">
        <f>ROUND('I. Фін результат'!F139*0.18,0)</f>
        <v>4205</v>
      </c>
      <c r="G29" s="36">
        <f>ROUND('I. Фін результат'!G139*0.18,0)</f>
        <v>1610</v>
      </c>
      <c r="H29" s="36">
        <f>ROUND('I. Фін результат'!H139*0.18,0)</f>
        <v>3220</v>
      </c>
      <c r="I29" s="36">
        <f>ROUND('I. Фін результат'!I139*0.18,0)</f>
        <v>4907</v>
      </c>
      <c r="J29" s="36">
        <f>ROUND('I. Фін результат'!J139*0.18,0)</f>
        <v>6606</v>
      </c>
    </row>
    <row r="30" spans="1:11" s="66" customFormat="1" ht="20.149999999999999" customHeight="1">
      <c r="A30" s="67" t="s">
        <v>181</v>
      </c>
      <c r="B30" s="69">
        <v>2145</v>
      </c>
      <c r="C30" s="36"/>
      <c r="D30" s="36"/>
      <c r="E30" s="36"/>
      <c r="F30" s="36"/>
      <c r="G30" s="36"/>
      <c r="H30" s="36"/>
      <c r="I30" s="36"/>
      <c r="J30" s="36"/>
    </row>
    <row r="31" spans="1:11" ht="54">
      <c r="A31" s="67" t="s">
        <v>260</v>
      </c>
      <c r="B31" s="69" t="s">
        <v>230</v>
      </c>
      <c r="C31" s="36"/>
      <c r="D31" s="36"/>
      <c r="E31" s="36"/>
      <c r="F31" s="36"/>
      <c r="G31" s="36"/>
      <c r="H31" s="36"/>
      <c r="I31" s="36"/>
      <c r="J31" s="36"/>
    </row>
    <row r="32" spans="1:11" ht="20.149999999999999" customHeight="1">
      <c r="A32" s="67" t="s">
        <v>25</v>
      </c>
      <c r="B32" s="69" t="s">
        <v>231</v>
      </c>
      <c r="C32" s="36"/>
      <c r="D32" s="36"/>
      <c r="E32" s="36"/>
      <c r="F32" s="36"/>
      <c r="G32" s="36"/>
      <c r="H32" s="36"/>
      <c r="I32" s="36"/>
      <c r="J32" s="36"/>
    </row>
    <row r="33" spans="1:12" s="66" customFormat="1" ht="20.149999999999999" customHeight="1">
      <c r="A33" s="67" t="s">
        <v>126</v>
      </c>
      <c r="B33" s="69">
        <v>2146</v>
      </c>
      <c r="C33" s="36">
        <f>C34</f>
        <v>6</v>
      </c>
      <c r="D33" s="36">
        <v>7</v>
      </c>
      <c r="E33" s="36">
        <f t="shared" ref="E33:J33" si="5">E34</f>
        <v>5</v>
      </c>
      <c r="F33" s="36">
        <f t="shared" si="5"/>
        <v>6.666666666666667</v>
      </c>
      <c r="G33" s="36">
        <f t="shared" si="5"/>
        <v>2</v>
      </c>
      <c r="H33" s="36">
        <f t="shared" si="5"/>
        <v>4</v>
      </c>
      <c r="I33" s="36">
        <f t="shared" si="5"/>
        <v>5</v>
      </c>
      <c r="J33" s="36">
        <f t="shared" si="5"/>
        <v>7</v>
      </c>
    </row>
    <row r="34" spans="1:12" s="66" customFormat="1" ht="20.149999999999999" customHeight="1">
      <c r="A34" s="67" t="s">
        <v>384</v>
      </c>
      <c r="B34" s="69" t="s">
        <v>404</v>
      </c>
      <c r="C34" s="36">
        <v>6</v>
      </c>
      <c r="D34" s="36">
        <v>7</v>
      </c>
      <c r="E34" s="36">
        <v>5</v>
      </c>
      <c r="F34" s="36">
        <f>E34/9*12</f>
        <v>6.666666666666667</v>
      </c>
      <c r="G34" s="36">
        <f>ROUND(J34*0.25,0)</f>
        <v>2</v>
      </c>
      <c r="H34" s="36">
        <f>ROUND(J34*0.5,0)</f>
        <v>4</v>
      </c>
      <c r="I34" s="36">
        <f>ROUND(J34*0.75,0)</f>
        <v>5</v>
      </c>
      <c r="J34" s="36">
        <f>ROUND(F34*1.1,0)</f>
        <v>7</v>
      </c>
      <c r="K34" s="72"/>
    </row>
    <row r="35" spans="1:12" ht="20.149999999999999" customHeight="1">
      <c r="A35" s="67" t="s">
        <v>94</v>
      </c>
      <c r="B35" s="69">
        <v>2147</v>
      </c>
      <c r="C35" s="36">
        <f t="shared" ref="C35:J35" si="6">C36+C37</f>
        <v>310</v>
      </c>
      <c r="D35" s="36">
        <f t="shared" si="6"/>
        <v>517</v>
      </c>
      <c r="E35" s="36">
        <v>253</v>
      </c>
      <c r="F35" s="36">
        <f t="shared" si="6"/>
        <v>337.33333333333331</v>
      </c>
      <c r="G35" s="36">
        <f>G36+G37</f>
        <v>134</v>
      </c>
      <c r="H35" s="36">
        <f t="shared" si="6"/>
        <v>268</v>
      </c>
      <c r="I35" s="36">
        <f t="shared" si="6"/>
        <v>409</v>
      </c>
      <c r="J35" s="36">
        <f t="shared" si="6"/>
        <v>551</v>
      </c>
    </row>
    <row r="36" spans="1:12" ht="20.149999999999999" customHeight="1">
      <c r="A36" s="67" t="s">
        <v>420</v>
      </c>
      <c r="B36" s="69" t="s">
        <v>371</v>
      </c>
      <c r="C36" s="36">
        <v>310</v>
      </c>
      <c r="D36" s="36">
        <v>0</v>
      </c>
      <c r="E36" s="36">
        <v>253</v>
      </c>
      <c r="F36" s="36">
        <f>E36/9*12</f>
        <v>337.33333333333331</v>
      </c>
      <c r="G36" s="36">
        <v>0</v>
      </c>
      <c r="H36" s="36">
        <v>0</v>
      </c>
      <c r="I36" s="36">
        <v>0</v>
      </c>
      <c r="J36" s="36">
        <v>0</v>
      </c>
      <c r="K36" s="72"/>
    </row>
    <row r="37" spans="1:12" ht="20.149999999999999" customHeight="1">
      <c r="A37" s="67" t="s">
        <v>370</v>
      </c>
      <c r="B37" s="69" t="s">
        <v>383</v>
      </c>
      <c r="C37" s="36">
        <v>0</v>
      </c>
      <c r="D37" s="36">
        <f>ROUND('I. Фін результат'!D139*1.5%,0)</f>
        <v>517</v>
      </c>
      <c r="E37" s="36">
        <v>0</v>
      </c>
      <c r="F37" s="36">
        <f>E37/9*12</f>
        <v>0</v>
      </c>
      <c r="G37" s="36">
        <f>ROUND('I. Фін результат'!G139*1.5%,0)</f>
        <v>134</v>
      </c>
      <c r="H37" s="36">
        <f>ROUND('I. Фін результат'!H139*1.5%,0)</f>
        <v>268</v>
      </c>
      <c r="I37" s="36">
        <f>ROUND('I. Фін результат'!I139*1.5%,0)</f>
        <v>409</v>
      </c>
      <c r="J37" s="36">
        <f>ROUND('I. Фін результат'!J139*1.5%,0)</f>
        <v>551</v>
      </c>
    </row>
    <row r="38" spans="1:12" s="66" customFormat="1" ht="36">
      <c r="A38" s="67" t="s">
        <v>87</v>
      </c>
      <c r="B38" s="69">
        <v>2150</v>
      </c>
      <c r="C38" s="36">
        <f>ROUND('I. Фін результат'!C140,0)</f>
        <v>4290</v>
      </c>
      <c r="D38" s="36">
        <f>ROUND('I. Фін результат'!D140,0)</f>
        <v>7408</v>
      </c>
      <c r="E38" s="36">
        <f>ROUND('I. Фін результат'!E140,0)</f>
        <v>3789</v>
      </c>
      <c r="F38" s="36">
        <f>E38/9*12</f>
        <v>5052</v>
      </c>
      <c r="G38" s="36">
        <f>ROUND('I. Фін результат'!G140,0)</f>
        <v>1923</v>
      </c>
      <c r="H38" s="36">
        <f>ROUND('I. Фін результат'!H140,0)</f>
        <v>3847</v>
      </c>
      <c r="I38" s="36">
        <f>ROUND('I. Фін результат'!I140,0)</f>
        <v>5861</v>
      </c>
      <c r="J38" s="36">
        <f>ROUND('I. Фін результат'!J140,0)</f>
        <v>7891</v>
      </c>
    </row>
    <row r="39" spans="1:12" s="66" customFormat="1" ht="20.149999999999999" customHeight="1">
      <c r="A39" s="70" t="s">
        <v>350</v>
      </c>
      <c r="B39" s="71">
        <v>2200</v>
      </c>
      <c r="C39" s="38">
        <f t="shared" ref="C39:J39" si="7">SUM(C19,C22:C24,C25,C38)</f>
        <v>10966</v>
      </c>
      <c r="D39" s="38">
        <f t="shared" si="7"/>
        <v>16273.4</v>
      </c>
      <c r="E39" s="38">
        <f t="shared" si="7"/>
        <v>8330</v>
      </c>
      <c r="F39" s="38">
        <f t="shared" si="7"/>
        <v>10721.8</v>
      </c>
      <c r="G39" s="38">
        <f>SUM(G19,G22:G24,G25,G38)</f>
        <v>4277</v>
      </c>
      <c r="H39" s="38">
        <f t="shared" si="7"/>
        <v>8563</v>
      </c>
      <c r="I39" s="38">
        <f t="shared" si="7"/>
        <v>12680</v>
      </c>
      <c r="J39" s="38">
        <f t="shared" si="7"/>
        <v>16822.8</v>
      </c>
      <c r="K39" s="58"/>
    </row>
    <row r="40" spans="1:12" s="66" customFormat="1" ht="20.149999999999999" customHeight="1">
      <c r="A40" s="73"/>
      <c r="B40" s="74"/>
      <c r="C40" s="74"/>
      <c r="D40" s="74"/>
      <c r="E40" s="75"/>
      <c r="F40" s="76"/>
      <c r="G40" s="76"/>
      <c r="H40" s="76"/>
      <c r="I40" s="76"/>
      <c r="J40" s="76"/>
    </row>
    <row r="41" spans="1:12" s="66" customFormat="1" ht="20.149999999999999" customHeight="1">
      <c r="A41" s="73"/>
      <c r="B41" s="74"/>
      <c r="C41" s="75"/>
      <c r="D41" s="76"/>
      <c r="E41" s="76"/>
      <c r="F41" s="76"/>
      <c r="G41" s="76"/>
      <c r="H41" s="76"/>
      <c r="I41" s="76"/>
      <c r="J41" s="76"/>
    </row>
    <row r="42" spans="1:12" s="1" customFormat="1" ht="40.5" customHeight="1">
      <c r="A42" s="251" t="s">
        <v>583</v>
      </c>
      <c r="B42" s="173"/>
      <c r="C42" s="357"/>
      <c r="D42" s="358"/>
      <c r="E42" s="358"/>
      <c r="F42" s="358"/>
      <c r="G42" s="213"/>
      <c r="H42" s="355" t="s">
        <v>582</v>
      </c>
      <c r="I42" s="356"/>
      <c r="J42" s="356"/>
    </row>
    <row r="43" spans="1:12" s="1" customFormat="1" ht="21" customHeight="1">
      <c r="A43" s="30" t="s">
        <v>80</v>
      </c>
      <c r="B43" s="29"/>
      <c r="C43" s="354" t="s">
        <v>81</v>
      </c>
      <c r="D43" s="354"/>
      <c r="E43" s="354"/>
      <c r="F43" s="354"/>
      <c r="G43" s="32"/>
      <c r="H43" s="354" t="s">
        <v>112</v>
      </c>
      <c r="I43" s="354"/>
      <c r="J43" s="354"/>
    </row>
    <row r="44" spans="1:12" s="78" customFormat="1">
      <c r="A44" s="77"/>
      <c r="G44" s="58"/>
      <c r="H44" s="58"/>
      <c r="I44" s="58"/>
      <c r="J44" s="58"/>
      <c r="K44" s="58"/>
      <c r="L44" s="58"/>
    </row>
    <row r="45" spans="1:12" s="78" customFormat="1">
      <c r="A45" s="77"/>
      <c r="G45" s="58"/>
      <c r="H45" s="58"/>
      <c r="I45" s="58"/>
      <c r="J45" s="58"/>
      <c r="K45" s="58"/>
      <c r="L45" s="58"/>
    </row>
    <row r="46" spans="1:12" s="78" customFormat="1">
      <c r="A46" s="77"/>
      <c r="G46" s="58"/>
      <c r="H46" s="58"/>
      <c r="I46" s="58"/>
      <c r="J46" s="58"/>
      <c r="K46" s="58"/>
      <c r="L46" s="58"/>
    </row>
    <row r="47" spans="1:12" s="78" customFormat="1">
      <c r="A47" s="77"/>
      <c r="G47" s="58"/>
      <c r="H47" s="58"/>
      <c r="I47" s="58"/>
      <c r="J47" s="58"/>
      <c r="K47" s="58"/>
      <c r="L47" s="58"/>
    </row>
    <row r="48" spans="1:12" s="78" customFormat="1">
      <c r="A48" s="77"/>
      <c r="G48" s="58"/>
      <c r="H48" s="58"/>
      <c r="I48" s="58"/>
      <c r="J48" s="58"/>
      <c r="K48" s="58"/>
      <c r="L48" s="58"/>
    </row>
    <row r="49" spans="1:12" s="78" customFormat="1">
      <c r="A49" s="77"/>
      <c r="G49" s="58"/>
      <c r="H49" s="58"/>
      <c r="I49" s="58"/>
      <c r="J49" s="58"/>
      <c r="K49" s="58"/>
      <c r="L49" s="58"/>
    </row>
    <row r="50" spans="1:12" s="78" customFormat="1">
      <c r="A50" s="77"/>
      <c r="G50" s="58"/>
      <c r="H50" s="58"/>
      <c r="I50" s="58"/>
      <c r="J50" s="58"/>
      <c r="K50" s="58"/>
      <c r="L50" s="58"/>
    </row>
    <row r="51" spans="1:12" s="78" customFormat="1">
      <c r="A51" s="77"/>
      <c r="G51" s="58"/>
      <c r="H51" s="58"/>
      <c r="I51" s="58"/>
      <c r="J51" s="58"/>
      <c r="K51" s="58"/>
      <c r="L51" s="58"/>
    </row>
    <row r="52" spans="1:12" s="78" customFormat="1">
      <c r="A52" s="77"/>
      <c r="G52" s="58"/>
      <c r="H52" s="58"/>
      <c r="I52" s="58"/>
      <c r="J52" s="58"/>
      <c r="K52" s="58"/>
      <c r="L52" s="58"/>
    </row>
    <row r="53" spans="1:12" s="78" customFormat="1">
      <c r="A53" s="77"/>
      <c r="G53" s="58"/>
      <c r="H53" s="58"/>
      <c r="I53" s="58"/>
      <c r="J53" s="58"/>
      <c r="K53" s="58"/>
      <c r="L53" s="58"/>
    </row>
    <row r="54" spans="1:12" s="78" customFormat="1">
      <c r="A54" s="77"/>
      <c r="G54" s="58"/>
      <c r="H54" s="58"/>
      <c r="I54" s="58"/>
      <c r="J54" s="58"/>
      <c r="K54" s="58"/>
      <c r="L54" s="58"/>
    </row>
    <row r="55" spans="1:12" s="78" customFormat="1">
      <c r="A55" s="77"/>
      <c r="G55" s="58"/>
      <c r="H55" s="58"/>
      <c r="I55" s="58"/>
      <c r="J55" s="58"/>
      <c r="K55" s="58"/>
      <c r="L55" s="58"/>
    </row>
    <row r="56" spans="1:12" s="78" customFormat="1">
      <c r="A56" s="77"/>
      <c r="G56" s="58"/>
      <c r="H56" s="58"/>
      <c r="I56" s="58"/>
      <c r="J56" s="58"/>
      <c r="K56" s="58"/>
      <c r="L56" s="58"/>
    </row>
    <row r="57" spans="1:12" s="78" customFormat="1">
      <c r="A57" s="77"/>
      <c r="G57" s="58"/>
      <c r="H57" s="58"/>
      <c r="I57" s="58"/>
      <c r="J57" s="58"/>
      <c r="K57" s="58"/>
      <c r="L57" s="58"/>
    </row>
    <row r="58" spans="1:12" s="78" customFormat="1">
      <c r="A58" s="77"/>
      <c r="G58" s="58"/>
      <c r="H58" s="58"/>
      <c r="I58" s="58"/>
      <c r="J58" s="58"/>
      <c r="K58" s="58"/>
      <c r="L58" s="58"/>
    </row>
    <row r="59" spans="1:12" s="78" customFormat="1">
      <c r="A59" s="77"/>
      <c r="G59" s="58"/>
      <c r="H59" s="58"/>
      <c r="I59" s="58"/>
      <c r="J59" s="58"/>
      <c r="K59" s="58"/>
      <c r="L59" s="58"/>
    </row>
    <row r="60" spans="1:12" s="78" customFormat="1">
      <c r="A60" s="77"/>
      <c r="G60" s="58"/>
      <c r="H60" s="58"/>
      <c r="I60" s="58"/>
      <c r="J60" s="58"/>
      <c r="K60" s="58"/>
      <c r="L60" s="58"/>
    </row>
    <row r="61" spans="1:12" s="78" customFormat="1">
      <c r="A61" s="77"/>
      <c r="G61" s="58"/>
      <c r="H61" s="58"/>
      <c r="I61" s="58"/>
      <c r="J61" s="58"/>
      <c r="K61" s="58"/>
      <c r="L61" s="58"/>
    </row>
    <row r="62" spans="1:12" s="78" customFormat="1">
      <c r="A62" s="77"/>
      <c r="G62" s="58"/>
      <c r="H62" s="58"/>
      <c r="I62" s="58"/>
      <c r="J62" s="58"/>
      <c r="K62" s="58"/>
      <c r="L62" s="58"/>
    </row>
    <row r="63" spans="1:12" s="78" customFormat="1">
      <c r="A63" s="77"/>
      <c r="G63" s="58"/>
      <c r="H63" s="58"/>
      <c r="I63" s="58"/>
      <c r="J63" s="58"/>
      <c r="K63" s="58"/>
      <c r="L63" s="58"/>
    </row>
    <row r="64" spans="1:12" s="78" customFormat="1">
      <c r="A64" s="77"/>
      <c r="G64" s="58"/>
      <c r="H64" s="58"/>
      <c r="I64" s="58"/>
      <c r="J64" s="58"/>
      <c r="K64" s="58"/>
      <c r="L64" s="58"/>
    </row>
    <row r="65" spans="1:12" s="78" customFormat="1">
      <c r="A65" s="77"/>
      <c r="G65" s="58"/>
      <c r="H65" s="58"/>
      <c r="I65" s="58"/>
      <c r="J65" s="58"/>
      <c r="K65" s="58"/>
      <c r="L65" s="58"/>
    </row>
    <row r="66" spans="1:12" s="78" customFormat="1">
      <c r="A66" s="77"/>
      <c r="G66" s="58"/>
      <c r="H66" s="58"/>
      <c r="I66" s="58"/>
      <c r="J66" s="58"/>
      <c r="K66" s="58"/>
      <c r="L66" s="58"/>
    </row>
    <row r="67" spans="1:12" s="78" customFormat="1">
      <c r="A67" s="77"/>
      <c r="G67" s="58"/>
      <c r="H67" s="58"/>
      <c r="I67" s="58"/>
      <c r="J67" s="58"/>
      <c r="K67" s="58"/>
      <c r="L67" s="58"/>
    </row>
    <row r="68" spans="1:12" s="78" customFormat="1">
      <c r="A68" s="77"/>
      <c r="G68" s="58"/>
      <c r="H68" s="58"/>
      <c r="I68" s="58"/>
      <c r="J68" s="58"/>
      <c r="K68" s="58"/>
      <c r="L68" s="58"/>
    </row>
    <row r="69" spans="1:12" s="78" customFormat="1">
      <c r="A69" s="77"/>
      <c r="G69" s="58"/>
      <c r="H69" s="58"/>
      <c r="I69" s="58"/>
      <c r="J69" s="58"/>
      <c r="K69" s="58"/>
      <c r="L69" s="58"/>
    </row>
    <row r="70" spans="1:12" s="78" customFormat="1">
      <c r="A70" s="77"/>
      <c r="G70" s="58"/>
      <c r="H70" s="58"/>
      <c r="I70" s="58"/>
      <c r="J70" s="58"/>
      <c r="K70" s="58"/>
      <c r="L70" s="58"/>
    </row>
    <row r="71" spans="1:12" s="78" customFormat="1">
      <c r="A71" s="77"/>
      <c r="G71" s="58"/>
      <c r="H71" s="58"/>
      <c r="I71" s="58"/>
      <c r="J71" s="58"/>
      <c r="K71" s="58"/>
      <c r="L71" s="58"/>
    </row>
    <row r="72" spans="1:12" s="78" customFormat="1">
      <c r="A72" s="77"/>
      <c r="G72" s="58"/>
      <c r="H72" s="58"/>
      <c r="I72" s="58"/>
      <c r="J72" s="58"/>
      <c r="K72" s="58"/>
      <c r="L72" s="58"/>
    </row>
    <row r="73" spans="1:12" s="78" customFormat="1">
      <c r="A73" s="77"/>
      <c r="G73" s="58"/>
      <c r="H73" s="58"/>
      <c r="I73" s="58"/>
      <c r="J73" s="58"/>
      <c r="K73" s="58"/>
      <c r="L73" s="58"/>
    </row>
    <row r="74" spans="1:12" s="78" customFormat="1">
      <c r="A74" s="77"/>
      <c r="G74" s="58"/>
      <c r="H74" s="58"/>
      <c r="I74" s="58"/>
      <c r="J74" s="58"/>
      <c r="K74" s="58"/>
      <c r="L74" s="58"/>
    </row>
    <row r="75" spans="1:12" s="78" customFormat="1">
      <c r="A75" s="77"/>
      <c r="G75" s="58"/>
      <c r="H75" s="58"/>
      <c r="I75" s="58"/>
      <c r="J75" s="58"/>
      <c r="K75" s="58"/>
      <c r="L75" s="58"/>
    </row>
    <row r="76" spans="1:12" s="78" customFormat="1">
      <c r="A76" s="77"/>
      <c r="G76" s="58"/>
      <c r="H76" s="58"/>
      <c r="I76" s="58"/>
      <c r="J76" s="58"/>
      <c r="K76" s="58"/>
      <c r="L76" s="58"/>
    </row>
    <row r="77" spans="1:12" s="78" customFormat="1">
      <c r="A77" s="77"/>
      <c r="G77" s="58"/>
      <c r="H77" s="58"/>
      <c r="I77" s="58"/>
      <c r="J77" s="58"/>
      <c r="K77" s="58"/>
      <c r="L77" s="58"/>
    </row>
    <row r="78" spans="1:12" s="78" customFormat="1">
      <c r="A78" s="77"/>
      <c r="G78" s="58"/>
      <c r="H78" s="58"/>
      <c r="I78" s="58"/>
      <c r="J78" s="58"/>
      <c r="K78" s="58"/>
      <c r="L78" s="58"/>
    </row>
    <row r="79" spans="1:12" s="78" customFormat="1">
      <c r="A79" s="77"/>
      <c r="G79" s="58"/>
      <c r="H79" s="58"/>
      <c r="I79" s="58"/>
      <c r="J79" s="58"/>
      <c r="K79" s="58"/>
      <c r="L79" s="58"/>
    </row>
    <row r="80" spans="1:12" s="78" customFormat="1">
      <c r="A80" s="77"/>
      <c r="G80" s="58"/>
      <c r="H80" s="58"/>
      <c r="I80" s="58"/>
      <c r="J80" s="58"/>
      <c r="K80" s="58"/>
      <c r="L80" s="58"/>
    </row>
    <row r="81" spans="1:12" s="78" customFormat="1">
      <c r="A81" s="77"/>
      <c r="G81" s="58"/>
      <c r="H81" s="58"/>
      <c r="I81" s="58"/>
      <c r="J81" s="58"/>
      <c r="K81" s="58"/>
      <c r="L81" s="58"/>
    </row>
    <row r="82" spans="1:12" s="78" customFormat="1">
      <c r="A82" s="77"/>
      <c r="G82" s="58"/>
      <c r="H82" s="58"/>
      <c r="I82" s="58"/>
      <c r="J82" s="58"/>
      <c r="K82" s="58"/>
      <c r="L82" s="58"/>
    </row>
    <row r="83" spans="1:12" s="78" customFormat="1">
      <c r="A83" s="77"/>
      <c r="G83" s="58"/>
      <c r="H83" s="58"/>
      <c r="I83" s="58"/>
      <c r="J83" s="58"/>
      <c r="K83" s="58"/>
      <c r="L83" s="58"/>
    </row>
    <row r="84" spans="1:12" s="78" customFormat="1">
      <c r="A84" s="77"/>
      <c r="G84" s="58"/>
      <c r="H84" s="58"/>
      <c r="I84" s="58"/>
      <c r="J84" s="58"/>
      <c r="K84" s="58"/>
      <c r="L84" s="58"/>
    </row>
    <row r="85" spans="1:12" s="78" customFormat="1">
      <c r="A85" s="77"/>
      <c r="G85" s="58"/>
      <c r="H85" s="58"/>
      <c r="I85" s="58"/>
      <c r="J85" s="58"/>
      <c r="K85" s="58"/>
      <c r="L85" s="58"/>
    </row>
    <row r="86" spans="1:12" s="78" customFormat="1">
      <c r="A86" s="77"/>
      <c r="G86" s="58"/>
      <c r="H86" s="58"/>
      <c r="I86" s="58"/>
      <c r="J86" s="58"/>
      <c r="K86" s="58"/>
      <c r="L86" s="58"/>
    </row>
    <row r="87" spans="1:12" s="78" customFormat="1">
      <c r="A87" s="77"/>
      <c r="G87" s="58"/>
      <c r="H87" s="58"/>
      <c r="I87" s="58"/>
      <c r="J87" s="58"/>
      <c r="K87" s="58"/>
      <c r="L87" s="58"/>
    </row>
    <row r="88" spans="1:12" s="78" customFormat="1">
      <c r="A88" s="77"/>
      <c r="G88" s="58"/>
      <c r="H88" s="58"/>
      <c r="I88" s="58"/>
      <c r="J88" s="58"/>
      <c r="K88" s="58"/>
      <c r="L88" s="58"/>
    </row>
    <row r="89" spans="1:12" s="78" customFormat="1">
      <c r="A89" s="77"/>
      <c r="G89" s="58"/>
      <c r="H89" s="58"/>
      <c r="I89" s="58"/>
      <c r="J89" s="58"/>
      <c r="K89" s="58"/>
      <c r="L89" s="58"/>
    </row>
    <row r="90" spans="1:12" s="78" customFormat="1">
      <c r="A90" s="77"/>
      <c r="G90" s="58"/>
      <c r="H90" s="58"/>
      <c r="I90" s="58"/>
      <c r="J90" s="58"/>
      <c r="K90" s="58"/>
      <c r="L90" s="58"/>
    </row>
    <row r="91" spans="1:12" s="78" customFormat="1">
      <c r="A91" s="77"/>
      <c r="G91" s="58"/>
      <c r="H91" s="58"/>
      <c r="I91" s="58"/>
      <c r="J91" s="58"/>
      <c r="K91" s="58"/>
      <c r="L91" s="58"/>
    </row>
    <row r="92" spans="1:12" s="78" customFormat="1">
      <c r="A92" s="77"/>
      <c r="G92" s="58"/>
      <c r="H92" s="58"/>
      <c r="I92" s="58"/>
      <c r="J92" s="58"/>
      <c r="K92" s="58"/>
      <c r="L92" s="58"/>
    </row>
    <row r="93" spans="1:12" s="78" customFormat="1">
      <c r="A93" s="77"/>
      <c r="G93" s="58"/>
      <c r="H93" s="58"/>
      <c r="I93" s="58"/>
      <c r="J93" s="58"/>
      <c r="K93" s="58"/>
      <c r="L93" s="58"/>
    </row>
    <row r="94" spans="1:12" s="78" customFormat="1">
      <c r="A94" s="77"/>
      <c r="G94" s="58"/>
      <c r="H94" s="58"/>
      <c r="I94" s="58"/>
      <c r="J94" s="58"/>
      <c r="K94" s="58"/>
      <c r="L94" s="58"/>
    </row>
    <row r="95" spans="1:12" s="78" customFormat="1">
      <c r="A95" s="77"/>
      <c r="G95" s="58"/>
      <c r="H95" s="58"/>
      <c r="I95" s="58"/>
      <c r="J95" s="58"/>
      <c r="K95" s="58"/>
      <c r="L95" s="58"/>
    </row>
    <row r="96" spans="1:12" s="78" customFormat="1">
      <c r="A96" s="77"/>
      <c r="G96" s="58"/>
      <c r="H96" s="58"/>
      <c r="I96" s="58"/>
      <c r="J96" s="58"/>
      <c r="K96" s="58"/>
      <c r="L96" s="58"/>
    </row>
    <row r="97" spans="1:12" s="78" customFormat="1">
      <c r="A97" s="77"/>
      <c r="G97" s="58"/>
      <c r="H97" s="58"/>
      <c r="I97" s="58"/>
      <c r="J97" s="58"/>
      <c r="K97" s="58"/>
      <c r="L97" s="58"/>
    </row>
    <row r="98" spans="1:12" s="78" customFormat="1">
      <c r="A98" s="77"/>
      <c r="G98" s="58"/>
      <c r="H98" s="58"/>
      <c r="I98" s="58"/>
      <c r="J98" s="58"/>
      <c r="K98" s="58"/>
      <c r="L98" s="58"/>
    </row>
    <row r="99" spans="1:12" s="78" customFormat="1">
      <c r="A99" s="77"/>
      <c r="G99" s="58"/>
      <c r="H99" s="58"/>
      <c r="I99" s="58"/>
      <c r="J99" s="58"/>
      <c r="K99" s="58"/>
      <c r="L99" s="58"/>
    </row>
    <row r="100" spans="1:12" s="78" customFormat="1">
      <c r="A100" s="77"/>
      <c r="G100" s="58"/>
      <c r="H100" s="58"/>
      <c r="I100" s="58"/>
      <c r="J100" s="58"/>
      <c r="K100" s="58"/>
      <c r="L100" s="58"/>
    </row>
    <row r="101" spans="1:12" s="78" customFormat="1">
      <c r="A101" s="77"/>
      <c r="G101" s="58"/>
      <c r="H101" s="58"/>
      <c r="I101" s="58"/>
      <c r="J101" s="58"/>
      <c r="K101" s="58"/>
      <c r="L101" s="58"/>
    </row>
    <row r="102" spans="1:12" s="78" customFormat="1">
      <c r="A102" s="77"/>
      <c r="G102" s="58"/>
      <c r="H102" s="58"/>
      <c r="I102" s="58"/>
      <c r="J102" s="58"/>
      <c r="K102" s="58"/>
      <c r="L102" s="58"/>
    </row>
    <row r="103" spans="1:12" s="78" customFormat="1">
      <c r="A103" s="77"/>
      <c r="G103" s="58"/>
      <c r="H103" s="58"/>
      <c r="I103" s="58"/>
      <c r="J103" s="58"/>
      <c r="K103" s="58"/>
      <c r="L103" s="58"/>
    </row>
    <row r="104" spans="1:12" s="78" customFormat="1">
      <c r="A104" s="77"/>
      <c r="G104" s="58"/>
      <c r="H104" s="58"/>
      <c r="I104" s="58"/>
      <c r="J104" s="58"/>
      <c r="K104" s="58"/>
      <c r="L104" s="58"/>
    </row>
    <row r="105" spans="1:12" s="78" customFormat="1">
      <c r="A105" s="77"/>
      <c r="G105" s="58"/>
      <c r="H105" s="58"/>
      <c r="I105" s="58"/>
      <c r="J105" s="58"/>
      <c r="K105" s="58"/>
      <c r="L105" s="58"/>
    </row>
    <row r="106" spans="1:12" s="78" customFormat="1">
      <c r="A106" s="77"/>
      <c r="G106" s="58"/>
      <c r="H106" s="58"/>
      <c r="I106" s="58"/>
      <c r="J106" s="58"/>
      <c r="K106" s="58"/>
      <c r="L106" s="58"/>
    </row>
    <row r="107" spans="1:12" s="78" customFormat="1">
      <c r="A107" s="77"/>
      <c r="G107" s="58"/>
      <c r="H107" s="58"/>
      <c r="I107" s="58"/>
      <c r="J107" s="58"/>
      <c r="K107" s="58"/>
      <c r="L107" s="58"/>
    </row>
    <row r="108" spans="1:12" s="78" customFormat="1">
      <c r="A108" s="77"/>
      <c r="G108" s="58"/>
      <c r="H108" s="58"/>
      <c r="I108" s="58"/>
      <c r="J108" s="58"/>
      <c r="K108" s="58"/>
      <c r="L108" s="58"/>
    </row>
    <row r="109" spans="1:12" s="78" customFormat="1">
      <c r="A109" s="77"/>
      <c r="G109" s="58"/>
      <c r="H109" s="58"/>
      <c r="I109" s="58"/>
      <c r="J109" s="58"/>
      <c r="K109" s="58"/>
      <c r="L109" s="58"/>
    </row>
    <row r="110" spans="1:12" s="78" customFormat="1">
      <c r="A110" s="77"/>
      <c r="G110" s="58"/>
      <c r="H110" s="58"/>
      <c r="I110" s="58"/>
      <c r="J110" s="58"/>
      <c r="K110" s="58"/>
      <c r="L110" s="58"/>
    </row>
    <row r="111" spans="1:12" s="78" customFormat="1">
      <c r="A111" s="77"/>
      <c r="G111" s="58"/>
      <c r="H111" s="58"/>
      <c r="I111" s="58"/>
      <c r="J111" s="58"/>
      <c r="K111" s="58"/>
      <c r="L111" s="58"/>
    </row>
    <row r="112" spans="1:12" s="78" customFormat="1">
      <c r="A112" s="77"/>
      <c r="G112" s="58"/>
      <c r="H112" s="58"/>
      <c r="I112" s="58"/>
      <c r="J112" s="58"/>
      <c r="K112" s="58"/>
      <c r="L112" s="58"/>
    </row>
    <row r="113" spans="1:12" s="78" customFormat="1">
      <c r="A113" s="77"/>
      <c r="G113" s="58"/>
      <c r="H113" s="58"/>
      <c r="I113" s="58"/>
      <c r="J113" s="58"/>
      <c r="K113" s="58"/>
      <c r="L113" s="58"/>
    </row>
    <row r="114" spans="1:12" s="78" customFormat="1">
      <c r="A114" s="77"/>
      <c r="G114" s="58"/>
      <c r="H114" s="58"/>
      <c r="I114" s="58"/>
      <c r="J114" s="58"/>
      <c r="K114" s="58"/>
      <c r="L114" s="58"/>
    </row>
    <row r="115" spans="1:12" s="78" customFormat="1">
      <c r="A115" s="77"/>
      <c r="G115" s="58"/>
      <c r="H115" s="58"/>
      <c r="I115" s="58"/>
      <c r="J115" s="58"/>
      <c r="K115" s="58"/>
      <c r="L115" s="58"/>
    </row>
    <row r="116" spans="1:12" s="78" customFormat="1">
      <c r="A116" s="77"/>
      <c r="G116" s="58"/>
      <c r="H116" s="58"/>
      <c r="I116" s="58"/>
      <c r="J116" s="58"/>
      <c r="K116" s="58"/>
      <c r="L116" s="58"/>
    </row>
    <row r="117" spans="1:12" s="78" customFormat="1">
      <c r="A117" s="77"/>
      <c r="G117" s="58"/>
      <c r="H117" s="58"/>
      <c r="I117" s="58"/>
      <c r="J117" s="58"/>
      <c r="K117" s="58"/>
      <c r="L117" s="58"/>
    </row>
    <row r="118" spans="1:12" s="78" customFormat="1">
      <c r="A118" s="77"/>
      <c r="G118" s="58"/>
      <c r="H118" s="58"/>
      <c r="I118" s="58"/>
      <c r="J118" s="58"/>
      <c r="K118" s="58"/>
      <c r="L118" s="58"/>
    </row>
    <row r="119" spans="1:12" s="78" customFormat="1">
      <c r="A119" s="77"/>
      <c r="G119" s="58"/>
      <c r="H119" s="58"/>
      <c r="I119" s="58"/>
      <c r="J119" s="58"/>
      <c r="K119" s="58"/>
      <c r="L119" s="58"/>
    </row>
    <row r="120" spans="1:12" s="78" customFormat="1">
      <c r="A120" s="77"/>
      <c r="G120" s="58"/>
      <c r="H120" s="58"/>
      <c r="I120" s="58"/>
      <c r="J120" s="58"/>
      <c r="K120" s="58"/>
      <c r="L120" s="58"/>
    </row>
    <row r="121" spans="1:12" s="78" customFormat="1">
      <c r="A121" s="77"/>
      <c r="G121" s="58"/>
      <c r="H121" s="58"/>
      <c r="I121" s="58"/>
      <c r="J121" s="58"/>
      <c r="K121" s="58"/>
      <c r="L121" s="58"/>
    </row>
    <row r="122" spans="1:12" s="78" customFormat="1">
      <c r="A122" s="77"/>
      <c r="G122" s="58"/>
      <c r="H122" s="58"/>
      <c r="I122" s="58"/>
      <c r="J122" s="58"/>
      <c r="K122" s="58"/>
      <c r="L122" s="58"/>
    </row>
    <row r="123" spans="1:12" s="78" customFormat="1">
      <c r="A123" s="77"/>
      <c r="G123" s="58"/>
      <c r="H123" s="58"/>
      <c r="I123" s="58"/>
      <c r="J123" s="58"/>
      <c r="K123" s="58"/>
      <c r="L123" s="58"/>
    </row>
    <row r="124" spans="1:12" s="78" customFormat="1">
      <c r="A124" s="77"/>
      <c r="G124" s="58"/>
      <c r="H124" s="58"/>
      <c r="I124" s="58"/>
      <c r="J124" s="58"/>
      <c r="K124" s="58"/>
      <c r="L124" s="58"/>
    </row>
    <row r="125" spans="1:12" s="78" customFormat="1">
      <c r="A125" s="77"/>
      <c r="G125" s="58"/>
      <c r="H125" s="58"/>
      <c r="I125" s="58"/>
      <c r="J125" s="58"/>
      <c r="K125" s="58"/>
      <c r="L125" s="58"/>
    </row>
    <row r="126" spans="1:12" s="78" customFormat="1">
      <c r="A126" s="77"/>
      <c r="G126" s="58"/>
      <c r="H126" s="58"/>
      <c r="I126" s="58"/>
      <c r="J126" s="58"/>
      <c r="K126" s="58"/>
      <c r="L126" s="58"/>
    </row>
    <row r="127" spans="1:12" s="78" customFormat="1">
      <c r="A127" s="77"/>
      <c r="G127" s="58"/>
      <c r="H127" s="58"/>
      <c r="I127" s="58"/>
      <c r="J127" s="58"/>
      <c r="K127" s="58"/>
      <c r="L127" s="58"/>
    </row>
    <row r="128" spans="1:12" s="78" customFormat="1">
      <c r="A128" s="77"/>
      <c r="G128" s="58"/>
      <c r="H128" s="58"/>
      <c r="I128" s="58"/>
      <c r="J128" s="58"/>
      <c r="K128" s="58"/>
      <c r="L128" s="58"/>
    </row>
    <row r="129" spans="1:12" s="78" customFormat="1">
      <c r="A129" s="77"/>
      <c r="G129" s="58"/>
      <c r="H129" s="58"/>
      <c r="I129" s="58"/>
      <c r="J129" s="58"/>
      <c r="K129" s="58"/>
      <c r="L129" s="58"/>
    </row>
    <row r="130" spans="1:12" s="78" customFormat="1">
      <c r="A130" s="77"/>
      <c r="G130" s="58"/>
      <c r="H130" s="58"/>
      <c r="I130" s="58"/>
      <c r="J130" s="58"/>
      <c r="K130" s="58"/>
      <c r="L130" s="58"/>
    </row>
    <row r="131" spans="1:12" s="78" customFormat="1">
      <c r="A131" s="77"/>
      <c r="G131" s="58"/>
      <c r="H131" s="58"/>
      <c r="I131" s="58"/>
      <c r="J131" s="58"/>
      <c r="K131" s="58"/>
      <c r="L131" s="58"/>
    </row>
    <row r="132" spans="1:12" s="78" customFormat="1">
      <c r="A132" s="77"/>
      <c r="G132" s="58"/>
      <c r="H132" s="58"/>
      <c r="I132" s="58"/>
      <c r="J132" s="58"/>
      <c r="K132" s="58"/>
      <c r="L132" s="58"/>
    </row>
    <row r="133" spans="1:12" s="78" customFormat="1">
      <c r="A133" s="77"/>
      <c r="G133" s="58"/>
      <c r="H133" s="58"/>
      <c r="I133" s="58"/>
      <c r="J133" s="58"/>
      <c r="K133" s="58"/>
      <c r="L133" s="58"/>
    </row>
    <row r="134" spans="1:12" s="78" customFormat="1">
      <c r="A134" s="77"/>
      <c r="G134" s="58"/>
      <c r="H134" s="58"/>
      <c r="I134" s="58"/>
      <c r="J134" s="58"/>
      <c r="K134" s="58"/>
      <c r="L134" s="58"/>
    </row>
    <row r="135" spans="1:12" s="78" customFormat="1">
      <c r="A135" s="77"/>
      <c r="G135" s="58"/>
      <c r="H135" s="58"/>
      <c r="I135" s="58"/>
      <c r="J135" s="58"/>
      <c r="K135" s="58"/>
      <c r="L135" s="58"/>
    </row>
    <row r="136" spans="1:12" s="78" customFormat="1">
      <c r="A136" s="77"/>
      <c r="G136" s="58"/>
      <c r="H136" s="58"/>
      <c r="I136" s="58"/>
      <c r="J136" s="58"/>
      <c r="K136" s="58"/>
      <c r="L136" s="58"/>
    </row>
    <row r="137" spans="1:12" s="78" customFormat="1">
      <c r="A137" s="77"/>
      <c r="G137" s="58"/>
      <c r="H137" s="58"/>
      <c r="I137" s="58"/>
      <c r="J137" s="58"/>
      <c r="K137" s="58"/>
      <c r="L137" s="58"/>
    </row>
    <row r="138" spans="1:12" s="78" customFormat="1">
      <c r="A138" s="77"/>
      <c r="G138" s="58"/>
      <c r="H138" s="58"/>
      <c r="I138" s="58"/>
      <c r="J138" s="58"/>
      <c r="K138" s="58"/>
      <c r="L138" s="58"/>
    </row>
    <row r="139" spans="1:12" s="78" customFormat="1">
      <c r="A139" s="77"/>
      <c r="G139" s="58"/>
      <c r="H139" s="58"/>
      <c r="I139" s="58"/>
      <c r="J139" s="58"/>
      <c r="K139" s="58"/>
      <c r="L139" s="58"/>
    </row>
    <row r="140" spans="1:12" s="78" customFormat="1">
      <c r="A140" s="77"/>
      <c r="G140" s="58"/>
      <c r="H140" s="58"/>
      <c r="I140" s="58"/>
      <c r="J140" s="58"/>
      <c r="K140" s="58"/>
      <c r="L140" s="58"/>
    </row>
    <row r="141" spans="1:12" s="78" customFormat="1">
      <c r="A141" s="77"/>
      <c r="G141" s="58"/>
      <c r="H141" s="58"/>
      <c r="I141" s="58"/>
      <c r="J141" s="58"/>
      <c r="K141" s="58"/>
      <c r="L141" s="58"/>
    </row>
    <row r="142" spans="1:12" s="78" customFormat="1">
      <c r="A142" s="77"/>
      <c r="G142" s="58"/>
      <c r="H142" s="58"/>
      <c r="I142" s="58"/>
      <c r="J142" s="58"/>
      <c r="K142" s="58"/>
      <c r="L142" s="58"/>
    </row>
    <row r="143" spans="1:12" s="78" customFormat="1">
      <c r="A143" s="77"/>
      <c r="G143" s="58"/>
      <c r="H143" s="58"/>
      <c r="I143" s="58"/>
      <c r="J143" s="58"/>
      <c r="K143" s="58"/>
      <c r="L143" s="58"/>
    </row>
    <row r="144" spans="1:12" s="78" customFormat="1">
      <c r="A144" s="77"/>
      <c r="G144" s="58"/>
      <c r="H144" s="58"/>
      <c r="I144" s="58"/>
      <c r="J144" s="58"/>
      <c r="K144" s="58"/>
      <c r="L144" s="58"/>
    </row>
    <row r="145" spans="1:12" s="78" customFormat="1">
      <c r="A145" s="77"/>
      <c r="G145" s="58"/>
      <c r="H145" s="58"/>
      <c r="I145" s="58"/>
      <c r="J145" s="58"/>
      <c r="K145" s="58"/>
      <c r="L145" s="58"/>
    </row>
    <row r="146" spans="1:12" s="78" customFormat="1">
      <c r="A146" s="77"/>
      <c r="G146" s="58"/>
      <c r="H146" s="58"/>
      <c r="I146" s="58"/>
      <c r="J146" s="58"/>
      <c r="K146" s="58"/>
      <c r="L146" s="58"/>
    </row>
    <row r="147" spans="1:12" s="78" customFormat="1">
      <c r="A147" s="77"/>
      <c r="G147" s="58"/>
      <c r="H147" s="58"/>
      <c r="I147" s="58"/>
      <c r="J147" s="58"/>
      <c r="K147" s="58"/>
      <c r="L147" s="58"/>
    </row>
    <row r="148" spans="1:12" s="78" customFormat="1">
      <c r="A148" s="77"/>
      <c r="G148" s="58"/>
      <c r="H148" s="58"/>
      <c r="I148" s="58"/>
      <c r="J148" s="58"/>
      <c r="K148" s="58"/>
      <c r="L148" s="58"/>
    </row>
    <row r="149" spans="1:12" s="78" customFormat="1">
      <c r="A149" s="77"/>
      <c r="G149" s="58"/>
      <c r="H149" s="58"/>
      <c r="I149" s="58"/>
      <c r="J149" s="58"/>
      <c r="K149" s="58"/>
      <c r="L149" s="58"/>
    </row>
    <row r="150" spans="1:12" s="78" customFormat="1">
      <c r="A150" s="77"/>
      <c r="G150" s="58"/>
      <c r="H150" s="58"/>
      <c r="I150" s="58"/>
      <c r="J150" s="58"/>
      <c r="K150" s="58"/>
      <c r="L150" s="58"/>
    </row>
    <row r="151" spans="1:12" s="78" customFormat="1">
      <c r="A151" s="77"/>
      <c r="G151" s="58"/>
      <c r="H151" s="58"/>
      <c r="I151" s="58"/>
      <c r="J151" s="58"/>
      <c r="K151" s="58"/>
      <c r="L151" s="58"/>
    </row>
    <row r="152" spans="1:12" s="78" customFormat="1">
      <c r="A152" s="77"/>
      <c r="G152" s="58"/>
      <c r="H152" s="58"/>
      <c r="I152" s="58"/>
      <c r="J152" s="58"/>
      <c r="K152" s="58"/>
      <c r="L152" s="58"/>
    </row>
    <row r="153" spans="1:12" s="78" customFormat="1">
      <c r="A153" s="77"/>
      <c r="G153" s="58"/>
      <c r="H153" s="58"/>
      <c r="I153" s="58"/>
      <c r="J153" s="58"/>
      <c r="K153" s="58"/>
      <c r="L153" s="58"/>
    </row>
    <row r="154" spans="1:12" s="78" customFormat="1">
      <c r="A154" s="77"/>
      <c r="G154" s="58"/>
      <c r="H154" s="58"/>
      <c r="I154" s="58"/>
      <c r="J154" s="58"/>
      <c r="K154" s="58"/>
      <c r="L154" s="58"/>
    </row>
    <row r="155" spans="1:12" s="78" customFormat="1">
      <c r="A155" s="77"/>
      <c r="G155" s="58"/>
      <c r="H155" s="58"/>
      <c r="I155" s="58"/>
      <c r="J155" s="58"/>
      <c r="K155" s="58"/>
      <c r="L155" s="58"/>
    </row>
    <row r="156" spans="1:12" s="78" customFormat="1">
      <c r="A156" s="77"/>
      <c r="G156" s="58"/>
      <c r="H156" s="58"/>
      <c r="I156" s="58"/>
      <c r="J156" s="58"/>
      <c r="K156" s="58"/>
      <c r="L156" s="58"/>
    </row>
    <row r="157" spans="1:12" s="78" customFormat="1">
      <c r="A157" s="77"/>
      <c r="G157" s="58"/>
      <c r="H157" s="58"/>
      <c r="I157" s="58"/>
      <c r="J157" s="58"/>
      <c r="K157" s="58"/>
      <c r="L157" s="58"/>
    </row>
    <row r="158" spans="1:12" s="78" customFormat="1">
      <c r="A158" s="77"/>
      <c r="G158" s="58"/>
      <c r="H158" s="58"/>
      <c r="I158" s="58"/>
      <c r="J158" s="58"/>
      <c r="K158" s="58"/>
      <c r="L158" s="58"/>
    </row>
    <row r="159" spans="1:12" s="78" customFormat="1">
      <c r="A159" s="77"/>
      <c r="G159" s="58"/>
      <c r="H159" s="58"/>
      <c r="I159" s="58"/>
      <c r="J159" s="58"/>
      <c r="K159" s="58"/>
      <c r="L159" s="58"/>
    </row>
    <row r="160" spans="1:12" s="78" customFormat="1">
      <c r="A160" s="77"/>
      <c r="G160" s="58"/>
      <c r="H160" s="58"/>
      <c r="I160" s="58"/>
      <c r="J160" s="58"/>
      <c r="K160" s="58"/>
      <c r="L160" s="58"/>
    </row>
    <row r="161" spans="1:12" s="78" customFormat="1">
      <c r="A161" s="77"/>
      <c r="G161" s="58"/>
      <c r="H161" s="58"/>
      <c r="I161" s="58"/>
      <c r="J161" s="58"/>
      <c r="K161" s="58"/>
      <c r="L161" s="58"/>
    </row>
    <row r="162" spans="1:12" s="78" customFormat="1">
      <c r="A162" s="77"/>
      <c r="G162" s="58"/>
      <c r="H162" s="58"/>
      <c r="I162" s="58"/>
      <c r="J162" s="58"/>
      <c r="K162" s="58"/>
      <c r="L162" s="58"/>
    </row>
    <row r="163" spans="1:12" s="78" customFormat="1">
      <c r="A163" s="77"/>
      <c r="G163" s="58"/>
      <c r="H163" s="58"/>
      <c r="I163" s="58"/>
      <c r="J163" s="58"/>
      <c r="K163" s="58"/>
      <c r="L163" s="58"/>
    </row>
    <row r="164" spans="1:12" s="78" customFormat="1">
      <c r="A164" s="77"/>
      <c r="G164" s="58"/>
      <c r="H164" s="58"/>
      <c r="I164" s="58"/>
      <c r="J164" s="58"/>
      <c r="K164" s="58"/>
      <c r="L164" s="58"/>
    </row>
    <row r="165" spans="1:12" s="78" customFormat="1">
      <c r="A165" s="77"/>
      <c r="G165" s="58"/>
      <c r="H165" s="58"/>
      <c r="I165" s="58"/>
      <c r="J165" s="58"/>
      <c r="K165" s="58"/>
      <c r="L165" s="58"/>
    </row>
    <row r="166" spans="1:12" s="78" customFormat="1">
      <c r="A166" s="77"/>
      <c r="G166" s="58"/>
      <c r="H166" s="58"/>
      <c r="I166" s="58"/>
      <c r="J166" s="58"/>
      <c r="K166" s="58"/>
      <c r="L166" s="58"/>
    </row>
    <row r="167" spans="1:12" s="78" customFormat="1">
      <c r="A167" s="77"/>
      <c r="G167" s="58"/>
      <c r="H167" s="58"/>
      <c r="I167" s="58"/>
      <c r="J167" s="58"/>
      <c r="K167" s="58"/>
      <c r="L167" s="58"/>
    </row>
    <row r="168" spans="1:12" s="78" customFormat="1">
      <c r="A168" s="77"/>
      <c r="G168" s="58"/>
      <c r="H168" s="58"/>
      <c r="I168" s="58"/>
      <c r="J168" s="58"/>
      <c r="K168" s="58"/>
      <c r="L168" s="58"/>
    </row>
    <row r="169" spans="1:12" s="78" customFormat="1">
      <c r="A169" s="77"/>
      <c r="G169" s="58"/>
      <c r="H169" s="58"/>
      <c r="I169" s="58"/>
      <c r="J169" s="58"/>
      <c r="K169" s="58"/>
      <c r="L169" s="58"/>
    </row>
    <row r="170" spans="1:12" s="78" customFormat="1">
      <c r="A170" s="77"/>
      <c r="G170" s="58"/>
      <c r="H170" s="58"/>
      <c r="I170" s="58"/>
      <c r="J170" s="58"/>
      <c r="K170" s="58"/>
      <c r="L170" s="58"/>
    </row>
    <row r="171" spans="1:12" s="78" customFormat="1">
      <c r="A171" s="77"/>
      <c r="G171" s="58"/>
      <c r="H171" s="58"/>
      <c r="I171" s="58"/>
      <c r="J171" s="58"/>
      <c r="K171" s="58"/>
      <c r="L171" s="58"/>
    </row>
    <row r="172" spans="1:12" s="78" customFormat="1">
      <c r="A172" s="77"/>
      <c r="G172" s="58"/>
      <c r="H172" s="58"/>
      <c r="I172" s="58"/>
      <c r="J172" s="58"/>
      <c r="K172" s="58"/>
      <c r="L172" s="58"/>
    </row>
    <row r="173" spans="1:12" s="78" customFormat="1">
      <c r="A173" s="77"/>
      <c r="G173" s="58"/>
      <c r="H173" s="58"/>
      <c r="I173" s="58"/>
      <c r="J173" s="58"/>
      <c r="K173" s="58"/>
      <c r="L173" s="58"/>
    </row>
    <row r="174" spans="1:12" s="78" customFormat="1">
      <c r="A174" s="77"/>
      <c r="G174" s="58"/>
      <c r="H174" s="58"/>
      <c r="I174" s="58"/>
      <c r="J174" s="58"/>
      <c r="K174" s="58"/>
      <c r="L174" s="58"/>
    </row>
    <row r="175" spans="1:12" s="78" customFormat="1">
      <c r="A175" s="77"/>
      <c r="G175" s="58"/>
      <c r="H175" s="58"/>
      <c r="I175" s="58"/>
      <c r="J175" s="58"/>
      <c r="K175" s="58"/>
      <c r="L175" s="58"/>
    </row>
    <row r="176" spans="1:12" s="78" customFormat="1">
      <c r="A176" s="77"/>
      <c r="G176" s="58"/>
      <c r="H176" s="58"/>
      <c r="I176" s="58"/>
      <c r="J176" s="58"/>
      <c r="K176" s="58"/>
      <c r="L176" s="58"/>
    </row>
    <row r="177" spans="1:12" s="78" customFormat="1">
      <c r="A177" s="77"/>
      <c r="G177" s="58"/>
      <c r="H177" s="58"/>
      <c r="I177" s="58"/>
      <c r="J177" s="58"/>
      <c r="K177" s="58"/>
      <c r="L177" s="58"/>
    </row>
    <row r="178" spans="1:12" s="78" customFormat="1">
      <c r="A178" s="77"/>
      <c r="G178" s="58"/>
      <c r="H178" s="58"/>
      <c r="I178" s="58"/>
      <c r="J178" s="58"/>
      <c r="K178" s="58"/>
      <c r="L178" s="58"/>
    </row>
    <row r="179" spans="1:12" s="78" customFormat="1">
      <c r="A179" s="77"/>
      <c r="G179" s="58"/>
      <c r="H179" s="58"/>
      <c r="I179" s="58"/>
      <c r="J179" s="58"/>
      <c r="K179" s="58"/>
      <c r="L179" s="58"/>
    </row>
    <row r="180" spans="1:12" s="78" customFormat="1">
      <c r="A180" s="77"/>
      <c r="G180" s="58"/>
      <c r="H180" s="58"/>
      <c r="I180" s="58"/>
      <c r="J180" s="58"/>
      <c r="K180" s="58"/>
      <c r="L180" s="58"/>
    </row>
    <row r="181" spans="1:12" s="78" customFormat="1">
      <c r="A181" s="77"/>
      <c r="G181" s="58"/>
      <c r="H181" s="58"/>
      <c r="I181" s="58"/>
      <c r="J181" s="58"/>
      <c r="K181" s="58"/>
      <c r="L181" s="58"/>
    </row>
    <row r="182" spans="1:12" s="78" customFormat="1">
      <c r="A182" s="77"/>
      <c r="G182" s="58"/>
      <c r="H182" s="58"/>
      <c r="I182" s="58"/>
      <c r="J182" s="58"/>
      <c r="K182" s="58"/>
      <c r="L182" s="58"/>
    </row>
    <row r="183" spans="1:12" s="78" customFormat="1">
      <c r="A183" s="77"/>
      <c r="G183" s="58"/>
      <c r="H183" s="58"/>
      <c r="I183" s="58"/>
      <c r="J183" s="58"/>
      <c r="K183" s="58"/>
      <c r="L183" s="58"/>
    </row>
    <row r="184" spans="1:12" s="78" customFormat="1">
      <c r="A184" s="77"/>
      <c r="G184" s="58"/>
      <c r="H184" s="58"/>
      <c r="I184" s="58"/>
      <c r="J184" s="58"/>
      <c r="K184" s="58"/>
      <c r="L184" s="58"/>
    </row>
    <row r="185" spans="1:12" s="78" customFormat="1">
      <c r="A185" s="77"/>
      <c r="G185" s="58"/>
      <c r="H185" s="58"/>
      <c r="I185" s="58"/>
      <c r="J185" s="58"/>
      <c r="K185" s="58"/>
      <c r="L185" s="58"/>
    </row>
    <row r="186" spans="1:12" s="78" customFormat="1">
      <c r="A186" s="77"/>
      <c r="G186" s="58"/>
      <c r="H186" s="58"/>
      <c r="I186" s="58"/>
      <c r="J186" s="58"/>
      <c r="K186" s="58"/>
      <c r="L186" s="58"/>
    </row>
    <row r="187" spans="1:12" s="78" customFormat="1">
      <c r="A187" s="77"/>
      <c r="G187" s="58"/>
      <c r="H187" s="58"/>
      <c r="I187" s="58"/>
      <c r="J187" s="58"/>
      <c r="K187" s="58"/>
      <c r="L187" s="58"/>
    </row>
    <row r="188" spans="1:12" s="78" customFormat="1">
      <c r="A188" s="77"/>
      <c r="G188" s="58"/>
      <c r="H188" s="58"/>
      <c r="I188" s="58"/>
      <c r="J188" s="58"/>
      <c r="K188" s="58"/>
      <c r="L188" s="58"/>
    </row>
    <row r="189" spans="1:12" s="78" customFormat="1">
      <c r="A189" s="77"/>
      <c r="G189" s="58"/>
      <c r="H189" s="58"/>
      <c r="I189" s="58"/>
      <c r="J189" s="58"/>
      <c r="K189" s="58"/>
      <c r="L189" s="58"/>
    </row>
    <row r="190" spans="1:12" s="78" customFormat="1">
      <c r="A190" s="77"/>
      <c r="G190" s="58"/>
      <c r="H190" s="58"/>
      <c r="I190" s="58"/>
      <c r="J190" s="58"/>
      <c r="K190" s="58"/>
      <c r="L190" s="58"/>
    </row>
    <row r="191" spans="1:12" s="78" customFormat="1">
      <c r="A191" s="77"/>
      <c r="G191" s="58"/>
      <c r="H191" s="58"/>
      <c r="I191" s="58"/>
      <c r="J191" s="58"/>
      <c r="K191" s="58"/>
      <c r="L191" s="58"/>
    </row>
    <row r="192" spans="1:12" s="78" customFormat="1">
      <c r="A192" s="77"/>
      <c r="G192" s="58"/>
      <c r="H192" s="58"/>
      <c r="I192" s="58"/>
      <c r="J192" s="58"/>
      <c r="K192" s="58"/>
      <c r="L192" s="58"/>
    </row>
    <row r="193" spans="1:12" s="78" customFormat="1">
      <c r="A193" s="77"/>
      <c r="G193" s="58"/>
      <c r="H193" s="58"/>
      <c r="I193" s="58"/>
      <c r="J193" s="58"/>
      <c r="K193" s="58"/>
      <c r="L193" s="58"/>
    </row>
  </sheetData>
  <sheetProtection formatCells="0" formatColumns="0" formatRows="0" insertRows="0" deleteRows="0"/>
  <mergeCells count="13">
    <mergeCell ref="H43:J43"/>
    <mergeCell ref="A6:J6"/>
    <mergeCell ref="A18:J18"/>
    <mergeCell ref="H42:J42"/>
    <mergeCell ref="C42:F42"/>
    <mergeCell ref="C43:F43"/>
    <mergeCell ref="A1:J1"/>
    <mergeCell ref="A3:A4"/>
    <mergeCell ref="B3:B4"/>
    <mergeCell ref="C3:C4"/>
    <mergeCell ref="D3:D4"/>
    <mergeCell ref="F3:F4"/>
    <mergeCell ref="G3:J3"/>
  </mergeCells>
  <phoneticPr fontId="4" type="noConversion"/>
  <pageMargins left="1.1811023622047243" right="0.39370078740157483" top="0.78740157480314965" bottom="0.78740157480314965" header="0.19685039370078741" footer="0.31496062992125984"/>
  <pageSetup paperSize="9" scale="4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Y118"/>
  <sheetViews>
    <sheetView view="pageBreakPreview" topLeftCell="A28" zoomScale="75" zoomScaleNormal="75" zoomScaleSheetLayoutView="75" workbookViewId="0">
      <selection activeCell="F39" sqref="F39"/>
    </sheetView>
  </sheetViews>
  <sheetFormatPr defaultColWidth="9.1796875" defaultRowHeight="18" outlineLevelRow="1"/>
  <cols>
    <col min="1" max="1" width="53.26953125" style="1" customWidth="1"/>
    <col min="2" max="2" width="13.453125" style="1" customWidth="1"/>
    <col min="3" max="3" width="12.1796875" style="1" customWidth="1"/>
    <col min="4" max="4" width="13.7265625" style="1" customWidth="1"/>
    <col min="5" max="5" width="13.7265625" style="155" hidden="1" customWidth="1"/>
    <col min="6" max="7" width="13.7265625" style="1" customWidth="1"/>
    <col min="8" max="10" width="13.7265625" style="223" customWidth="1"/>
    <col min="11" max="14" width="9.1796875" style="1"/>
    <col min="15" max="15" width="9.81640625" style="1" bestFit="1" customWidth="1"/>
    <col min="16" max="16384" width="9.1796875" style="1"/>
  </cols>
  <sheetData>
    <row r="1" spans="1:25">
      <c r="A1" s="359" t="s">
        <v>361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25" s="84" customFormat="1" ht="17.25" customHeight="1" outlineLevel="1">
      <c r="A2" s="83"/>
      <c r="B2" s="83"/>
      <c r="C2" s="83">
        <v>2018</v>
      </c>
      <c r="D2" s="83">
        <v>2021</v>
      </c>
      <c r="E2" s="271"/>
      <c r="F2" s="83"/>
      <c r="G2" s="83"/>
      <c r="H2" s="217"/>
      <c r="I2" s="217"/>
      <c r="J2" s="217">
        <v>2020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8" customHeight="1">
      <c r="A3" s="386" t="s">
        <v>263</v>
      </c>
      <c r="B3" s="368" t="s">
        <v>0</v>
      </c>
      <c r="C3" s="368" t="s">
        <v>29</v>
      </c>
      <c r="D3" s="368" t="s">
        <v>68</v>
      </c>
      <c r="E3" s="391" t="s">
        <v>543</v>
      </c>
      <c r="F3" s="368" t="s">
        <v>174</v>
      </c>
      <c r="G3" s="388" t="s">
        <v>353</v>
      </c>
      <c r="H3" s="389"/>
      <c r="I3" s="389"/>
      <c r="J3" s="390"/>
    </row>
    <row r="4" spans="1:25" ht="38.25" customHeight="1">
      <c r="A4" s="387"/>
      <c r="B4" s="369"/>
      <c r="C4" s="369"/>
      <c r="D4" s="369"/>
      <c r="E4" s="392"/>
      <c r="F4" s="369"/>
      <c r="G4" s="63" t="s">
        <v>362</v>
      </c>
      <c r="H4" s="218" t="s">
        <v>355</v>
      </c>
      <c r="I4" s="218" t="s">
        <v>356</v>
      </c>
      <c r="J4" s="218" t="s">
        <v>83</v>
      </c>
    </row>
    <row r="5" spans="1:25" ht="18" customHeight="1">
      <c r="A5" s="4">
        <v>1</v>
      </c>
      <c r="B5" s="63">
        <v>2</v>
      </c>
      <c r="C5" s="63">
        <v>3</v>
      </c>
      <c r="D5" s="63">
        <v>4</v>
      </c>
      <c r="E5" s="272">
        <v>5</v>
      </c>
      <c r="F5" s="63">
        <v>5</v>
      </c>
      <c r="G5" s="63">
        <v>6</v>
      </c>
      <c r="H5" s="161">
        <v>7</v>
      </c>
      <c r="I5" s="161">
        <v>8</v>
      </c>
      <c r="J5" s="161">
        <v>9</v>
      </c>
    </row>
    <row r="6" spans="1:25" s="85" customFormat="1" ht="40.5" customHeight="1">
      <c r="A6" s="383" t="s">
        <v>164</v>
      </c>
      <c r="B6" s="384"/>
      <c r="C6" s="384"/>
      <c r="D6" s="384"/>
      <c r="E6" s="384"/>
      <c r="F6" s="384"/>
      <c r="G6" s="384"/>
      <c r="H6" s="384"/>
      <c r="I6" s="384"/>
      <c r="J6" s="38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">
      <c r="A7" s="27" t="s">
        <v>184</v>
      </c>
      <c r="B7" s="6">
        <v>1170</v>
      </c>
      <c r="C7" s="37">
        <f>'I. Фін результат'!C115</f>
        <v>10</v>
      </c>
      <c r="D7" s="37">
        <f>'I. Фін результат'!D115</f>
        <v>1928</v>
      </c>
      <c r="E7" s="273">
        <f>'I. Фін результат'!E115</f>
        <v>215.19999999999982</v>
      </c>
      <c r="F7" s="315">
        <f>'I. Фін результат'!F115</f>
        <v>564.26666666666938</v>
      </c>
      <c r="G7" s="315">
        <f>'I. Фін результат'!G115</f>
        <v>638.19316639999784</v>
      </c>
      <c r="H7" s="37">
        <f>'I. Фін результат'!H115</f>
        <v>1287.3863327999957</v>
      </c>
      <c r="I7" s="37">
        <f>'I. Фін результат'!I115</f>
        <v>1419.9877259000059</v>
      </c>
      <c r="J7" s="37">
        <f>'I. Фін результат'!J115</f>
        <v>1414.0092962666686</v>
      </c>
      <c r="K7" s="178"/>
      <c r="L7" s="178"/>
      <c r="M7" s="178"/>
    </row>
    <row r="8" spans="1:25" ht="20.149999999999999" customHeight="1">
      <c r="A8" s="27" t="s">
        <v>185</v>
      </c>
      <c r="B8" s="86"/>
      <c r="C8" s="37"/>
      <c r="D8" s="37"/>
      <c r="E8" s="273"/>
      <c r="F8" s="37"/>
      <c r="G8" s="37"/>
      <c r="H8" s="37"/>
      <c r="I8" s="37"/>
      <c r="J8" s="37"/>
    </row>
    <row r="9" spans="1:25" ht="20.149999999999999" customHeight="1">
      <c r="A9" s="27" t="s">
        <v>188</v>
      </c>
      <c r="B9" s="3">
        <v>3000</v>
      </c>
      <c r="C9" s="37">
        <f>'I. Фін результат'!C141</f>
        <v>869</v>
      </c>
      <c r="D9" s="37">
        <f>'I. Фін результат'!D141</f>
        <v>1004</v>
      </c>
      <c r="E9" s="273">
        <f>'I. Фін результат'!E141</f>
        <v>798</v>
      </c>
      <c r="F9" s="37">
        <f>E9/9*12</f>
        <v>1064</v>
      </c>
      <c r="G9" s="37">
        <f>'I. Фін результат'!G141</f>
        <v>283</v>
      </c>
      <c r="H9" s="37">
        <f>'I. Фін результат'!H141</f>
        <v>564</v>
      </c>
      <c r="I9" s="37">
        <f>'I. Фін результат'!I141</f>
        <v>847</v>
      </c>
      <c r="J9" s="37">
        <f>'I. Фін результат'!J141</f>
        <v>1128.4506666666666</v>
      </c>
    </row>
    <row r="10" spans="1:25" ht="20.149999999999999" customHeight="1">
      <c r="A10" s="27" t="s">
        <v>189</v>
      </c>
      <c r="B10" s="3">
        <v>3010</v>
      </c>
      <c r="C10" s="36">
        <v>126</v>
      </c>
      <c r="D10" s="36"/>
      <c r="E10" s="274">
        <v>6465</v>
      </c>
      <c r="F10" s="36">
        <f>E10/9*12</f>
        <v>8620</v>
      </c>
      <c r="G10" s="36"/>
      <c r="H10" s="36"/>
      <c r="I10" s="36"/>
      <c r="J10" s="36"/>
    </row>
    <row r="11" spans="1:25" ht="36">
      <c r="A11" s="27" t="s">
        <v>190</v>
      </c>
      <c r="B11" s="3">
        <v>3020</v>
      </c>
      <c r="C11" s="36" t="s">
        <v>461</v>
      </c>
      <c r="D11" s="36"/>
      <c r="E11" s="274"/>
      <c r="F11" s="36"/>
      <c r="G11" s="36"/>
      <c r="H11" s="36"/>
      <c r="I11" s="36"/>
      <c r="J11" s="36"/>
    </row>
    <row r="12" spans="1:25" ht="54">
      <c r="A12" s="27" t="s">
        <v>191</v>
      </c>
      <c r="B12" s="3">
        <v>3030</v>
      </c>
      <c r="C12" s="36">
        <f t="shared" ref="C12:J12" si="0">C13+C14+C15+C16+C17</f>
        <v>-11</v>
      </c>
      <c r="D12" s="36">
        <f t="shared" si="0"/>
        <v>-1004</v>
      </c>
      <c r="E12" s="274"/>
      <c r="F12" s="36">
        <f>E12</f>
        <v>0</v>
      </c>
      <c r="G12" s="36">
        <f>G13+G14+G15+G16+G17</f>
        <v>-283</v>
      </c>
      <c r="H12" s="36">
        <f t="shared" si="0"/>
        <v>-564</v>
      </c>
      <c r="I12" s="36">
        <f t="shared" si="0"/>
        <v>-847</v>
      </c>
      <c r="J12" s="36">
        <f t="shared" si="0"/>
        <v>-1128.4506666666666</v>
      </c>
    </row>
    <row r="13" spans="1:25" ht="36">
      <c r="A13" s="27" t="s">
        <v>427</v>
      </c>
      <c r="B13" s="3" t="s">
        <v>426</v>
      </c>
      <c r="C13" s="36">
        <v>-93</v>
      </c>
      <c r="D13" s="36"/>
      <c r="E13" s="274"/>
      <c r="F13" s="36"/>
      <c r="G13" s="36"/>
      <c r="H13" s="36"/>
      <c r="I13" s="36"/>
      <c r="J13" s="36"/>
    </row>
    <row r="14" spans="1:25">
      <c r="A14" s="27" t="s">
        <v>428</v>
      </c>
      <c r="B14" s="3" t="s">
        <v>429</v>
      </c>
      <c r="C14" s="36">
        <v>82</v>
      </c>
      <c r="D14" s="36"/>
      <c r="E14" s="274"/>
      <c r="F14" s="36"/>
      <c r="G14" s="36"/>
      <c r="H14" s="36"/>
      <c r="I14" s="36"/>
      <c r="J14" s="36"/>
    </row>
    <row r="15" spans="1:25" ht="36">
      <c r="A15" s="27" t="s">
        <v>432</v>
      </c>
      <c r="B15" s="3" t="s">
        <v>431</v>
      </c>
      <c r="C15" s="36"/>
      <c r="D15" s="36"/>
      <c r="E15" s="274"/>
      <c r="F15" s="36"/>
      <c r="G15" s="36"/>
      <c r="H15" s="36"/>
      <c r="I15" s="36"/>
      <c r="J15" s="36"/>
    </row>
    <row r="16" spans="1:25">
      <c r="A16" s="27" t="s">
        <v>410</v>
      </c>
      <c r="B16" s="3" t="s">
        <v>433</v>
      </c>
      <c r="C16" s="36"/>
      <c r="D16" s="36">
        <v>-1004</v>
      </c>
      <c r="E16" s="274"/>
      <c r="F16" s="36"/>
      <c r="G16" s="36">
        <f>0-'I. Фін результат'!G105</f>
        <v>-283</v>
      </c>
      <c r="H16" s="36">
        <f>0-'I. Фін результат'!H105</f>
        <v>-564</v>
      </c>
      <c r="I16" s="36">
        <f>0-'I. Фін результат'!I105</f>
        <v>-847</v>
      </c>
      <c r="J16" s="36">
        <f>0-'I. Фін результат'!J105</f>
        <v>-1128.4506666666666</v>
      </c>
    </row>
    <row r="17" spans="1:10" ht="29.25" customHeight="1">
      <c r="A17" s="27" t="s">
        <v>475</v>
      </c>
      <c r="B17" s="3" t="s">
        <v>474</v>
      </c>
      <c r="C17" s="36"/>
      <c r="D17" s="36"/>
      <c r="E17" s="274"/>
      <c r="F17" s="36"/>
      <c r="G17" s="36"/>
      <c r="H17" s="36"/>
      <c r="I17" s="36"/>
      <c r="J17" s="36"/>
    </row>
    <row r="18" spans="1:10" ht="42.75" customHeight="1">
      <c r="A18" s="65" t="s">
        <v>251</v>
      </c>
      <c r="B18" s="87">
        <v>3040</v>
      </c>
      <c r="C18" s="38">
        <f t="shared" ref="C18:I18" si="1">SUM(C7:C12)</f>
        <v>994</v>
      </c>
      <c r="D18" s="38">
        <f t="shared" si="1"/>
        <v>1928</v>
      </c>
      <c r="E18" s="275">
        <f>SUM(E7:E12)</f>
        <v>7478.2</v>
      </c>
      <c r="F18" s="38">
        <f t="shared" si="1"/>
        <v>10248.26666666667</v>
      </c>
      <c r="G18" s="38">
        <f>SUM(G7:G12)</f>
        <v>638.19316639999784</v>
      </c>
      <c r="H18" s="38">
        <f t="shared" si="1"/>
        <v>1287.3863327999957</v>
      </c>
      <c r="I18" s="38">
        <f t="shared" si="1"/>
        <v>1419.9877259000059</v>
      </c>
      <c r="J18" s="38">
        <f>SUM(J7:J12)</f>
        <v>1414.0092962666686</v>
      </c>
    </row>
    <row r="19" spans="1:10" ht="36">
      <c r="A19" s="27" t="s">
        <v>192</v>
      </c>
      <c r="B19" s="3">
        <v>3050</v>
      </c>
      <c r="C19" s="36">
        <v>-485</v>
      </c>
      <c r="D19" s="36">
        <f t="shared" ref="D19:J19" si="2">D20</f>
        <v>0</v>
      </c>
      <c r="E19" s="274">
        <f t="shared" si="2"/>
        <v>-6493</v>
      </c>
      <c r="F19" s="36">
        <f t="shared" si="2"/>
        <v>-8657.3333333333339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</row>
    <row r="20" spans="1:10" ht="72">
      <c r="A20" s="27" t="s">
        <v>473</v>
      </c>
      <c r="B20" s="3" t="s">
        <v>407</v>
      </c>
      <c r="C20" s="36">
        <v>-485</v>
      </c>
      <c r="D20" s="36"/>
      <c r="E20" s="274">
        <v>-6493</v>
      </c>
      <c r="F20" s="36">
        <f>E20/9*12</f>
        <v>-8657.3333333333339</v>
      </c>
      <c r="G20" s="36"/>
      <c r="H20" s="36"/>
      <c r="I20" s="36"/>
      <c r="J20" s="36"/>
    </row>
    <row r="21" spans="1:10" ht="36">
      <c r="A21" s="27" t="s">
        <v>193</v>
      </c>
      <c r="B21" s="3">
        <v>3060</v>
      </c>
      <c r="C21" s="36">
        <v>-197</v>
      </c>
      <c r="D21" s="36">
        <f t="shared" ref="D21:J21" si="3">D22</f>
        <v>0</v>
      </c>
      <c r="E21" s="274">
        <f t="shared" si="3"/>
        <v>2461.4</v>
      </c>
      <c r="F21" s="36">
        <f t="shared" si="3"/>
        <v>3281.8666666666668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</row>
    <row r="22" spans="1:10" ht="72">
      <c r="A22" s="27" t="s">
        <v>465</v>
      </c>
      <c r="B22" s="3" t="s">
        <v>409</v>
      </c>
      <c r="C22" s="36">
        <v>-197</v>
      </c>
      <c r="D22" s="36"/>
      <c r="E22" s="274">
        <v>2461.4</v>
      </c>
      <c r="F22" s="36">
        <f>E22/9*12</f>
        <v>3281.8666666666668</v>
      </c>
      <c r="G22" s="36"/>
      <c r="H22" s="36"/>
      <c r="I22" s="36"/>
      <c r="J22" s="36"/>
    </row>
    <row r="23" spans="1:10" ht="20.149999999999999" customHeight="1">
      <c r="A23" s="65" t="s">
        <v>186</v>
      </c>
      <c r="B23" s="87">
        <v>3070</v>
      </c>
      <c r="C23" s="38">
        <v>313</v>
      </c>
      <c r="D23" s="38">
        <f t="shared" ref="D23:J23" si="4">D18+D19+D21</f>
        <v>1928</v>
      </c>
      <c r="E23" s="275">
        <f>E18+E19+E21</f>
        <v>3446.6</v>
      </c>
      <c r="F23" s="38">
        <f t="shared" si="4"/>
        <v>4872.8000000000029</v>
      </c>
      <c r="G23" s="38">
        <f t="shared" si="4"/>
        <v>638.19316639999784</v>
      </c>
      <c r="H23" s="38">
        <f t="shared" si="4"/>
        <v>1287.3863327999957</v>
      </c>
      <c r="I23" s="38">
        <f t="shared" si="4"/>
        <v>1419.9877259000059</v>
      </c>
      <c r="J23" s="38">
        <f t="shared" si="4"/>
        <v>1414.0092962666686</v>
      </c>
    </row>
    <row r="24" spans="1:10" ht="20.149999999999999" customHeight="1">
      <c r="A24" s="27" t="s">
        <v>187</v>
      </c>
      <c r="B24" s="3">
        <v>3080</v>
      </c>
      <c r="C24" s="37">
        <f>'I. Фін результат'!C116</f>
        <v>0</v>
      </c>
      <c r="D24" s="37">
        <f>'ІІ. Розр. з бюджетом'!D22-0.3</f>
        <v>346.7</v>
      </c>
      <c r="E24" s="273">
        <f>'ІІ. Розр. з бюджетом'!E22</f>
        <v>347</v>
      </c>
      <c r="F24" s="37">
        <f>'ІІ. Розр. з бюджетом'!F22</f>
        <v>0</v>
      </c>
      <c r="G24" s="37">
        <f>'ІІ. Розр. з бюджетом'!G22</f>
        <v>0</v>
      </c>
      <c r="H24" s="37">
        <f>'ІІ. Розр. з бюджетом'!H22</f>
        <v>0</v>
      </c>
      <c r="I24" s="37">
        <f>'ІІ. Розр. з бюджетом'!I22</f>
        <v>0</v>
      </c>
      <c r="J24" s="37">
        <f>'ІІ. Розр. з бюджетом'!J22</f>
        <v>255</v>
      </c>
    </row>
    <row r="25" spans="1:10" ht="35">
      <c r="A25" s="7" t="s">
        <v>163</v>
      </c>
      <c r="B25" s="87">
        <v>3090</v>
      </c>
      <c r="C25" s="38">
        <f>C23-C24</f>
        <v>313</v>
      </c>
      <c r="D25" s="38">
        <f t="shared" ref="D25:J25" si="5">D23-D24</f>
        <v>1581.3</v>
      </c>
      <c r="E25" s="275">
        <f>E23-E24</f>
        <v>3099.6</v>
      </c>
      <c r="F25" s="38">
        <f t="shared" si="5"/>
        <v>4872.8000000000029</v>
      </c>
      <c r="G25" s="38">
        <f t="shared" si="5"/>
        <v>638.19316639999784</v>
      </c>
      <c r="H25" s="38">
        <f t="shared" si="5"/>
        <v>1287.3863327999957</v>
      </c>
      <c r="I25" s="38">
        <f t="shared" si="5"/>
        <v>1419.9877259000059</v>
      </c>
      <c r="J25" s="38">
        <f t="shared" si="5"/>
        <v>1159.0092962666686</v>
      </c>
    </row>
    <row r="26" spans="1:10" ht="33.75" customHeight="1">
      <c r="A26" s="383" t="s">
        <v>165</v>
      </c>
      <c r="B26" s="384"/>
      <c r="C26" s="384"/>
      <c r="D26" s="384"/>
      <c r="E26" s="384"/>
      <c r="F26" s="384"/>
      <c r="G26" s="384"/>
      <c r="H26" s="384"/>
      <c r="I26" s="384"/>
      <c r="J26" s="385"/>
    </row>
    <row r="27" spans="1:10" ht="20.149999999999999" customHeight="1">
      <c r="A27" s="65" t="s">
        <v>278</v>
      </c>
      <c r="B27" s="6"/>
      <c r="C27" s="36"/>
      <c r="D27" s="36"/>
      <c r="E27" s="274"/>
      <c r="F27" s="36"/>
      <c r="G27" s="36"/>
      <c r="H27" s="219"/>
      <c r="I27" s="219"/>
      <c r="J27" s="219"/>
    </row>
    <row r="28" spans="1:10" ht="20.149999999999999" customHeight="1">
      <c r="A28" s="5" t="s">
        <v>30</v>
      </c>
      <c r="B28" s="6">
        <v>3200</v>
      </c>
      <c r="C28" s="36"/>
      <c r="D28" s="36"/>
      <c r="E28" s="274"/>
      <c r="F28" s="36"/>
      <c r="G28" s="36"/>
      <c r="H28" s="219"/>
      <c r="I28" s="219"/>
      <c r="J28" s="219"/>
    </row>
    <row r="29" spans="1:10" ht="20.149999999999999" customHeight="1">
      <c r="A29" s="5" t="s">
        <v>31</v>
      </c>
      <c r="B29" s="6">
        <v>3210</v>
      </c>
      <c r="C29" s="36"/>
      <c r="D29" s="36"/>
      <c r="E29" s="274"/>
      <c r="F29" s="36"/>
      <c r="G29" s="36"/>
      <c r="H29" s="219"/>
      <c r="I29" s="219"/>
      <c r="J29" s="219"/>
    </row>
    <row r="30" spans="1:10" ht="20.149999999999999" customHeight="1">
      <c r="A30" s="5" t="s">
        <v>54</v>
      </c>
      <c r="B30" s="6">
        <v>3220</v>
      </c>
      <c r="C30" s="36"/>
      <c r="D30" s="36"/>
      <c r="E30" s="274"/>
      <c r="F30" s="36"/>
      <c r="G30" s="36"/>
      <c r="H30" s="219"/>
      <c r="I30" s="219"/>
      <c r="J30" s="219"/>
    </row>
    <row r="31" spans="1:10" ht="20.149999999999999" customHeight="1">
      <c r="A31" s="27" t="s">
        <v>169</v>
      </c>
      <c r="B31" s="6"/>
      <c r="C31" s="36"/>
      <c r="D31" s="36"/>
      <c r="E31" s="274"/>
      <c r="F31" s="36"/>
      <c r="G31" s="36"/>
      <c r="H31" s="219"/>
      <c r="I31" s="219"/>
      <c r="J31" s="219"/>
    </row>
    <row r="32" spans="1:10" ht="20.149999999999999" customHeight="1">
      <c r="A32" s="5" t="s">
        <v>170</v>
      </c>
      <c r="B32" s="6">
        <v>3230</v>
      </c>
      <c r="C32" s="36"/>
      <c r="D32" s="36"/>
      <c r="E32" s="274"/>
      <c r="F32" s="36"/>
      <c r="G32" s="36"/>
      <c r="H32" s="219"/>
      <c r="I32" s="219"/>
      <c r="J32" s="219"/>
    </row>
    <row r="33" spans="1:15" ht="20.149999999999999" customHeight="1">
      <c r="A33" s="5" t="s">
        <v>171</v>
      </c>
      <c r="B33" s="6">
        <v>3240</v>
      </c>
      <c r="C33" s="36"/>
      <c r="D33" s="36"/>
      <c r="E33" s="274"/>
      <c r="F33" s="36"/>
      <c r="G33" s="36"/>
      <c r="H33" s="219"/>
      <c r="I33" s="219"/>
      <c r="J33" s="219"/>
    </row>
    <row r="34" spans="1:15" ht="20.149999999999999" customHeight="1">
      <c r="A34" s="27" t="s">
        <v>172</v>
      </c>
      <c r="B34" s="6">
        <v>3250</v>
      </c>
      <c r="C34" s="36"/>
      <c r="D34" s="36"/>
      <c r="E34" s="274"/>
      <c r="F34" s="36"/>
      <c r="G34" s="36"/>
      <c r="H34" s="219"/>
      <c r="I34" s="219"/>
      <c r="J34" s="219"/>
    </row>
    <row r="35" spans="1:15" ht="20.149999999999999" customHeight="1">
      <c r="A35" s="5" t="s">
        <v>128</v>
      </c>
      <c r="B35" s="6">
        <v>3260</v>
      </c>
      <c r="C35" s="36"/>
      <c r="D35" s="36"/>
      <c r="E35" s="274"/>
      <c r="F35" s="36"/>
      <c r="G35" s="36"/>
      <c r="H35" s="219"/>
      <c r="I35" s="219"/>
      <c r="J35" s="219"/>
    </row>
    <row r="36" spans="1:15" ht="20.149999999999999" customHeight="1">
      <c r="A36" s="65" t="s">
        <v>280</v>
      </c>
      <c r="B36" s="6"/>
      <c r="C36" s="36"/>
      <c r="D36" s="36"/>
      <c r="E36" s="274"/>
      <c r="F36" s="36"/>
      <c r="G36" s="36"/>
      <c r="H36" s="219"/>
      <c r="I36" s="219"/>
      <c r="J36" s="219"/>
    </row>
    <row r="37" spans="1:15">
      <c r="A37" s="5" t="s">
        <v>438</v>
      </c>
      <c r="B37" s="6">
        <v>3270</v>
      </c>
      <c r="C37" s="36">
        <f>C38</f>
        <v>640</v>
      </c>
      <c r="D37" s="36">
        <f t="shared" ref="D37:J37" si="6">D38</f>
        <v>1231</v>
      </c>
      <c r="E37" s="274">
        <v>3271</v>
      </c>
      <c r="F37" s="36">
        <f>E37</f>
        <v>3271</v>
      </c>
      <c r="G37" s="333">
        <f t="shared" si="6"/>
        <v>135.6</v>
      </c>
      <c r="H37" s="333">
        <f t="shared" si="6"/>
        <v>374.4</v>
      </c>
      <c r="I37" s="333">
        <f t="shared" si="6"/>
        <v>374.4</v>
      </c>
      <c r="J37" s="333">
        <f t="shared" si="6"/>
        <v>374.4</v>
      </c>
      <c r="K37" s="285" t="s">
        <v>594</v>
      </c>
      <c r="L37" s="285"/>
      <c r="M37" s="285"/>
      <c r="N37" s="178"/>
      <c r="O37" s="178"/>
    </row>
    <row r="38" spans="1:15">
      <c r="A38" s="5" t="s">
        <v>499</v>
      </c>
      <c r="B38" s="3" t="s">
        <v>437</v>
      </c>
      <c r="C38" s="36">
        <v>640</v>
      </c>
      <c r="D38" s="36">
        <v>1231</v>
      </c>
      <c r="E38" s="274">
        <v>3271</v>
      </c>
      <c r="F38" s="36">
        <v>3271</v>
      </c>
      <c r="G38" s="333">
        <f>'6.2. Інша інфо_2 (2)'!K45+'6.2. Інша інфо_2 (2)'!K45*20%</f>
        <v>135.6</v>
      </c>
      <c r="H38" s="333">
        <f>'6.2. Інша інфо_2 (2)'!L45+'6.2. Інша інфо_2 (2)'!L45*20%</f>
        <v>374.4</v>
      </c>
      <c r="I38" s="333">
        <f>'6.2. Інша інфо_2 (2)'!M45+'6.2. Інша інфо_2 (2)'!M45*20%</f>
        <v>374.4</v>
      </c>
      <c r="J38" s="333">
        <f>'6.2. Інша інфо_2 (2)'!N45+'6.2. Інша інфо_2 (2)'!N45*20%</f>
        <v>374.4</v>
      </c>
      <c r="K38" s="178"/>
      <c r="L38" s="178"/>
      <c r="M38" s="36"/>
      <c r="N38" s="36"/>
    </row>
    <row r="39" spans="1:15" ht="19.5" customHeight="1">
      <c r="A39" s="5" t="s">
        <v>440</v>
      </c>
      <c r="B39" s="6">
        <v>3280</v>
      </c>
      <c r="C39" s="36">
        <v>0</v>
      </c>
      <c r="D39" s="36">
        <f>D40</f>
        <v>0</v>
      </c>
      <c r="E39" s="274">
        <f t="shared" ref="E39:J39" si="7">E40</f>
        <v>0</v>
      </c>
      <c r="F39" s="36">
        <f t="shared" si="7"/>
        <v>0</v>
      </c>
      <c r="G39" s="333">
        <f t="shared" si="7"/>
        <v>0</v>
      </c>
      <c r="H39" s="333">
        <f t="shared" si="7"/>
        <v>0</v>
      </c>
      <c r="I39" s="333">
        <f t="shared" si="7"/>
        <v>0</v>
      </c>
      <c r="J39" s="333">
        <f t="shared" si="7"/>
        <v>0</v>
      </c>
      <c r="K39" s="178"/>
      <c r="L39" s="178"/>
      <c r="M39" s="178"/>
    </row>
    <row r="40" spans="1:15" ht="41.25" customHeight="1">
      <c r="A40" s="5" t="s">
        <v>480</v>
      </c>
      <c r="B40" s="3" t="s">
        <v>441</v>
      </c>
      <c r="C40" s="36"/>
      <c r="D40" s="36">
        <v>0</v>
      </c>
      <c r="E40" s="274"/>
      <c r="F40" s="36"/>
      <c r="G40" s="36">
        <f>'IV. Кап. інвестиції'!F7</f>
        <v>0</v>
      </c>
      <c r="H40" s="36">
        <f>'IV. Кап. інвестиції'!G7</f>
        <v>0</v>
      </c>
      <c r="I40" s="36">
        <f>'IV. Кап. інвестиції'!H7</f>
        <v>0</v>
      </c>
      <c r="J40" s="36">
        <f>'IV. Кап. інвестиції'!I7</f>
        <v>0</v>
      </c>
    </row>
    <row r="41" spans="1:15" ht="24.75" customHeight="1">
      <c r="A41" s="5" t="s">
        <v>439</v>
      </c>
      <c r="B41" s="6">
        <v>3290</v>
      </c>
      <c r="C41" s="36"/>
      <c r="D41" s="36"/>
      <c r="E41" s="276"/>
      <c r="F41" s="28"/>
      <c r="G41" s="28"/>
      <c r="H41" s="28"/>
      <c r="I41" s="28"/>
      <c r="J41" s="28"/>
    </row>
    <row r="42" spans="1:15" ht="20.149999999999999" customHeight="1">
      <c r="A42" s="5" t="s">
        <v>55</v>
      </c>
      <c r="B42" s="6">
        <v>3300</v>
      </c>
      <c r="C42" s="36"/>
      <c r="D42" s="36"/>
      <c r="E42" s="274"/>
      <c r="F42" s="36"/>
      <c r="G42" s="36"/>
      <c r="H42" s="36"/>
      <c r="I42" s="36"/>
      <c r="J42" s="36"/>
    </row>
    <row r="43" spans="1:15" ht="19.5" customHeight="1">
      <c r="A43" s="5" t="s">
        <v>123</v>
      </c>
      <c r="B43" s="6">
        <v>3310</v>
      </c>
      <c r="C43" s="36"/>
      <c r="D43" s="36"/>
      <c r="E43" s="274"/>
      <c r="F43" s="36"/>
      <c r="G43" s="36"/>
      <c r="H43" s="36"/>
      <c r="I43" s="36"/>
      <c r="J43" s="36"/>
    </row>
    <row r="44" spans="1:15" ht="35">
      <c r="A44" s="65" t="s">
        <v>166</v>
      </c>
      <c r="B44" s="8">
        <v>3320</v>
      </c>
      <c r="C44" s="38">
        <f t="shared" ref="C44:J44" si="8">(C28+C29+C30+C32+C33+C34+C35)-(C37+C39+C41+C42+C43)</f>
        <v>-640</v>
      </c>
      <c r="D44" s="38">
        <f t="shared" si="8"/>
        <v>-1231</v>
      </c>
      <c r="E44" s="275">
        <f>(E28+E29+E30+E32+E33+E34+E35)-(E37+E39+E41+E42+E43)</f>
        <v>-3271</v>
      </c>
      <c r="F44" s="38">
        <f t="shared" si="8"/>
        <v>-3271</v>
      </c>
      <c r="G44" s="38">
        <f t="shared" si="8"/>
        <v>-135.6</v>
      </c>
      <c r="H44" s="38">
        <f t="shared" si="8"/>
        <v>-374.4</v>
      </c>
      <c r="I44" s="38">
        <f t="shared" si="8"/>
        <v>-374.4</v>
      </c>
      <c r="J44" s="38">
        <f t="shared" si="8"/>
        <v>-374.4</v>
      </c>
    </row>
    <row r="45" spans="1:15" ht="37.5" customHeight="1">
      <c r="A45" s="383" t="s">
        <v>167</v>
      </c>
      <c r="B45" s="384"/>
      <c r="C45" s="384"/>
      <c r="D45" s="384"/>
      <c r="E45" s="384"/>
      <c r="F45" s="384"/>
      <c r="G45" s="384"/>
      <c r="H45" s="384"/>
      <c r="I45" s="384"/>
      <c r="J45" s="385"/>
    </row>
    <row r="46" spans="1:15" ht="20.149999999999999" customHeight="1">
      <c r="A46" s="65" t="s">
        <v>279</v>
      </c>
      <c r="B46" s="6"/>
      <c r="C46" s="36"/>
      <c r="D46" s="36"/>
      <c r="E46" s="274"/>
      <c r="F46" s="36"/>
      <c r="G46" s="36"/>
      <c r="H46" s="219"/>
      <c r="I46" s="219"/>
      <c r="J46" s="219"/>
    </row>
    <row r="47" spans="1:15" ht="20.149999999999999" customHeight="1">
      <c r="A47" s="27" t="s">
        <v>173</v>
      </c>
      <c r="B47" s="6">
        <v>3400</v>
      </c>
      <c r="C47" s="36"/>
      <c r="D47" s="36"/>
      <c r="E47" s="274"/>
      <c r="F47" s="36"/>
      <c r="G47" s="36"/>
      <c r="H47" s="219"/>
      <c r="I47" s="219"/>
      <c r="J47" s="219"/>
    </row>
    <row r="48" spans="1:15" ht="36">
      <c r="A48" s="5" t="s">
        <v>97</v>
      </c>
      <c r="C48" s="36"/>
      <c r="D48" s="36"/>
      <c r="E48" s="274"/>
      <c r="F48" s="36"/>
      <c r="G48" s="36"/>
      <c r="H48" s="219"/>
      <c r="I48" s="219"/>
      <c r="J48" s="219"/>
    </row>
    <row r="49" spans="1:11" ht="20.149999999999999" customHeight="1">
      <c r="A49" s="5" t="s">
        <v>96</v>
      </c>
      <c r="B49" s="6">
        <v>3410</v>
      </c>
      <c r="C49" s="36"/>
      <c r="D49" s="36"/>
      <c r="E49" s="274"/>
      <c r="F49" s="36"/>
      <c r="G49" s="36"/>
      <c r="H49" s="219"/>
      <c r="I49" s="219"/>
      <c r="J49" s="219"/>
    </row>
    <row r="50" spans="1:11" ht="20.149999999999999" customHeight="1">
      <c r="A50" s="5" t="s">
        <v>101</v>
      </c>
      <c r="B50" s="3">
        <v>3420</v>
      </c>
      <c r="C50" s="36"/>
      <c r="D50" s="36"/>
      <c r="E50" s="274"/>
      <c r="F50" s="36"/>
      <c r="G50" s="36"/>
      <c r="H50" s="219"/>
      <c r="I50" s="219"/>
      <c r="J50" s="219"/>
    </row>
    <row r="51" spans="1:11" ht="20.149999999999999" customHeight="1">
      <c r="A51" s="5" t="s">
        <v>129</v>
      </c>
      <c r="B51" s="6">
        <v>3430</v>
      </c>
      <c r="C51" s="36"/>
      <c r="D51" s="36"/>
      <c r="E51" s="274"/>
      <c r="F51" s="36"/>
      <c r="G51" s="36"/>
      <c r="H51" s="219"/>
      <c r="I51" s="219"/>
      <c r="J51" s="219"/>
    </row>
    <row r="52" spans="1:11" ht="36">
      <c r="A52" s="5" t="s">
        <v>99</v>
      </c>
      <c r="B52" s="6"/>
      <c r="C52" s="36"/>
      <c r="D52" s="36"/>
      <c r="E52" s="274"/>
      <c r="F52" s="36"/>
      <c r="G52" s="36"/>
      <c r="H52" s="219"/>
      <c r="I52" s="219"/>
      <c r="J52" s="219"/>
    </row>
    <row r="53" spans="1:11" ht="20.149999999999999" customHeight="1">
      <c r="A53" s="5" t="s">
        <v>96</v>
      </c>
      <c r="B53" s="3">
        <v>3440</v>
      </c>
      <c r="C53" s="36"/>
      <c r="D53" s="36"/>
      <c r="E53" s="274"/>
      <c r="F53" s="36"/>
      <c r="G53" s="36"/>
      <c r="H53" s="219"/>
      <c r="I53" s="219"/>
      <c r="J53" s="219"/>
    </row>
    <row r="54" spans="1:11" ht="20.149999999999999" customHeight="1">
      <c r="A54" s="5" t="s">
        <v>101</v>
      </c>
      <c r="B54" s="3">
        <v>3450</v>
      </c>
      <c r="C54" s="36"/>
      <c r="D54" s="36"/>
      <c r="E54" s="274"/>
      <c r="F54" s="36"/>
      <c r="G54" s="36"/>
      <c r="H54" s="219"/>
      <c r="I54" s="219"/>
      <c r="J54" s="219"/>
    </row>
    <row r="55" spans="1:11" ht="19.5" customHeight="1">
      <c r="A55" s="5" t="s">
        <v>129</v>
      </c>
      <c r="B55" s="3">
        <v>3460</v>
      </c>
      <c r="C55" s="36"/>
      <c r="D55" s="36"/>
      <c r="E55" s="274"/>
      <c r="F55" s="36"/>
      <c r="G55" s="36"/>
      <c r="H55" s="219"/>
      <c r="I55" s="219"/>
      <c r="J55" s="219"/>
    </row>
    <row r="56" spans="1:11" ht="20.149999999999999" customHeight="1">
      <c r="A56" s="5" t="s">
        <v>127</v>
      </c>
      <c r="B56" s="3">
        <v>3470</v>
      </c>
      <c r="C56" s="36">
        <f t="shared" ref="C56:H56" si="9">C57+C58+C59</f>
        <v>0</v>
      </c>
      <c r="D56" s="36">
        <f t="shared" si="9"/>
        <v>0</v>
      </c>
      <c r="E56" s="274">
        <f>E57+E58+E59</f>
        <v>0</v>
      </c>
      <c r="F56" s="36">
        <f t="shared" si="9"/>
        <v>0</v>
      </c>
      <c r="G56" s="36">
        <f t="shared" si="9"/>
        <v>0</v>
      </c>
      <c r="H56" s="36">
        <f t="shared" si="9"/>
        <v>0</v>
      </c>
      <c r="I56" s="36">
        <f>I57+I58+I59</f>
        <v>0</v>
      </c>
      <c r="J56" s="36">
        <f>J57+J58+J59</f>
        <v>0</v>
      </c>
    </row>
    <row r="57" spans="1:11">
      <c r="A57" s="5" t="s">
        <v>499</v>
      </c>
      <c r="B57" s="3" t="s">
        <v>442</v>
      </c>
      <c r="C57" s="36"/>
      <c r="D57" s="36"/>
      <c r="E57" s="274"/>
      <c r="F57" s="36"/>
      <c r="G57" s="36"/>
      <c r="H57" s="36"/>
      <c r="I57" s="36"/>
      <c r="J57" s="36"/>
    </row>
    <row r="58" spans="1:11" ht="20.149999999999999" customHeight="1">
      <c r="A58" s="5" t="s">
        <v>454</v>
      </c>
      <c r="B58" s="3" t="s">
        <v>455</v>
      </c>
      <c r="C58" s="36"/>
      <c r="D58" s="36"/>
      <c r="E58" s="274"/>
      <c r="F58" s="36"/>
      <c r="G58" s="36"/>
      <c r="H58" s="36"/>
      <c r="I58" s="36"/>
      <c r="J58" s="36"/>
    </row>
    <row r="59" spans="1:11" ht="24" customHeight="1">
      <c r="A59" s="5" t="s">
        <v>498</v>
      </c>
      <c r="B59" s="3" t="s">
        <v>497</v>
      </c>
      <c r="C59" s="36"/>
      <c r="D59" s="36">
        <v>0</v>
      </c>
      <c r="E59" s="274"/>
      <c r="F59" s="36"/>
      <c r="G59" s="36">
        <f>'IV. Кап. інвестиції'!F7</f>
        <v>0</v>
      </c>
      <c r="H59" s="36">
        <f>'IV. Кап. інвестиції'!G7</f>
        <v>0</v>
      </c>
      <c r="I59" s="36">
        <f>'IV. Кап. інвестиції'!H7</f>
        <v>0</v>
      </c>
      <c r="J59" s="36">
        <f>'IV. Кап. інвестиції'!I7</f>
        <v>0</v>
      </c>
    </row>
    <row r="60" spans="1:11" ht="19.5" customHeight="1">
      <c r="A60" s="5" t="s">
        <v>128</v>
      </c>
      <c r="B60" s="3">
        <v>3480</v>
      </c>
      <c r="C60" s="36">
        <f>SUM(C61:C62)</f>
        <v>5452</v>
      </c>
      <c r="D60" s="36">
        <f>D61</f>
        <v>1000</v>
      </c>
      <c r="E60" s="274">
        <f>SUM(E61:E63)</f>
        <v>445</v>
      </c>
      <c r="F60" s="174">
        <f>E60</f>
        <v>445</v>
      </c>
      <c r="G60" s="36"/>
      <c r="H60" s="36"/>
      <c r="I60" s="36"/>
      <c r="J60" s="36"/>
    </row>
    <row r="61" spans="1:11" ht="18.75" customHeight="1">
      <c r="A61" s="5" t="s">
        <v>500</v>
      </c>
      <c r="B61" s="3" t="s">
        <v>408</v>
      </c>
      <c r="C61" s="36">
        <v>6100</v>
      </c>
      <c r="D61" s="36">
        <v>1000</v>
      </c>
      <c r="E61" s="274">
        <v>6100</v>
      </c>
      <c r="F61" s="174">
        <f t="shared" ref="F61:F63" si="10">E61</f>
        <v>6100</v>
      </c>
      <c r="G61" s="36"/>
      <c r="H61" s="36"/>
      <c r="I61" s="36"/>
      <c r="J61" s="36"/>
      <c r="K61" s="172"/>
    </row>
    <row r="62" spans="1:11" ht="20.25" customHeight="1">
      <c r="A62" s="89" t="s">
        <v>567</v>
      </c>
      <c r="B62" s="3" t="s">
        <v>566</v>
      </c>
      <c r="C62" s="36">
        <v>-648</v>
      </c>
      <c r="D62" s="36"/>
      <c r="E62" s="274">
        <v>-5100</v>
      </c>
      <c r="F62" s="174">
        <f t="shared" si="10"/>
        <v>-5100</v>
      </c>
      <c r="G62" s="36"/>
      <c r="H62" s="36"/>
      <c r="I62" s="36"/>
      <c r="J62" s="36"/>
      <c r="K62" s="172"/>
    </row>
    <row r="63" spans="1:11" ht="20.25" customHeight="1">
      <c r="A63" s="89" t="s">
        <v>577</v>
      </c>
      <c r="B63" s="3" t="s">
        <v>576</v>
      </c>
      <c r="C63" s="36"/>
      <c r="D63" s="36"/>
      <c r="E63" s="274">
        <v>-555</v>
      </c>
      <c r="F63" s="174">
        <f t="shared" si="10"/>
        <v>-555</v>
      </c>
      <c r="G63" s="36"/>
      <c r="H63" s="36"/>
      <c r="I63" s="36"/>
      <c r="J63" s="36"/>
      <c r="K63" s="172"/>
    </row>
    <row r="64" spans="1:11" ht="20.149999999999999" customHeight="1">
      <c r="A64" s="65" t="s">
        <v>280</v>
      </c>
      <c r="B64" s="6"/>
      <c r="C64" s="36"/>
      <c r="D64" s="36"/>
      <c r="E64" s="274"/>
      <c r="F64" s="36"/>
      <c r="G64" s="36"/>
      <c r="H64" s="36"/>
      <c r="I64" s="36"/>
      <c r="J64" s="36"/>
    </row>
    <row r="65" spans="1:25" ht="36">
      <c r="A65" s="5" t="s">
        <v>359</v>
      </c>
      <c r="B65" s="6">
        <v>3490</v>
      </c>
      <c r="C65" s="37">
        <v>0</v>
      </c>
      <c r="D65" s="37">
        <f>'ІІ. Розр. з бюджетом'!D9</f>
        <v>237</v>
      </c>
      <c r="E65" s="273">
        <f>'ІІ. Розр. з бюджетом'!E9</f>
        <v>20</v>
      </c>
      <c r="F65" s="37">
        <f>'ІІ. Розр. з бюджетом'!F9</f>
        <v>85</v>
      </c>
      <c r="G65" s="37">
        <f>'ІІ. Розр. з бюджетом'!G9</f>
        <v>96</v>
      </c>
      <c r="H65" s="37">
        <f>'ІІ. Розр. з бюджетом'!H9</f>
        <v>193</v>
      </c>
      <c r="I65" s="37">
        <f>'ІІ. Розр. з бюджетом'!I9</f>
        <v>213</v>
      </c>
      <c r="J65" s="37">
        <f>'ІІ. Розр. з бюджетом'!J9</f>
        <v>174</v>
      </c>
    </row>
    <row r="66" spans="1:25" ht="108">
      <c r="A66" s="5" t="s">
        <v>360</v>
      </c>
      <c r="B66" s="6">
        <v>3500</v>
      </c>
      <c r="C66" s="37">
        <v>0</v>
      </c>
      <c r="D66" s="37">
        <f>'ІІ. Розр. з бюджетом'!D10</f>
        <v>806.4</v>
      </c>
      <c r="E66" s="273">
        <f>'ІІ. Розр. з бюджетом'!E10</f>
        <v>68</v>
      </c>
      <c r="F66" s="37">
        <f>'ІІ. Розр. з бюджетом'!F10</f>
        <v>288</v>
      </c>
      <c r="G66" s="37">
        <f>'ІІ. Розр. з бюджетом'!G10</f>
        <v>325</v>
      </c>
      <c r="H66" s="37">
        <f>'ІІ. Розр. з бюджетом'!H10</f>
        <v>657</v>
      </c>
      <c r="I66" s="37">
        <f>'ІІ. Розр. з бюджетом'!I10</f>
        <v>724</v>
      </c>
      <c r="J66" s="37">
        <f>'ІІ. Розр. з бюджетом'!J10</f>
        <v>591</v>
      </c>
    </row>
    <row r="67" spans="1:25" ht="36">
      <c r="A67" s="5" t="s">
        <v>100</v>
      </c>
      <c r="B67" s="6"/>
      <c r="C67" s="36"/>
      <c r="D67" s="36"/>
      <c r="E67" s="274"/>
      <c r="F67" s="36"/>
      <c r="G67" s="36"/>
      <c r="H67" s="36"/>
      <c r="I67" s="36"/>
      <c r="J67" s="36"/>
    </row>
    <row r="68" spans="1:25" ht="20.149999999999999" customHeight="1">
      <c r="A68" s="5" t="s">
        <v>96</v>
      </c>
      <c r="B68" s="3">
        <v>3510</v>
      </c>
      <c r="C68" s="36"/>
      <c r="D68" s="36"/>
      <c r="E68" s="274"/>
      <c r="F68" s="36"/>
      <c r="G68" s="36"/>
      <c r="H68" s="36"/>
      <c r="I68" s="36"/>
      <c r="J68" s="36"/>
    </row>
    <row r="69" spans="1:25" ht="20.149999999999999" customHeight="1">
      <c r="A69" s="5" t="s">
        <v>101</v>
      </c>
      <c r="B69" s="3">
        <v>3520</v>
      </c>
      <c r="C69" s="36"/>
      <c r="D69" s="36"/>
      <c r="E69" s="274"/>
      <c r="F69" s="36"/>
      <c r="G69" s="36"/>
      <c r="H69" s="36"/>
      <c r="I69" s="36"/>
      <c r="J69" s="36"/>
    </row>
    <row r="70" spans="1:25" ht="20.149999999999999" customHeight="1">
      <c r="A70" s="5" t="s">
        <v>129</v>
      </c>
      <c r="B70" s="3">
        <v>3530</v>
      </c>
      <c r="C70" s="36"/>
      <c r="D70" s="36"/>
      <c r="E70" s="274"/>
      <c r="F70" s="36"/>
      <c r="G70" s="141">
        <v>0</v>
      </c>
      <c r="H70" s="141"/>
      <c r="I70" s="141"/>
      <c r="J70" s="141"/>
    </row>
    <row r="71" spans="1:25" ht="36">
      <c r="A71" s="5" t="s">
        <v>98</v>
      </c>
      <c r="B71" s="6"/>
      <c r="C71" s="36"/>
      <c r="D71" s="36"/>
      <c r="E71" s="274"/>
      <c r="F71" s="36"/>
      <c r="G71" s="36"/>
      <c r="H71" s="36"/>
      <c r="I71" s="36"/>
      <c r="J71" s="36"/>
    </row>
    <row r="72" spans="1:25" ht="20.149999999999999" customHeight="1">
      <c r="A72" s="5" t="s">
        <v>96</v>
      </c>
      <c r="B72" s="3">
        <v>3540</v>
      </c>
      <c r="C72" s="36"/>
      <c r="D72" s="36"/>
      <c r="E72" s="274"/>
      <c r="F72" s="36"/>
      <c r="G72" s="36"/>
      <c r="H72" s="36"/>
      <c r="I72" s="36"/>
      <c r="J72" s="36"/>
    </row>
    <row r="73" spans="1:25" ht="20.149999999999999" customHeight="1">
      <c r="A73" s="5" t="s">
        <v>101</v>
      </c>
      <c r="B73" s="3">
        <v>3550</v>
      </c>
      <c r="C73" s="36"/>
      <c r="D73" s="36"/>
      <c r="E73" s="274"/>
      <c r="F73" s="36"/>
      <c r="G73" s="36"/>
      <c r="H73" s="36"/>
      <c r="I73" s="36"/>
      <c r="J73" s="36"/>
    </row>
    <row r="74" spans="1:25" ht="20.149999999999999" customHeight="1">
      <c r="A74" s="5" t="s">
        <v>129</v>
      </c>
      <c r="B74" s="3">
        <v>3560</v>
      </c>
      <c r="C74" s="36"/>
      <c r="D74" s="36"/>
      <c r="E74" s="274"/>
      <c r="F74" s="36"/>
      <c r="G74" s="36"/>
      <c r="H74" s="36"/>
      <c r="I74" s="36"/>
      <c r="J74" s="36"/>
    </row>
    <row r="75" spans="1:25" ht="20.149999999999999" customHeight="1">
      <c r="A75" s="5" t="s">
        <v>123</v>
      </c>
      <c r="B75" s="3">
        <v>3570</v>
      </c>
      <c r="C75" s="36">
        <f>C76</f>
        <v>0</v>
      </c>
      <c r="D75" s="36">
        <f t="shared" ref="D75:J75" si="11">D76</f>
        <v>0</v>
      </c>
      <c r="E75" s="274">
        <f t="shared" si="11"/>
        <v>0</v>
      </c>
      <c r="F75" s="36">
        <f t="shared" si="11"/>
        <v>0</v>
      </c>
      <c r="G75" s="36">
        <f t="shared" si="11"/>
        <v>0</v>
      </c>
      <c r="H75" s="36">
        <f t="shared" si="11"/>
        <v>0</v>
      </c>
      <c r="I75" s="36">
        <f t="shared" si="11"/>
        <v>0</v>
      </c>
      <c r="J75" s="36">
        <f t="shared" si="11"/>
        <v>0</v>
      </c>
    </row>
    <row r="76" spans="1:25" ht="20.149999999999999" customHeight="1">
      <c r="A76" s="5" t="s">
        <v>464</v>
      </c>
      <c r="B76" s="3" t="s">
        <v>430</v>
      </c>
      <c r="C76" s="36"/>
      <c r="D76" s="36"/>
      <c r="E76" s="274"/>
      <c r="F76" s="36"/>
      <c r="G76" s="36"/>
      <c r="H76" s="36"/>
      <c r="I76" s="36"/>
      <c r="J76" s="36"/>
    </row>
    <row r="77" spans="1:25" ht="35">
      <c r="A77" s="65" t="s">
        <v>168</v>
      </c>
      <c r="B77" s="87">
        <v>3580</v>
      </c>
      <c r="C77" s="38">
        <f t="shared" ref="C77:J77" si="12">(C47+C49+C50+C51+C53+C54+C55+C56+C60)-(C65+C66+C68+C69+C70+C72+C73+C74+C75)</f>
        <v>5452</v>
      </c>
      <c r="D77" s="38">
        <f t="shared" si="12"/>
        <v>-43.400000000000091</v>
      </c>
      <c r="E77" s="275">
        <f>(E47+E49+E50+E51+E53+E54+E55+E56+E60)-(E65+E66+E68+E69+E70+E72+E73+E74+E75)</f>
        <v>357</v>
      </c>
      <c r="F77" s="38">
        <f t="shared" si="12"/>
        <v>72</v>
      </c>
      <c r="G77" s="38">
        <f t="shared" si="12"/>
        <v>-421</v>
      </c>
      <c r="H77" s="38">
        <f t="shared" si="12"/>
        <v>-850</v>
      </c>
      <c r="I77" s="38">
        <f t="shared" si="12"/>
        <v>-937</v>
      </c>
      <c r="J77" s="38">
        <f t="shared" si="12"/>
        <v>-765</v>
      </c>
      <c r="K77" s="42"/>
    </row>
    <row r="78" spans="1:25" s="2" customFormat="1" ht="20.149999999999999" customHeight="1">
      <c r="A78" s="5" t="s">
        <v>32</v>
      </c>
      <c r="B78" s="3"/>
      <c r="C78" s="37"/>
      <c r="D78" s="37"/>
      <c r="E78" s="273"/>
      <c r="F78" s="37"/>
      <c r="G78" s="37"/>
      <c r="H78" s="37"/>
      <c r="I78" s="37"/>
      <c r="J78" s="3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2" customFormat="1" ht="20.149999999999999" customHeight="1">
      <c r="A79" s="7" t="s">
        <v>33</v>
      </c>
      <c r="B79" s="3">
        <v>3600</v>
      </c>
      <c r="C79" s="36">
        <v>790</v>
      </c>
      <c r="D79" s="36">
        <v>737</v>
      </c>
      <c r="E79" s="273">
        <v>5914.5</v>
      </c>
      <c r="F79" s="37">
        <f>E79</f>
        <v>5914.5</v>
      </c>
      <c r="G79" s="37">
        <f>F81</f>
        <v>7588.3000000000029</v>
      </c>
      <c r="H79" s="37">
        <f>F81</f>
        <v>7588.3000000000029</v>
      </c>
      <c r="I79" s="37">
        <f>F81</f>
        <v>7588.3000000000029</v>
      </c>
      <c r="J79" s="37">
        <f>F81</f>
        <v>7588.3000000000029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2" customFormat="1" ht="36">
      <c r="A80" s="20" t="s">
        <v>177</v>
      </c>
      <c r="B80" s="3">
        <v>3610</v>
      </c>
      <c r="C80" s="36"/>
      <c r="D80" s="36"/>
      <c r="E80" s="274"/>
      <c r="F80" s="36"/>
      <c r="G80" s="139"/>
      <c r="H80" s="139"/>
      <c r="I80" s="139"/>
      <c r="J80" s="13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2" customFormat="1" ht="20.149999999999999" customHeight="1">
      <c r="A81" s="7" t="s">
        <v>56</v>
      </c>
      <c r="B81" s="3">
        <v>3620</v>
      </c>
      <c r="C81" s="38">
        <f t="shared" ref="C81:J81" si="13">C79+C25+C44+C77</f>
        <v>5915</v>
      </c>
      <c r="D81" s="38">
        <f t="shared" si="13"/>
        <v>1043.9000000000001</v>
      </c>
      <c r="E81" s="275">
        <f t="shared" si="13"/>
        <v>6100.1</v>
      </c>
      <c r="F81" s="175">
        <f t="shared" si="13"/>
        <v>7588.3000000000029</v>
      </c>
      <c r="G81" s="175">
        <f>G79+G25+G44+G77</f>
        <v>7669.8931664000011</v>
      </c>
      <c r="H81" s="175">
        <f t="shared" si="13"/>
        <v>7651.2863327999985</v>
      </c>
      <c r="I81" s="175">
        <f t="shared" si="13"/>
        <v>7696.8877259000092</v>
      </c>
      <c r="J81" s="175">
        <f t="shared" si="13"/>
        <v>7607.9092962666709</v>
      </c>
      <c r="K81" s="16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2" customFormat="1" ht="20.149999999999999" customHeight="1">
      <c r="A82" s="7" t="s">
        <v>34</v>
      </c>
      <c r="B82" s="3">
        <v>3630</v>
      </c>
      <c r="C82" s="38">
        <f t="shared" ref="C82:J82" si="14">SUM(C25,C44,C77)</f>
        <v>5125</v>
      </c>
      <c r="D82" s="175">
        <f t="shared" si="14"/>
        <v>306.89999999999986</v>
      </c>
      <c r="E82" s="275">
        <f t="shared" si="14"/>
        <v>185.59999999999991</v>
      </c>
      <c r="F82" s="38">
        <f t="shared" si="14"/>
        <v>1673.8000000000029</v>
      </c>
      <c r="G82" s="38">
        <f t="shared" si="14"/>
        <v>81.593166399997813</v>
      </c>
      <c r="H82" s="38">
        <f t="shared" si="14"/>
        <v>62.986332799995694</v>
      </c>
      <c r="I82" s="38">
        <f t="shared" si="14"/>
        <v>108.58772590000581</v>
      </c>
      <c r="J82" s="38">
        <f t="shared" si="14"/>
        <v>19.609296266668593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2" customFormat="1" ht="20.149999999999999" customHeight="1">
      <c r="A83" s="29"/>
      <c r="B83" s="90"/>
      <c r="C83" s="90"/>
      <c r="D83" s="90"/>
      <c r="E83" s="277"/>
      <c r="F83" s="90"/>
      <c r="G83" s="90"/>
      <c r="H83" s="220"/>
      <c r="I83" s="220"/>
      <c r="J83" s="22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2" customFormat="1" ht="9.75" customHeight="1">
      <c r="A84" s="29"/>
      <c r="B84" s="90"/>
      <c r="C84" s="91"/>
      <c r="D84" s="91"/>
      <c r="E84" s="278"/>
      <c r="F84" s="91"/>
      <c r="G84" s="91"/>
      <c r="H84" s="221"/>
      <c r="I84" s="221"/>
      <c r="J84" s="22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2" customFormat="1" ht="20.149999999999999" customHeight="1">
      <c r="A85" s="29"/>
      <c r="B85" s="90"/>
      <c r="C85" s="91"/>
      <c r="D85" s="92"/>
      <c r="E85" s="279"/>
      <c r="F85" s="92"/>
      <c r="G85" s="92"/>
      <c r="H85" s="222"/>
      <c r="I85" s="222"/>
      <c r="J85" s="22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40.5" customHeight="1">
      <c r="A86" s="251" t="s">
        <v>583</v>
      </c>
      <c r="B86" s="173"/>
      <c r="C86" s="357"/>
      <c r="D86" s="358"/>
      <c r="E86" s="358"/>
      <c r="F86" s="358"/>
      <c r="G86" s="213"/>
      <c r="H86" s="355" t="s">
        <v>582</v>
      </c>
      <c r="I86" s="356"/>
      <c r="J86" s="356"/>
    </row>
    <row r="87" spans="1:25" ht="21" customHeight="1">
      <c r="A87" s="30" t="s">
        <v>80</v>
      </c>
      <c r="B87" s="29"/>
      <c r="C87" s="354" t="s">
        <v>81</v>
      </c>
      <c r="D87" s="354"/>
      <c r="E87" s="354"/>
      <c r="F87" s="354"/>
      <c r="G87" s="32"/>
      <c r="H87" s="354" t="s">
        <v>112</v>
      </c>
      <c r="I87" s="354"/>
      <c r="J87" s="354"/>
    </row>
    <row r="88" spans="1:25">
      <c r="C88" s="10"/>
    </row>
    <row r="89" spans="1:25">
      <c r="C89" s="10"/>
    </row>
    <row r="90" spans="1:25">
      <c r="C90" s="10"/>
    </row>
    <row r="91" spans="1:25">
      <c r="C91" s="10"/>
    </row>
    <row r="92" spans="1:25">
      <c r="C92" s="10"/>
    </row>
    <row r="93" spans="1:25">
      <c r="C93" s="10"/>
    </row>
    <row r="94" spans="1:25">
      <c r="C94" s="10"/>
    </row>
    <row r="95" spans="1:25">
      <c r="C95" s="10"/>
    </row>
    <row r="96" spans="1:25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0"/>
    </row>
    <row r="104" spans="3:3">
      <c r="C104" s="10"/>
    </row>
    <row r="105" spans="3:3">
      <c r="C105" s="10"/>
    </row>
    <row r="106" spans="3:3">
      <c r="C106" s="10"/>
    </row>
    <row r="107" spans="3:3">
      <c r="C107" s="10"/>
    </row>
    <row r="108" spans="3:3">
      <c r="C108" s="10"/>
    </row>
    <row r="109" spans="3:3">
      <c r="C109" s="10"/>
    </row>
    <row r="110" spans="3:3">
      <c r="C110" s="10"/>
    </row>
    <row r="111" spans="3:3">
      <c r="C111" s="10"/>
    </row>
    <row r="112" spans="3:3">
      <c r="C112" s="10"/>
    </row>
    <row r="113" spans="3:3">
      <c r="C113" s="10"/>
    </row>
    <row r="114" spans="3:3">
      <c r="C114" s="10"/>
    </row>
    <row r="115" spans="3:3">
      <c r="C115" s="10"/>
    </row>
    <row r="116" spans="3:3">
      <c r="C116" s="10"/>
    </row>
    <row r="117" spans="3:3">
      <c r="C117" s="10"/>
    </row>
    <row r="118" spans="3:3">
      <c r="C118" s="10"/>
    </row>
  </sheetData>
  <sheetProtection formatCells="0" formatColumns="0" formatRows="0" insertRows="0"/>
  <mergeCells count="15">
    <mergeCell ref="A1:J1"/>
    <mergeCell ref="A3:A4"/>
    <mergeCell ref="B3:B4"/>
    <mergeCell ref="C3:C4"/>
    <mergeCell ref="D3:D4"/>
    <mergeCell ref="F3:F4"/>
    <mergeCell ref="G3:J3"/>
    <mergeCell ref="E3:E4"/>
    <mergeCell ref="C86:F86"/>
    <mergeCell ref="H86:J86"/>
    <mergeCell ref="C87:F87"/>
    <mergeCell ref="H87:J87"/>
    <mergeCell ref="A6:J6"/>
    <mergeCell ref="A26:J26"/>
    <mergeCell ref="A45:J45"/>
  </mergeCells>
  <phoneticPr fontId="4" type="noConversion"/>
  <pageMargins left="1.1811023622047243" right="0.39370078740157483" top="0.78740157480314965" bottom="0.78740157480314965" header="0.19685039370078741" footer="0.31496062992125984"/>
  <pageSetup paperSize="9" scale="37" fitToHeight="0" orientation="portrait" r:id="rId1"/>
  <headerFooter alignWithMargins="0"/>
  <rowBreaks count="1" manualBreakCount="1">
    <brk id="4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P182"/>
  <sheetViews>
    <sheetView view="pageBreakPreview" zoomScale="80" zoomScaleNormal="75" zoomScaleSheetLayoutView="80" workbookViewId="0">
      <selection activeCell="G18" sqref="G18"/>
    </sheetView>
  </sheetViews>
  <sheetFormatPr defaultColWidth="9.1796875" defaultRowHeight="18"/>
  <cols>
    <col min="1" max="1" width="46.81640625" style="1" customWidth="1"/>
    <col min="2" max="2" width="11.7265625" style="10" customWidth="1"/>
    <col min="3" max="4" width="16" style="10" customWidth="1"/>
    <col min="5" max="5" width="15.26953125" style="10" customWidth="1"/>
    <col min="6" max="7" width="16.26953125" style="1" customWidth="1"/>
    <col min="8" max="8" width="15.81640625" style="1" customWidth="1"/>
    <col min="9" max="9" width="15.26953125" style="1" customWidth="1"/>
    <col min="10" max="10" width="9.54296875" style="1" customWidth="1"/>
    <col min="11" max="11" width="9.81640625" style="1" customWidth="1"/>
    <col min="12" max="16384" width="9.1796875" style="1"/>
  </cols>
  <sheetData>
    <row r="1" spans="1:16">
      <c r="A1" s="359" t="s">
        <v>222</v>
      </c>
      <c r="B1" s="359"/>
      <c r="C1" s="359"/>
      <c r="D1" s="359"/>
      <c r="E1" s="359"/>
      <c r="F1" s="359"/>
      <c r="G1" s="359"/>
      <c r="H1" s="359"/>
      <c r="I1" s="359"/>
    </row>
    <row r="2" spans="1:16">
      <c r="A2" s="394"/>
      <c r="B2" s="394"/>
      <c r="C2" s="394"/>
      <c r="D2" s="394"/>
      <c r="E2" s="394"/>
      <c r="F2" s="394"/>
      <c r="G2" s="394"/>
      <c r="H2" s="394"/>
      <c r="I2" s="394"/>
    </row>
    <row r="3" spans="1:16" ht="43.5" customHeight="1">
      <c r="A3" s="367" t="s">
        <v>263</v>
      </c>
      <c r="B3" s="370" t="s">
        <v>15</v>
      </c>
      <c r="C3" s="370" t="s">
        <v>29</v>
      </c>
      <c r="D3" s="370" t="s">
        <v>37</v>
      </c>
      <c r="E3" s="382" t="s">
        <v>174</v>
      </c>
      <c r="F3" s="370" t="s">
        <v>353</v>
      </c>
      <c r="G3" s="370"/>
      <c r="H3" s="370"/>
      <c r="I3" s="370"/>
    </row>
    <row r="4" spans="1:16" ht="56.25" customHeight="1">
      <c r="A4" s="367"/>
      <c r="B4" s="370"/>
      <c r="C4" s="370"/>
      <c r="D4" s="370"/>
      <c r="E4" s="382"/>
      <c r="F4" s="63" t="s">
        <v>362</v>
      </c>
      <c r="G4" s="63" t="s">
        <v>355</v>
      </c>
      <c r="H4" s="63" t="s">
        <v>356</v>
      </c>
      <c r="I4" s="63" t="s">
        <v>83</v>
      </c>
    </row>
    <row r="5" spans="1:16" ht="18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6" s="2" customFormat="1" ht="42.75" customHeight="1">
      <c r="A6" s="5" t="s">
        <v>85</v>
      </c>
      <c r="B6" s="22">
        <v>4000</v>
      </c>
      <c r="C6" s="37">
        <f t="shared" ref="C6:I6" si="0">SUM(C7:C11)</f>
        <v>640</v>
      </c>
      <c r="D6" s="37">
        <f t="shared" si="0"/>
        <v>1231</v>
      </c>
      <c r="E6" s="37">
        <f t="shared" si="0"/>
        <v>3723</v>
      </c>
      <c r="F6" s="37">
        <f t="shared" si="0"/>
        <v>113</v>
      </c>
      <c r="G6" s="37">
        <f t="shared" si="0"/>
        <v>312</v>
      </c>
      <c r="H6" s="334">
        <f t="shared" si="0"/>
        <v>312</v>
      </c>
      <c r="I6" s="37">
        <f t="shared" si="0"/>
        <v>312</v>
      </c>
      <c r="J6" s="79"/>
    </row>
    <row r="7" spans="1:16" ht="20.149999999999999" customHeight="1">
      <c r="A7" s="5" t="s">
        <v>1</v>
      </c>
      <c r="B7" s="4" t="s">
        <v>232</v>
      </c>
      <c r="C7" s="28">
        <v>0</v>
      </c>
      <c r="D7" s="36">
        <v>0</v>
      </c>
      <c r="E7" s="36">
        <v>0</v>
      </c>
      <c r="F7" s="36">
        <v>0</v>
      </c>
      <c r="G7" s="36"/>
      <c r="H7" s="333">
        <f>'6.2. Інша інфо_2 (2)'!L54</f>
        <v>0</v>
      </c>
      <c r="I7" s="36">
        <f>H7</f>
        <v>0</v>
      </c>
    </row>
    <row r="8" spans="1:16" ht="36">
      <c r="A8" s="5" t="s">
        <v>476</v>
      </c>
      <c r="B8" s="22">
        <v>4020</v>
      </c>
      <c r="C8" s="28">
        <v>640</v>
      </c>
      <c r="D8" s="28">
        <v>1231</v>
      </c>
      <c r="E8" s="36">
        <v>3723</v>
      </c>
      <c r="F8" s="36">
        <f>'6.2. Інша інфо_2 (2)'!K45</f>
        <v>113</v>
      </c>
      <c r="G8" s="36">
        <f>'6.2. Інша інфо_2 (2)'!L45</f>
        <v>312</v>
      </c>
      <c r="H8" s="333">
        <f>'6.2. Інша інфо_2 (2)'!M45</f>
        <v>312</v>
      </c>
      <c r="I8" s="36">
        <f>'6.2. Інша інфо_2 (2)'!N45</f>
        <v>312</v>
      </c>
      <c r="P8" s="14"/>
    </row>
    <row r="9" spans="1:16" ht="36">
      <c r="A9" s="5" t="s">
        <v>28</v>
      </c>
      <c r="B9" s="4">
        <v>4030</v>
      </c>
      <c r="C9" s="36"/>
      <c r="D9" s="36"/>
      <c r="E9" s="36"/>
      <c r="F9" s="36"/>
      <c r="G9" s="36"/>
      <c r="H9" s="36"/>
      <c r="I9" s="36"/>
      <c r="O9" s="14"/>
    </row>
    <row r="10" spans="1:16" ht="36">
      <c r="A10" s="5" t="s">
        <v>496</v>
      </c>
      <c r="B10" s="22">
        <v>4040</v>
      </c>
      <c r="C10" s="28"/>
      <c r="D10" s="28">
        <v>0</v>
      </c>
      <c r="E10" s="28"/>
      <c r="F10" s="28"/>
      <c r="G10" s="36"/>
      <c r="H10" s="36"/>
      <c r="I10" s="36"/>
    </row>
    <row r="11" spans="1:16" ht="54">
      <c r="A11" s="5" t="s">
        <v>436</v>
      </c>
      <c r="B11" s="4">
        <v>4050</v>
      </c>
      <c r="C11" s="28"/>
      <c r="D11" s="28"/>
      <c r="E11" s="28"/>
      <c r="F11" s="28"/>
      <c r="G11" s="36"/>
      <c r="H11" s="36"/>
      <c r="I11" s="36"/>
    </row>
    <row r="12" spans="1:16" ht="20.149999999999999" customHeight="1">
      <c r="A12" s="29"/>
      <c r="B12" s="29"/>
      <c r="C12" s="29"/>
      <c r="D12" s="29"/>
      <c r="E12" s="29"/>
      <c r="F12" s="80"/>
      <c r="G12" s="81"/>
      <c r="H12" s="81"/>
      <c r="I12" s="81"/>
    </row>
    <row r="13" spans="1:16" ht="20.149999999999999" customHeight="1">
      <c r="A13" s="29"/>
      <c r="B13" s="29"/>
      <c r="C13" s="29"/>
      <c r="D13" s="29"/>
      <c r="E13" s="29"/>
      <c r="F13" s="81"/>
      <c r="G13" s="81"/>
      <c r="H13" s="81"/>
      <c r="I13" s="81"/>
    </row>
    <row r="14" spans="1:16">
      <c r="A14" s="30"/>
      <c r="B14" s="29"/>
      <c r="C14" s="29"/>
      <c r="D14" s="29"/>
      <c r="E14" s="29"/>
      <c r="F14" s="29"/>
      <c r="G14" s="29"/>
      <c r="H14" s="29"/>
      <c r="I14" s="29"/>
    </row>
    <row r="15" spans="1:16" ht="40.5" customHeight="1">
      <c r="A15" s="251" t="s">
        <v>583</v>
      </c>
      <c r="B15" s="173"/>
      <c r="C15" s="357"/>
      <c r="D15" s="358"/>
      <c r="E15" s="358"/>
      <c r="F15" s="358"/>
      <c r="G15" s="213"/>
      <c r="H15" s="395" t="s">
        <v>582</v>
      </c>
      <c r="I15" s="396"/>
      <c r="J15" s="396"/>
    </row>
    <row r="16" spans="1:16" ht="21" customHeight="1">
      <c r="A16" s="30" t="s">
        <v>80</v>
      </c>
      <c r="B16" s="29"/>
      <c r="C16" s="354" t="s">
        <v>81</v>
      </c>
      <c r="D16" s="354"/>
      <c r="E16" s="354"/>
      <c r="F16" s="354"/>
      <c r="G16" s="32"/>
      <c r="H16" s="393" t="s">
        <v>112</v>
      </c>
      <c r="I16" s="393"/>
      <c r="J16" s="393"/>
    </row>
    <row r="17" spans="1:9">
      <c r="A17" s="82"/>
      <c r="B17" s="30"/>
      <c r="C17" s="30"/>
      <c r="D17" s="30"/>
      <c r="E17" s="30"/>
      <c r="F17" s="29"/>
      <c r="G17" s="29"/>
      <c r="H17" s="29"/>
      <c r="I17" s="29"/>
    </row>
    <row r="18" spans="1:9">
      <c r="A18" s="82"/>
      <c r="B18" s="30"/>
      <c r="C18" s="30"/>
      <c r="D18" s="30"/>
      <c r="E18" s="30"/>
      <c r="F18" s="29"/>
      <c r="G18" s="29"/>
      <c r="H18" s="29"/>
      <c r="I18" s="29"/>
    </row>
    <row r="19" spans="1:9">
      <c r="A19" s="18"/>
    </row>
    <row r="20" spans="1:9">
      <c r="A20" s="18"/>
    </row>
    <row r="21" spans="1:9">
      <c r="A21" s="18"/>
    </row>
    <row r="22" spans="1:9">
      <c r="A22" s="18"/>
    </row>
    <row r="23" spans="1:9">
      <c r="A23" s="18"/>
    </row>
    <row r="24" spans="1:9">
      <c r="A24" s="18"/>
    </row>
    <row r="25" spans="1:9">
      <c r="A25" s="18"/>
    </row>
    <row r="26" spans="1:9">
      <c r="A26" s="18"/>
    </row>
    <row r="27" spans="1:9">
      <c r="A27" s="18"/>
    </row>
    <row r="28" spans="1:9">
      <c r="A28" s="18"/>
    </row>
    <row r="29" spans="1:9">
      <c r="A29" s="18"/>
    </row>
    <row r="30" spans="1:9">
      <c r="A30" s="18"/>
    </row>
    <row r="31" spans="1:9">
      <c r="A31" s="18"/>
    </row>
    <row r="32" spans="1:9">
      <c r="A32" s="18"/>
    </row>
    <row r="33" spans="1:1">
      <c r="A33" s="18"/>
    </row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  <row r="42" spans="1:1">
      <c r="A42" s="18"/>
    </row>
    <row r="43" spans="1:1">
      <c r="A43" s="18"/>
    </row>
    <row r="44" spans="1:1">
      <c r="A44" s="18"/>
    </row>
    <row r="45" spans="1:1">
      <c r="A45" s="18"/>
    </row>
    <row r="46" spans="1:1">
      <c r="A46" s="18"/>
    </row>
    <row r="47" spans="1:1">
      <c r="A47" s="18"/>
    </row>
    <row r="48" spans="1:1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</sheetData>
  <sheetProtection formatCells="0" formatColumns="0" formatRows="0"/>
  <mergeCells count="12">
    <mergeCell ref="H16:J16"/>
    <mergeCell ref="A1:I1"/>
    <mergeCell ref="B3:B4"/>
    <mergeCell ref="C3:C4"/>
    <mergeCell ref="D3:D4"/>
    <mergeCell ref="A2:I2"/>
    <mergeCell ref="F3:I3"/>
    <mergeCell ref="E3:E4"/>
    <mergeCell ref="A3:A4"/>
    <mergeCell ref="H15:J15"/>
    <mergeCell ref="C15:F15"/>
    <mergeCell ref="C16:F16"/>
  </mergeCells>
  <phoneticPr fontId="0" type="noConversion"/>
  <pageMargins left="1.1811023622047243" right="0.39370078740157483" top="0.78740157480314965" bottom="0.78740157480314965" header="0.19685039370078741" footer="0.31496062992125984"/>
  <pageSetup paperSize="9" scale="50" firstPageNumber="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  <pageSetUpPr fitToPage="1"/>
  </sheetPr>
  <dimension ref="A1:J31"/>
  <sheetViews>
    <sheetView view="pageBreakPreview" zoomScale="60" zoomScaleNormal="75" workbookViewId="0">
      <pane ySplit="5" topLeftCell="A6" activePane="bottomLeft" state="frozen"/>
      <selection pane="bottomLeft" activeCell="A25" sqref="A25:XFD25"/>
    </sheetView>
  </sheetViews>
  <sheetFormatPr defaultColWidth="9.1796875" defaultRowHeight="13"/>
  <cols>
    <col min="1" max="1" width="58.54296875" style="93" customWidth="1"/>
    <col min="2" max="2" width="10.1796875" style="93" customWidth="1"/>
    <col min="3" max="3" width="14.7265625" style="93" customWidth="1"/>
    <col min="4" max="4" width="13.7265625" style="93" customWidth="1"/>
    <col min="5" max="5" width="20.453125" style="93" hidden="1" customWidth="1"/>
    <col min="6" max="6" width="19.7265625" style="93" customWidth="1"/>
    <col min="7" max="7" width="14.7265625" style="93" customWidth="1"/>
    <col min="8" max="8" width="17" style="93" customWidth="1"/>
    <col min="9" max="9" width="37.453125" style="93" customWidth="1"/>
    <col min="10" max="10" width="2.26953125" style="93" customWidth="1"/>
    <col min="11" max="16384" width="9.1796875" style="93"/>
  </cols>
  <sheetData>
    <row r="1" spans="1:9" ht="25.5" customHeight="1">
      <c r="A1" s="397" t="s">
        <v>224</v>
      </c>
      <c r="B1" s="397"/>
      <c r="C1" s="397"/>
      <c r="D1" s="397"/>
      <c r="E1" s="397"/>
      <c r="F1" s="397"/>
      <c r="G1" s="397"/>
      <c r="H1" s="397"/>
      <c r="I1" s="397"/>
    </row>
    <row r="2" spans="1:9" s="94" customFormat="1" ht="16.5" customHeight="1">
      <c r="D2" s="43">
        <v>2018</v>
      </c>
      <c r="E2" s="43"/>
      <c r="F2" s="43" t="s">
        <v>502</v>
      </c>
      <c r="G2" s="43">
        <v>2019</v>
      </c>
      <c r="H2" s="43">
        <v>2020</v>
      </c>
    </row>
    <row r="3" spans="1:9" ht="45" customHeight="1">
      <c r="A3" s="398" t="s">
        <v>263</v>
      </c>
      <c r="B3" s="398" t="s">
        <v>0</v>
      </c>
      <c r="C3" s="398" t="s">
        <v>107</v>
      </c>
      <c r="D3" s="398" t="s">
        <v>29</v>
      </c>
      <c r="E3" s="95"/>
      <c r="F3" s="398" t="s">
        <v>108</v>
      </c>
      <c r="G3" s="368" t="s">
        <v>174</v>
      </c>
      <c r="H3" s="398" t="s">
        <v>109</v>
      </c>
      <c r="I3" s="398" t="s">
        <v>110</v>
      </c>
    </row>
    <row r="4" spans="1:9" ht="52.5" customHeight="1">
      <c r="A4" s="399"/>
      <c r="B4" s="399"/>
      <c r="C4" s="399"/>
      <c r="D4" s="399"/>
      <c r="E4" s="96" t="s">
        <v>463</v>
      </c>
      <c r="F4" s="399"/>
      <c r="G4" s="369"/>
      <c r="H4" s="399"/>
      <c r="I4" s="399"/>
    </row>
    <row r="5" spans="1:9" s="88" customFormat="1" ht="18" customHeight="1">
      <c r="A5" s="97">
        <v>1</v>
      </c>
      <c r="B5" s="97">
        <v>2</v>
      </c>
      <c r="C5" s="97">
        <v>3</v>
      </c>
      <c r="D5" s="97">
        <v>4</v>
      </c>
      <c r="E5" s="97"/>
      <c r="F5" s="97">
        <v>5</v>
      </c>
      <c r="G5" s="97">
        <v>6</v>
      </c>
      <c r="H5" s="97">
        <v>7</v>
      </c>
      <c r="I5" s="97">
        <v>8</v>
      </c>
    </row>
    <row r="6" spans="1:9" s="88" customFormat="1" ht="20.149999999999999" customHeight="1">
      <c r="A6" s="98" t="s">
        <v>196</v>
      </c>
      <c r="B6" s="99"/>
      <c r="C6" s="97"/>
      <c r="D6" s="100">
        <v>2015</v>
      </c>
      <c r="E6" s="97"/>
      <c r="F6" s="97"/>
      <c r="G6" s="97"/>
      <c r="H6" s="97"/>
      <c r="I6" s="97"/>
    </row>
    <row r="7" spans="1:9" ht="72">
      <c r="A7" s="5" t="s">
        <v>338</v>
      </c>
      <c r="B7" s="4">
        <v>5000</v>
      </c>
      <c r="C7" s="101" t="s">
        <v>326</v>
      </c>
      <c r="D7" s="102">
        <f>'Осн. фін. пок.'!C13*100/'Осн. фін. пок.'!C11</f>
        <v>22.016644886168237</v>
      </c>
      <c r="E7" s="102">
        <f>'Осн. фін. пок.'!D13*100/'Осн. фін. пок.'!D11</f>
        <v>24.424164231776267</v>
      </c>
      <c r="F7" s="102">
        <f>'Осн. фін. пок.'!E13*100/'Осн. фін. пок.'!E11</f>
        <v>-46.69156516367471</v>
      </c>
      <c r="G7" s="102">
        <f>'Осн. фін. пок.'!F13*100/'Осн. фін. пок.'!F11</f>
        <v>-24.312643199333447</v>
      </c>
      <c r="H7" s="102">
        <f>'Осн. фін. пок.'!E13*100/'Осн. фін. пок.'!E11</f>
        <v>-46.69156516367471</v>
      </c>
      <c r="I7" s="103"/>
    </row>
    <row r="8" spans="1:9" ht="64" customHeight="1">
      <c r="A8" s="5" t="s">
        <v>339</v>
      </c>
      <c r="B8" s="4">
        <v>5010</v>
      </c>
      <c r="C8" s="101" t="s">
        <v>326</v>
      </c>
      <c r="D8" s="102">
        <f>'Осн. фін. пок.'!C18*100/'Осн. фін. пок.'!C11</f>
        <v>-1.7573423206547905</v>
      </c>
      <c r="E8" s="102">
        <f>'Осн. фін. пок.'!D18*100/'Осн. фін. пок.'!D11</f>
        <v>3.6580275490456495</v>
      </c>
      <c r="F8" s="102">
        <f>'Осн. фін. пок.'!E18*100/'Осн. фін. пок.'!E11</f>
        <v>4.1800506951481147</v>
      </c>
      <c r="G8" s="102">
        <f>'Осн. фін. пок.'!F18*100/'Осн. фін. пок.'!F11</f>
        <v>2.52655696729849</v>
      </c>
      <c r="H8" s="102">
        <f>'Осн. фін. пок.'!E18*100/'Осн. фін. пок.'!E11</f>
        <v>4.1800506951481147</v>
      </c>
      <c r="I8" s="103"/>
    </row>
    <row r="9" spans="1:9" ht="54">
      <c r="A9" s="104" t="s">
        <v>345</v>
      </c>
      <c r="B9" s="4">
        <v>5020</v>
      </c>
      <c r="C9" s="101" t="s">
        <v>326</v>
      </c>
      <c r="D9" s="102">
        <f>'Осн. фін. пок.'!C24/'Осн. фін. пок.'!C50</f>
        <v>7.9453360877165108E-4</v>
      </c>
      <c r="E9" s="102">
        <f>'Осн. фін. пок.'!D24/'Осн. фін. пок.'!D50</f>
        <v>0.15624073525051882</v>
      </c>
      <c r="F9" s="102">
        <f>'Осн. фін. пок.'!E24/'Осн. фін. пок.'!E50</f>
        <v>0.12770679258056319</v>
      </c>
      <c r="G9" s="102">
        <f>'Осн. фін. пок.'!F24/'Осн. фін. пок.'!F50</f>
        <v>5.6297183145432445E-2</v>
      </c>
      <c r="H9" s="102">
        <f>'Осн. фін. пок.'!E24/'Осн. фін. пок.'!E50</f>
        <v>0.12770679258056319</v>
      </c>
      <c r="I9" s="103" t="s">
        <v>327</v>
      </c>
    </row>
    <row r="10" spans="1:9" ht="54">
      <c r="A10" s="104" t="s">
        <v>346</v>
      </c>
      <c r="B10" s="4">
        <v>5030</v>
      </c>
      <c r="C10" s="101" t="s">
        <v>326</v>
      </c>
      <c r="D10" s="102">
        <f>'Осн. фін. пок.'!C24/'Осн. фін. пок.'!C56</f>
        <v>1.0094891984655764E-3</v>
      </c>
      <c r="E10" s="102">
        <f>'Осн. фін. пок.'!D24/'Осн. фін. пок.'!D56</f>
        <v>0.19819481007897705</v>
      </c>
      <c r="F10" s="102">
        <f>'Осн. фін. пок.'!E24/'Осн. фін. пок.'!E56</f>
        <v>0.16715959468185829</v>
      </c>
      <c r="G10" s="102">
        <f>'Осн. фін. пок.'!F24/'Осн. фін. пок.'!F56</f>
        <v>7.3243336794739017E-2</v>
      </c>
      <c r="H10" s="102">
        <f>'Осн. фін. пок.'!E24/'Осн. фін. пок.'!E56</f>
        <v>0.16715959468185829</v>
      </c>
      <c r="I10" s="103"/>
    </row>
    <row r="11" spans="1:9" ht="72">
      <c r="A11" s="104" t="s">
        <v>347</v>
      </c>
      <c r="B11" s="4">
        <v>5040</v>
      </c>
      <c r="C11" s="101" t="s">
        <v>111</v>
      </c>
      <c r="D11" s="102">
        <f>'Осн. фін. пок.'!C24/'Осн. фін. пок.'!C11</f>
        <v>3.4390260678175943E-4</v>
      </c>
      <c r="E11" s="102">
        <f>'Осн. фін. пок.'!D24/'Осн. фін. пок.'!D11</f>
        <v>2.9996584829051719E-2</v>
      </c>
      <c r="F11" s="102">
        <f>'Осн. фін. пок.'!E24/'Осн. фін. пок.'!E11</f>
        <v>3.4262275554579856E-2</v>
      </c>
      <c r="G11" s="102">
        <f>'Осн. фін. пок.'!F24/'Осн. фін. пок.'!F11</f>
        <v>2.2037075609248176E-2</v>
      </c>
      <c r="H11" s="102">
        <f>'Осн. фін. пок.'!E24/'Осн. фін. пок.'!E11</f>
        <v>3.4262275554579856E-2</v>
      </c>
      <c r="I11" s="103" t="s">
        <v>328</v>
      </c>
    </row>
    <row r="12" spans="1:9" ht="42.75" customHeight="1">
      <c r="A12" s="98" t="s">
        <v>198</v>
      </c>
      <c r="B12" s="4"/>
      <c r="C12" s="101"/>
      <c r="D12" s="102"/>
      <c r="E12" s="102"/>
      <c r="F12" s="102"/>
      <c r="G12" s="102"/>
      <c r="H12" s="102"/>
      <c r="I12" s="103"/>
    </row>
    <row r="13" spans="1:9" ht="64" customHeight="1">
      <c r="A13" s="105" t="s">
        <v>298</v>
      </c>
      <c r="B13" s="4">
        <v>5100</v>
      </c>
      <c r="C13" s="101"/>
      <c r="D13" s="102">
        <f>('Осн. фін. пок.'!C51+'Осн. фін. пок.'!C52)/'Осн. фін. пок.'!C18</f>
        <v>-5.244618395303327</v>
      </c>
      <c r="E13" s="102">
        <f>('Осн. фін. пок.'!D51+'Осн. фін. пок.'!D52)/'Осн. фін. пок.'!D18</f>
        <v>1.1109958506224067</v>
      </c>
      <c r="F13" s="102">
        <f>('Осн. фін. пок.'!E51+'Осн. фін. пок.'!E52)/'Осн. фін. пок.'!E18</f>
        <v>1.5148415259046779</v>
      </c>
      <c r="G13" s="102">
        <f>('Осн. фін. пок.'!F51+'Осн. фін. пок.'!F52)/'Осн. фін. пок.'!F18</f>
        <v>3.5846042868919876</v>
      </c>
      <c r="H13" s="102">
        <f>'Осн. фін. пок.'!E53/'Осн. фін. пок.'!E18</f>
        <v>1.5148415259046779</v>
      </c>
      <c r="I13" s="103"/>
    </row>
    <row r="14" spans="1:9" s="88" customFormat="1" ht="72">
      <c r="A14" s="105" t="s">
        <v>299</v>
      </c>
      <c r="B14" s="4">
        <v>5110</v>
      </c>
      <c r="C14" s="101" t="s">
        <v>183</v>
      </c>
      <c r="D14" s="102">
        <f>'Осн. фін. пок.'!C56/('Осн. фін. пок.'!C51+'Осн. фін. пок.'!C52)</f>
        <v>3.696268656716418</v>
      </c>
      <c r="E14" s="102">
        <f>'Осн. фін. пок.'!D56/('Осн. фін. пок.'!D51+'Осн. фін. пок.'!D52)</f>
        <v>3.7240896358543418</v>
      </c>
      <c r="F14" s="102">
        <f>'Осн. фін. пок.'!E56/('Осн. фін. пок.'!E51+'Осн. фін. пок.'!E52)</f>
        <v>3.2369511360099592</v>
      </c>
      <c r="G14" s="102">
        <f>'Осн. фін. пок.'!F56/('Осн. фін. пок.'!F51+'Осн. фін. пок.'!F52)</f>
        <v>3.3221216041397152</v>
      </c>
      <c r="H14" s="102">
        <f>'Осн. фін. пок.'!E56/'Осн. фін. пок.'!E53</f>
        <v>3.2369511360099592</v>
      </c>
      <c r="I14" s="103" t="s">
        <v>329</v>
      </c>
    </row>
    <row r="15" spans="1:9" s="88" customFormat="1" ht="108">
      <c r="A15" s="105" t="s">
        <v>300</v>
      </c>
      <c r="B15" s="4">
        <v>5120</v>
      </c>
      <c r="C15" s="101" t="s">
        <v>183</v>
      </c>
      <c r="D15" s="102">
        <f>'Осн. фін. пок.'!C48/'Осн. фін. пок.'!C52</f>
        <v>4.0852183061546556</v>
      </c>
      <c r="E15" s="102">
        <f>'Осн. фін. пок.'!D48/'Осн. фін. пок.'!D52</f>
        <v>1.2492997198879552</v>
      </c>
      <c r="F15" s="102">
        <f>'Осн. фін. пок.'!E48/'Осн. фін. пок.'!E52</f>
        <v>1.2492997198879552</v>
      </c>
      <c r="G15" s="102">
        <f>'Осн. фін. пок.'!F48/'Осн. фін. пок.'!F52</f>
        <v>1.3373034778465935</v>
      </c>
      <c r="H15" s="102">
        <f>'Осн. фін. пок.'!E48/'Осн. фін. пок.'!E52</f>
        <v>1.2492997198879552</v>
      </c>
      <c r="I15" s="103" t="s">
        <v>331</v>
      </c>
    </row>
    <row r="16" spans="1:9" ht="20.149999999999999" customHeight="1">
      <c r="A16" s="98" t="s">
        <v>197</v>
      </c>
      <c r="B16" s="4"/>
      <c r="C16" s="101"/>
      <c r="D16" s="102"/>
      <c r="E16" s="102"/>
      <c r="F16" s="102"/>
      <c r="G16" s="102"/>
      <c r="H16" s="102"/>
      <c r="I16" s="103"/>
    </row>
    <row r="17" spans="1:10" ht="54">
      <c r="A17" s="105" t="s">
        <v>301</v>
      </c>
      <c r="B17" s="4">
        <v>5200</v>
      </c>
      <c r="C17" s="101"/>
      <c r="D17" s="102">
        <f>'Осн. фін. пок.'!C41/'I. Фін результат'!C141</f>
        <v>0.73647871116225549</v>
      </c>
      <c r="E17" s="102">
        <f>'Осн. фін. пок.'!D41/'I. Фін результат'!D141</f>
        <v>1.2260956175298805</v>
      </c>
      <c r="F17" s="102">
        <f>'Осн. фін. пок.'!E41/'I. Фін результат'!E141</f>
        <v>0.39097744360902253</v>
      </c>
      <c r="G17" s="102">
        <f>'Осн. фін. пок.'!F41/'I. Фін результат'!F141</f>
        <v>3.4990601503759398</v>
      </c>
      <c r="H17" s="102">
        <f>'Осн. фін. пок.'!E41/'I. Фін результат'!G141</f>
        <v>1.1024734982332156</v>
      </c>
      <c r="I17" s="103"/>
    </row>
    <row r="18" spans="1:10" ht="72">
      <c r="A18" s="105" t="s">
        <v>302</v>
      </c>
      <c r="B18" s="4">
        <v>5210</v>
      </c>
      <c r="C18" s="101"/>
      <c r="D18" s="102">
        <f>'Осн. фін. пок.'!C41/'Осн. фін. пок.'!C11</f>
        <v>2.2009766834032603E-2</v>
      </c>
      <c r="E18" s="102">
        <f>'Осн. фін. пок.'!D41/'Осн. фін. пок.'!D11</f>
        <v>2.3355974651842294E-2</v>
      </c>
      <c r="F18" s="102">
        <f>'Осн. фін. пок.'!E41/'Осн. фін. пок.'!E11</f>
        <v>9.2232478267968657E-3</v>
      </c>
      <c r="G18" s="102">
        <f>'Осн. фін. пок.'!F41/'Осн. фін. пок.'!F11</f>
        <v>0.14539939595917517</v>
      </c>
      <c r="H18" s="102">
        <f>'Осн. фін. пок.'!E41/'Осн. фін. пок.'!E11</f>
        <v>9.2232478267968657E-3</v>
      </c>
      <c r="I18" s="103"/>
    </row>
    <row r="19" spans="1:10" ht="64" customHeight="1">
      <c r="A19" s="105" t="s">
        <v>340</v>
      </c>
      <c r="B19" s="4">
        <v>5220</v>
      </c>
      <c r="C19" s="101" t="s">
        <v>326</v>
      </c>
      <c r="D19" s="280">
        <f>1798.9/6619.2</f>
        <v>0.27177000241721055</v>
      </c>
      <c r="E19" s="106"/>
      <c r="F19" s="280">
        <f>2597/9648</f>
        <v>0.26917495854063017</v>
      </c>
      <c r="G19" s="280">
        <f>2597/9648</f>
        <v>0.26917495854063017</v>
      </c>
      <c r="H19" s="106"/>
      <c r="I19" s="103" t="s">
        <v>330</v>
      </c>
    </row>
    <row r="20" spans="1:10" ht="20.149999999999999" customHeight="1">
      <c r="A20" s="99" t="s">
        <v>281</v>
      </c>
      <c r="B20" s="4"/>
      <c r="C20" s="101"/>
      <c r="D20" s="106"/>
      <c r="E20" s="106"/>
      <c r="F20" s="106"/>
      <c r="G20" s="106"/>
      <c r="H20" s="106"/>
      <c r="I20" s="103"/>
    </row>
    <row r="21" spans="1:10" ht="108">
      <c r="A21" s="104" t="s">
        <v>341</v>
      </c>
      <c r="B21" s="4">
        <v>5300</v>
      </c>
      <c r="C21" s="101"/>
      <c r="D21" s="106"/>
      <c r="E21" s="106"/>
      <c r="F21" s="106"/>
      <c r="G21" s="106"/>
      <c r="H21" s="106"/>
      <c r="I21" s="107"/>
    </row>
    <row r="22" spans="1:10" ht="9.75" customHeight="1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10" ht="6.75" customHeight="1">
      <c r="A23" s="108"/>
      <c r="B23" s="108"/>
      <c r="C23" s="108"/>
      <c r="D23" s="108"/>
      <c r="E23" s="108"/>
      <c r="F23" s="108"/>
      <c r="G23" s="108"/>
      <c r="H23" s="108"/>
      <c r="I23" s="108"/>
    </row>
    <row r="24" spans="1:10" ht="20.149999999999999" customHeight="1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s="1" customFormat="1" ht="40.5" customHeight="1">
      <c r="A25" s="251" t="s">
        <v>583</v>
      </c>
      <c r="B25" s="173"/>
      <c r="C25" s="357"/>
      <c r="D25" s="358"/>
      <c r="E25" s="358"/>
      <c r="F25" s="358"/>
      <c r="G25" s="213"/>
      <c r="H25" s="395" t="s">
        <v>582</v>
      </c>
      <c r="I25" s="396"/>
      <c r="J25" s="396"/>
    </row>
    <row r="26" spans="1:10" s="1" customFormat="1" ht="21" customHeight="1">
      <c r="A26" s="30" t="s">
        <v>80</v>
      </c>
      <c r="B26" s="29"/>
      <c r="C26" s="354" t="s">
        <v>81</v>
      </c>
      <c r="D26" s="354"/>
      <c r="E26" s="354"/>
      <c r="F26" s="354"/>
      <c r="G26" s="32"/>
      <c r="H26" s="393" t="s">
        <v>112</v>
      </c>
      <c r="I26" s="393"/>
      <c r="J26" s="393"/>
    </row>
    <row r="27" spans="1:10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10">
      <c r="A28" s="108"/>
      <c r="B28" s="108"/>
      <c r="C28" s="108"/>
      <c r="D28" s="108"/>
      <c r="E28" s="108"/>
      <c r="F28" s="108"/>
      <c r="G28" s="108"/>
      <c r="H28" s="108"/>
      <c r="I28" s="108"/>
    </row>
    <row r="29" spans="1:10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10">
      <c r="A30" s="108"/>
      <c r="B30" s="108"/>
      <c r="C30" s="108"/>
      <c r="D30" s="108"/>
      <c r="E30" s="108"/>
      <c r="F30" s="108"/>
      <c r="G30" s="108"/>
      <c r="H30" s="108"/>
      <c r="I30" s="108"/>
    </row>
    <row r="31" spans="1:10">
      <c r="A31" s="108"/>
      <c r="B31" s="108"/>
      <c r="C31" s="108"/>
      <c r="D31" s="108"/>
      <c r="E31" s="108"/>
      <c r="F31" s="108"/>
      <c r="G31" s="108"/>
      <c r="H31" s="108"/>
      <c r="I31" s="108"/>
    </row>
  </sheetData>
  <sheetProtection formatCells="0" formatColumns="0" formatRows="0"/>
  <mergeCells count="13">
    <mergeCell ref="H25:J25"/>
    <mergeCell ref="H26:J26"/>
    <mergeCell ref="C25:F25"/>
    <mergeCell ref="C26:F26"/>
    <mergeCell ref="H3:H4"/>
    <mergeCell ref="A1:I1"/>
    <mergeCell ref="I3:I4"/>
    <mergeCell ref="A3:A4"/>
    <mergeCell ref="B3:B4"/>
    <mergeCell ref="C3:C4"/>
    <mergeCell ref="D3:D4"/>
    <mergeCell ref="F3:F4"/>
    <mergeCell ref="G3:G4"/>
  </mergeCells>
  <phoneticPr fontId="4" type="noConversion"/>
  <pageMargins left="1.1811023622047243" right="0.39370078740157483" top="0.78740157480314965" bottom="0.78740157480314965" header="0.19685039370078741" footer="0.31496062992125984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V87"/>
  <sheetViews>
    <sheetView view="pageBreakPreview" topLeftCell="A61" zoomScale="70" zoomScaleNormal="60" zoomScaleSheetLayoutView="70" workbookViewId="0">
      <pane xSplit="1" topLeftCell="F1" activePane="topRight" state="frozen"/>
      <selection activeCell="A51" sqref="A51"/>
      <selection pane="topRight" activeCell="J12" sqref="J12:K17"/>
    </sheetView>
  </sheetViews>
  <sheetFormatPr defaultColWidth="9.1796875" defaultRowHeight="18"/>
  <cols>
    <col min="1" max="1" width="44.81640625" style="52" customWidth="1"/>
    <col min="2" max="2" width="13.54296875" style="55" customWidth="1"/>
    <col min="3" max="3" width="17.453125" style="52" customWidth="1"/>
    <col min="4" max="4" width="16.1796875" style="52" customWidth="1"/>
    <col min="5" max="5" width="15.453125" style="52" customWidth="1"/>
    <col min="6" max="6" width="16.54296875" style="52" customWidth="1"/>
    <col min="7" max="7" width="15.26953125" style="1" customWidth="1"/>
    <col min="8" max="8" width="16.54296875" style="1" customWidth="1"/>
    <col min="9" max="9" width="16.1796875" style="1" customWidth="1"/>
    <col min="10" max="10" width="16.453125" style="1" customWidth="1"/>
    <col min="11" max="11" width="16.54296875" style="1" customWidth="1"/>
    <col min="12" max="12" width="16.81640625" style="1" customWidth="1"/>
    <col min="13" max="15" width="16.7265625" style="1" customWidth="1"/>
    <col min="16" max="16" width="12.54296875" style="52" customWidth="1"/>
    <col min="17" max="16384" width="9.1796875" style="52"/>
  </cols>
  <sheetData>
    <row r="1" spans="1:16">
      <c r="A1" s="359" t="s">
        <v>130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6">
      <c r="A2" s="360" t="s">
        <v>554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6" ht="23">
      <c r="A3" s="407" t="s">
        <v>508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</row>
    <row r="4" spans="1:16" ht="20.149999999999999" customHeight="1">
      <c r="A4" s="410" t="s">
        <v>139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6" ht="22" customHeight="1">
      <c r="A5" s="411" t="s">
        <v>95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</row>
    <row r="6" spans="1:16" ht="10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6" ht="90.75" customHeight="1">
      <c r="A7" s="409" t="s">
        <v>513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</row>
    <row r="8" spans="1:16" s="109" customFormat="1" ht="12.75" customHeight="1">
      <c r="A8" s="110"/>
      <c r="B8" s="110"/>
      <c r="C8" s="110"/>
      <c r="D8" s="154">
        <v>2018</v>
      </c>
      <c r="E8" s="154"/>
      <c r="F8" s="154">
        <v>2018</v>
      </c>
      <c r="G8" s="154"/>
      <c r="H8" s="154">
        <v>2019</v>
      </c>
      <c r="I8" s="154"/>
      <c r="J8" s="154">
        <v>2020</v>
      </c>
      <c r="K8" s="154"/>
      <c r="L8" s="154"/>
      <c r="M8" s="110"/>
      <c r="N8" s="110"/>
      <c r="O8" s="110"/>
    </row>
    <row r="9" spans="1:16" ht="40.5" customHeight="1">
      <c r="A9" s="367" t="s">
        <v>263</v>
      </c>
      <c r="B9" s="367"/>
      <c r="C9" s="367"/>
      <c r="D9" s="370" t="s">
        <v>141</v>
      </c>
      <c r="E9" s="370"/>
      <c r="F9" s="370" t="s">
        <v>29</v>
      </c>
      <c r="G9" s="370"/>
      <c r="H9" s="370" t="s">
        <v>68</v>
      </c>
      <c r="I9" s="370"/>
      <c r="J9" s="370" t="s">
        <v>142</v>
      </c>
      <c r="K9" s="370"/>
      <c r="L9" s="370" t="s">
        <v>284</v>
      </c>
      <c r="M9" s="370"/>
      <c r="N9" s="370" t="s">
        <v>285</v>
      </c>
      <c r="O9" s="370"/>
    </row>
    <row r="10" spans="1:16" ht="18" customHeight="1">
      <c r="A10" s="367">
        <v>1</v>
      </c>
      <c r="B10" s="367"/>
      <c r="C10" s="367"/>
      <c r="D10" s="370">
        <v>2</v>
      </c>
      <c r="E10" s="370"/>
      <c r="F10" s="370">
        <v>3</v>
      </c>
      <c r="G10" s="370"/>
      <c r="H10" s="370" t="s">
        <v>461</v>
      </c>
      <c r="I10" s="370"/>
      <c r="J10" s="370">
        <v>5</v>
      </c>
      <c r="K10" s="370"/>
      <c r="L10" s="370">
        <v>6</v>
      </c>
      <c r="M10" s="370"/>
      <c r="N10" s="370">
        <v>7</v>
      </c>
      <c r="O10" s="370"/>
    </row>
    <row r="11" spans="1:16" ht="20.149999999999999" customHeight="1">
      <c r="A11" s="375" t="s">
        <v>140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7"/>
      <c r="L11" s="400"/>
      <c r="M11" s="401"/>
      <c r="N11" s="400"/>
      <c r="O11" s="401"/>
    </row>
    <row r="12" spans="1:16" ht="20.149999999999999" customHeight="1">
      <c r="A12" s="402" t="s">
        <v>303</v>
      </c>
      <c r="B12" s="402"/>
      <c r="C12" s="402"/>
      <c r="D12" s="403"/>
      <c r="E12" s="404"/>
      <c r="F12" s="403">
        <v>27</v>
      </c>
      <c r="G12" s="404"/>
      <c r="H12" s="403">
        <v>32</v>
      </c>
      <c r="I12" s="404"/>
      <c r="J12" s="403">
        <v>32</v>
      </c>
      <c r="K12" s="404"/>
      <c r="L12" s="405">
        <f>J12/H12*100%</f>
        <v>1</v>
      </c>
      <c r="M12" s="406"/>
      <c r="N12" s="405">
        <f>J12/F12*100%</f>
        <v>1.1851851851851851</v>
      </c>
      <c r="O12" s="406"/>
      <c r="P12" s="52" t="s">
        <v>544</v>
      </c>
    </row>
    <row r="13" spans="1:16" ht="20.149999999999999" customHeight="1">
      <c r="A13" s="402" t="s">
        <v>304</v>
      </c>
      <c r="B13" s="402"/>
      <c r="C13" s="402"/>
      <c r="D13" s="403"/>
      <c r="E13" s="404"/>
      <c r="F13" s="403">
        <v>3</v>
      </c>
      <c r="G13" s="404"/>
      <c r="H13" s="403">
        <v>3</v>
      </c>
      <c r="I13" s="404"/>
      <c r="J13" s="403">
        <v>3</v>
      </c>
      <c r="K13" s="404"/>
      <c r="L13" s="405">
        <f t="shared" ref="L13:L33" si="0">J13/H13*100%</f>
        <v>1</v>
      </c>
      <c r="M13" s="406"/>
      <c r="N13" s="405">
        <f t="shared" ref="N13:N33" si="1">J13/F13*100%</f>
        <v>1</v>
      </c>
      <c r="O13" s="406"/>
    </row>
    <row r="14" spans="1:16" ht="20.149999999999999" customHeight="1">
      <c r="A14" s="402" t="s">
        <v>305</v>
      </c>
      <c r="B14" s="402"/>
      <c r="C14" s="402"/>
      <c r="D14" s="403"/>
      <c r="E14" s="404"/>
      <c r="F14" s="403">
        <v>2</v>
      </c>
      <c r="G14" s="404"/>
      <c r="H14" s="403">
        <v>3</v>
      </c>
      <c r="I14" s="404"/>
      <c r="J14" s="403">
        <v>3</v>
      </c>
      <c r="K14" s="404"/>
      <c r="L14" s="405">
        <f t="shared" si="0"/>
        <v>1</v>
      </c>
      <c r="M14" s="406"/>
      <c r="N14" s="405">
        <f t="shared" si="1"/>
        <v>1.5</v>
      </c>
      <c r="O14" s="406"/>
      <c r="P14" s="52" t="s">
        <v>546</v>
      </c>
    </row>
    <row r="15" spans="1:16" ht="20.149999999999999" customHeight="1">
      <c r="A15" s="402" t="s">
        <v>306</v>
      </c>
      <c r="B15" s="402"/>
      <c r="C15" s="402"/>
      <c r="D15" s="403"/>
      <c r="E15" s="404"/>
      <c r="F15" s="403">
        <v>3</v>
      </c>
      <c r="G15" s="404"/>
      <c r="H15" s="403">
        <v>2</v>
      </c>
      <c r="I15" s="404"/>
      <c r="J15" s="403">
        <v>2</v>
      </c>
      <c r="K15" s="404"/>
      <c r="L15" s="405">
        <f t="shared" si="0"/>
        <v>1</v>
      </c>
      <c r="M15" s="406"/>
      <c r="N15" s="405">
        <f t="shared" si="1"/>
        <v>0.66666666666666663</v>
      </c>
      <c r="O15" s="406"/>
    </row>
    <row r="16" spans="1:16" ht="20.149999999999999" customHeight="1">
      <c r="A16" s="402" t="s">
        <v>307</v>
      </c>
      <c r="B16" s="402"/>
      <c r="C16" s="402"/>
      <c r="D16" s="403"/>
      <c r="E16" s="404"/>
      <c r="F16" s="403">
        <v>109</v>
      </c>
      <c r="G16" s="404"/>
      <c r="H16" s="403">
        <v>190</v>
      </c>
      <c r="I16" s="404"/>
      <c r="J16" s="403">
        <v>197</v>
      </c>
      <c r="K16" s="404"/>
      <c r="L16" s="405">
        <f t="shared" si="0"/>
        <v>1.0368421052631578</v>
      </c>
      <c r="M16" s="406"/>
      <c r="N16" s="405">
        <f t="shared" si="1"/>
        <v>1.8073394495412844</v>
      </c>
      <c r="O16" s="406"/>
      <c r="P16" s="52">
        <v>252</v>
      </c>
    </row>
    <row r="17" spans="1:16" ht="20.149999999999999" customHeight="1">
      <c r="A17" s="402" t="s">
        <v>308</v>
      </c>
      <c r="B17" s="402"/>
      <c r="C17" s="402"/>
      <c r="D17" s="403"/>
      <c r="E17" s="404"/>
      <c r="F17" s="403">
        <v>4</v>
      </c>
      <c r="G17" s="404"/>
      <c r="H17" s="403">
        <v>15</v>
      </c>
      <c r="I17" s="404"/>
      <c r="J17" s="403">
        <v>15</v>
      </c>
      <c r="K17" s="404"/>
      <c r="L17" s="415"/>
      <c r="M17" s="416"/>
      <c r="N17" s="405">
        <f>J17/F17*100%</f>
        <v>3.75</v>
      </c>
      <c r="O17" s="406"/>
      <c r="P17" s="250">
        <f>J12+J13+J14+J15+J16+J17</f>
        <v>252</v>
      </c>
    </row>
    <row r="18" spans="1:16" ht="20.149999999999999" customHeight="1">
      <c r="A18" s="375" t="s">
        <v>282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7"/>
      <c r="L18" s="405"/>
      <c r="M18" s="406"/>
      <c r="N18" s="405"/>
      <c r="O18" s="406"/>
      <c r="P18" s="250">
        <f>P16-P17</f>
        <v>0</v>
      </c>
    </row>
    <row r="19" spans="1:16" ht="20.149999999999999" customHeight="1">
      <c r="A19" s="412" t="s">
        <v>261</v>
      </c>
      <c r="B19" s="412"/>
      <c r="C19" s="412"/>
      <c r="D19" s="413"/>
      <c r="E19" s="414"/>
      <c r="F19" s="413">
        <v>499</v>
      </c>
      <c r="G19" s="414"/>
      <c r="H19" s="413">
        <v>519</v>
      </c>
      <c r="I19" s="414"/>
      <c r="J19" s="403">
        <f>штатка!J20</f>
        <v>518.70000000000005</v>
      </c>
      <c r="K19" s="404"/>
      <c r="L19" s="405">
        <f t="shared" si="0"/>
        <v>0.99942196531791916</v>
      </c>
      <c r="M19" s="406"/>
      <c r="N19" s="405">
        <f t="shared" si="1"/>
        <v>1.0394789579158317</v>
      </c>
      <c r="O19" s="406"/>
    </row>
    <row r="20" spans="1:16" ht="20.149999999999999" customHeight="1">
      <c r="A20" s="412" t="s">
        <v>286</v>
      </c>
      <c r="B20" s="412"/>
      <c r="C20" s="412"/>
      <c r="D20" s="413"/>
      <c r="E20" s="414"/>
      <c r="F20" s="413">
        <v>3509</v>
      </c>
      <c r="G20" s="414"/>
      <c r="H20" s="413">
        <v>4552</v>
      </c>
      <c r="I20" s="414"/>
      <c r="J20" s="403">
        <f>штатка!J21</f>
        <v>4693.5770000000002</v>
      </c>
      <c r="K20" s="404"/>
      <c r="L20" s="405">
        <f t="shared" si="0"/>
        <v>1.0311021528998243</v>
      </c>
      <c r="M20" s="406"/>
      <c r="N20" s="405">
        <f t="shared" si="1"/>
        <v>1.3375825021373611</v>
      </c>
      <c r="O20" s="406"/>
    </row>
    <row r="21" spans="1:16" ht="20.149999999999999" customHeight="1">
      <c r="A21" s="412" t="s">
        <v>262</v>
      </c>
      <c r="B21" s="412"/>
      <c r="C21" s="412"/>
      <c r="D21" s="413"/>
      <c r="E21" s="414"/>
      <c r="F21" s="413">
        <v>15399</v>
      </c>
      <c r="G21" s="414"/>
      <c r="H21" s="413">
        <v>2939</v>
      </c>
      <c r="I21" s="414"/>
      <c r="J21" s="403">
        <f>штатка!J22</f>
        <v>31490.047999999999</v>
      </c>
      <c r="K21" s="404"/>
      <c r="L21" s="405">
        <f t="shared" si="0"/>
        <v>10.714545083361687</v>
      </c>
      <c r="M21" s="406"/>
      <c r="N21" s="405">
        <f t="shared" si="1"/>
        <v>2.044941100071433</v>
      </c>
      <c r="O21" s="406"/>
    </row>
    <row r="22" spans="1:16" ht="20.149999999999999" customHeight="1">
      <c r="A22" s="417" t="s">
        <v>283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9"/>
      <c r="L22" s="405"/>
      <c r="M22" s="406"/>
      <c r="N22" s="405"/>
      <c r="O22" s="406"/>
    </row>
    <row r="23" spans="1:16" ht="20.149999999999999" customHeight="1">
      <c r="A23" s="412" t="s">
        <v>261</v>
      </c>
      <c r="B23" s="412"/>
      <c r="C23" s="412"/>
      <c r="D23" s="413"/>
      <c r="E23" s="414"/>
      <c r="F23" s="413">
        <v>609</v>
      </c>
      <c r="G23" s="414"/>
      <c r="H23" s="413">
        <v>633</v>
      </c>
      <c r="I23" s="414"/>
      <c r="J23" s="403">
        <f>штатка!J25</f>
        <v>632.81400000000008</v>
      </c>
      <c r="K23" s="404"/>
      <c r="L23" s="405">
        <f t="shared" si="0"/>
        <v>0.99970616113744093</v>
      </c>
      <c r="M23" s="406"/>
      <c r="N23" s="405">
        <f t="shared" si="1"/>
        <v>1.0391034482758621</v>
      </c>
      <c r="O23" s="406"/>
    </row>
    <row r="24" spans="1:16" ht="20.149999999999999" customHeight="1">
      <c r="A24" s="412" t="s">
        <v>286</v>
      </c>
      <c r="B24" s="412"/>
      <c r="C24" s="412"/>
      <c r="D24" s="413"/>
      <c r="E24" s="414"/>
      <c r="F24" s="413">
        <v>4318</v>
      </c>
      <c r="G24" s="414"/>
      <c r="H24" s="413">
        <v>5553</v>
      </c>
      <c r="I24" s="414"/>
      <c r="J24" s="403">
        <f>штатка!J26</f>
        <v>5726.1639399999995</v>
      </c>
      <c r="K24" s="404"/>
      <c r="L24" s="405">
        <f t="shared" si="0"/>
        <v>1.0311838537727354</v>
      </c>
      <c r="M24" s="406"/>
      <c r="N24" s="405">
        <f t="shared" si="1"/>
        <v>1.3261148540991199</v>
      </c>
      <c r="O24" s="406"/>
    </row>
    <row r="25" spans="1:16" ht="20.149999999999999" customHeight="1">
      <c r="A25" s="412" t="s">
        <v>262</v>
      </c>
      <c r="B25" s="412"/>
      <c r="C25" s="412"/>
      <c r="D25" s="413"/>
      <c r="E25" s="414"/>
      <c r="F25" s="413">
        <v>18770</v>
      </c>
      <c r="G25" s="414"/>
      <c r="H25" s="413">
        <v>35687</v>
      </c>
      <c r="I25" s="414"/>
      <c r="J25" s="403">
        <f>штатка!J27</f>
        <v>38234.564250399999</v>
      </c>
      <c r="K25" s="404"/>
      <c r="L25" s="405">
        <f t="shared" si="0"/>
        <v>1.0713863381735647</v>
      </c>
      <c r="M25" s="406"/>
      <c r="N25" s="405">
        <f t="shared" si="1"/>
        <v>2.0370039558018114</v>
      </c>
      <c r="O25" s="406"/>
    </row>
    <row r="26" spans="1:16" ht="38.25" customHeight="1">
      <c r="A26" s="417" t="s">
        <v>309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9"/>
      <c r="L26" s="405"/>
      <c r="M26" s="406"/>
      <c r="N26" s="405"/>
      <c r="O26" s="406"/>
    </row>
    <row r="27" spans="1:16" ht="20.149999999999999" customHeight="1">
      <c r="A27" s="412" t="s">
        <v>261</v>
      </c>
      <c r="B27" s="412"/>
      <c r="C27" s="412"/>
      <c r="D27" s="413"/>
      <c r="E27" s="414"/>
      <c r="F27" s="413">
        <v>41583</v>
      </c>
      <c r="G27" s="414"/>
      <c r="H27" s="403">
        <v>43225</v>
      </c>
      <c r="I27" s="404"/>
      <c r="J27" s="403">
        <f>штатка!J30</f>
        <v>43225</v>
      </c>
      <c r="K27" s="404"/>
      <c r="L27" s="405">
        <f t="shared" si="0"/>
        <v>1</v>
      </c>
      <c r="M27" s="406"/>
      <c r="N27" s="405">
        <f t="shared" si="1"/>
        <v>1.0394872904792825</v>
      </c>
      <c r="O27" s="406"/>
    </row>
    <row r="28" spans="1:16" ht="20.149999999999999" customHeight="1">
      <c r="A28" s="412" t="s">
        <v>286</v>
      </c>
      <c r="B28" s="412"/>
      <c r="C28" s="412"/>
      <c r="D28" s="413"/>
      <c r="E28" s="414"/>
      <c r="F28" s="413">
        <v>26583</v>
      </c>
      <c r="G28" s="414"/>
      <c r="H28" s="413">
        <v>30344</v>
      </c>
      <c r="I28" s="414"/>
      <c r="J28" s="403">
        <f>штатка!J31</f>
        <v>31290.513333333336</v>
      </c>
      <c r="K28" s="404"/>
      <c r="L28" s="405">
        <f t="shared" si="0"/>
        <v>1.0311927673785044</v>
      </c>
      <c r="M28" s="406"/>
      <c r="N28" s="405">
        <f t="shared" si="1"/>
        <v>1.1770873615970108</v>
      </c>
      <c r="O28" s="406"/>
    </row>
    <row r="29" spans="1:16" ht="20.149999999999999" customHeight="1">
      <c r="A29" s="412" t="s">
        <v>262</v>
      </c>
      <c r="B29" s="412"/>
      <c r="C29" s="412"/>
      <c r="D29" s="413"/>
      <c r="E29" s="414"/>
      <c r="F29" s="413">
        <v>9436</v>
      </c>
      <c r="G29" s="414"/>
      <c r="H29" s="413">
        <v>10249</v>
      </c>
      <c r="I29" s="414"/>
      <c r="J29" s="403">
        <f>штатка!J32</f>
        <v>10979.793584379358</v>
      </c>
      <c r="K29" s="404"/>
      <c r="L29" s="405">
        <f t="shared" si="0"/>
        <v>1.0713038915386242</v>
      </c>
      <c r="M29" s="406"/>
      <c r="N29" s="405">
        <f t="shared" si="1"/>
        <v>1.1636067808795421</v>
      </c>
      <c r="O29" s="406"/>
    </row>
    <row r="30" spans="1:16" ht="20.149999999999999" customHeight="1">
      <c r="A30" s="417" t="s">
        <v>310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9"/>
      <c r="L30" s="405"/>
      <c r="M30" s="406"/>
      <c r="N30" s="405"/>
      <c r="O30" s="406"/>
    </row>
    <row r="31" spans="1:16" ht="20.149999999999999" customHeight="1">
      <c r="A31" s="412" t="s">
        <v>261</v>
      </c>
      <c r="B31" s="412"/>
      <c r="C31" s="412"/>
      <c r="D31" s="413"/>
      <c r="E31" s="414"/>
      <c r="F31" s="413">
        <v>41583</v>
      </c>
      <c r="G31" s="414"/>
      <c r="H31" s="403">
        <v>43225</v>
      </c>
      <c r="I31" s="404"/>
      <c r="J31" s="403">
        <f>штатка!J35</f>
        <v>43225</v>
      </c>
      <c r="K31" s="404"/>
      <c r="L31" s="405">
        <f t="shared" si="0"/>
        <v>1</v>
      </c>
      <c r="M31" s="406"/>
      <c r="N31" s="405">
        <f t="shared" si="1"/>
        <v>1.0394872904792825</v>
      </c>
      <c r="O31" s="406"/>
    </row>
    <row r="32" spans="1:16" ht="20.149999999999999" customHeight="1">
      <c r="A32" s="412" t="s">
        <v>286</v>
      </c>
      <c r="B32" s="412"/>
      <c r="C32" s="412"/>
      <c r="D32" s="413"/>
      <c r="E32" s="414"/>
      <c r="F32" s="413">
        <v>26583</v>
      </c>
      <c r="G32" s="414"/>
      <c r="H32" s="413">
        <v>30344</v>
      </c>
      <c r="I32" s="414"/>
      <c r="J32" s="403">
        <f>штатка!J36</f>
        <v>31290.513333333336</v>
      </c>
      <c r="K32" s="404"/>
      <c r="L32" s="405">
        <f t="shared" si="0"/>
        <v>1.0311927673785044</v>
      </c>
      <c r="M32" s="406"/>
      <c r="N32" s="405">
        <f t="shared" si="1"/>
        <v>1.1770873615970108</v>
      </c>
      <c r="O32" s="406"/>
    </row>
    <row r="33" spans="1:22" ht="20.149999999999999" customHeight="1">
      <c r="A33" s="412" t="s">
        <v>262</v>
      </c>
      <c r="B33" s="412"/>
      <c r="C33" s="412"/>
      <c r="D33" s="413"/>
      <c r="E33" s="414"/>
      <c r="F33" s="413">
        <v>9436</v>
      </c>
      <c r="G33" s="414"/>
      <c r="H33" s="413">
        <v>10249</v>
      </c>
      <c r="I33" s="414"/>
      <c r="J33" s="403">
        <f>штатка!J37</f>
        <v>10979.793584379358</v>
      </c>
      <c r="K33" s="404"/>
      <c r="L33" s="405">
        <f t="shared" si="0"/>
        <v>1.0713038915386242</v>
      </c>
      <c r="M33" s="406"/>
      <c r="N33" s="405">
        <f t="shared" si="1"/>
        <v>1.1636067808795421</v>
      </c>
      <c r="O33" s="406"/>
    </row>
    <row r="34" spans="1:22" ht="10.5" customHeight="1">
      <c r="A34" s="53"/>
      <c r="B34" s="53"/>
      <c r="C34" s="53"/>
      <c r="D34" s="54"/>
      <c r="E34" s="54"/>
      <c r="F34" s="54"/>
      <c r="G34" s="252"/>
      <c r="H34" s="252"/>
      <c r="I34" s="252"/>
      <c r="J34" s="252"/>
      <c r="K34" s="252"/>
      <c r="L34" s="252"/>
      <c r="M34" s="252"/>
      <c r="N34" s="252"/>
      <c r="O34" s="252"/>
    </row>
    <row r="35" spans="1:22" ht="43.5" customHeight="1">
      <c r="A35" s="422" t="s">
        <v>507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</row>
    <row r="36" spans="1:22" ht="15.75" customHeight="1">
      <c r="A36" s="423"/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</row>
    <row r="37" spans="1:22" ht="22" customHeight="1">
      <c r="A37" s="425" t="s">
        <v>311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</row>
    <row r="38" spans="1:22" ht="10.5" customHeight="1">
      <c r="A38" s="1"/>
      <c r="B38" s="112"/>
      <c r="C38" s="1"/>
      <c r="D38" s="1"/>
      <c r="E38" s="1"/>
      <c r="F38" s="1"/>
    </row>
    <row r="39" spans="1:22" ht="60" customHeight="1">
      <c r="A39" s="113" t="s">
        <v>143</v>
      </c>
      <c r="B39" s="420" t="s">
        <v>312</v>
      </c>
      <c r="C39" s="421"/>
      <c r="D39" s="421"/>
      <c r="E39" s="421"/>
      <c r="F39" s="367" t="s">
        <v>89</v>
      </c>
      <c r="G39" s="367"/>
      <c r="H39" s="367"/>
      <c r="I39" s="367"/>
      <c r="J39" s="367"/>
      <c r="K39" s="367"/>
      <c r="L39" s="367"/>
      <c r="M39" s="367"/>
      <c r="N39" s="367"/>
      <c r="O39" s="367"/>
    </row>
    <row r="40" spans="1:22" ht="18" customHeight="1">
      <c r="A40" s="113">
        <v>1</v>
      </c>
      <c r="B40" s="420">
        <v>2</v>
      </c>
      <c r="C40" s="421"/>
      <c r="D40" s="421"/>
      <c r="E40" s="421"/>
      <c r="F40" s="367">
        <v>3</v>
      </c>
      <c r="G40" s="367"/>
      <c r="H40" s="367"/>
      <c r="I40" s="367"/>
      <c r="J40" s="367"/>
      <c r="K40" s="367"/>
      <c r="L40" s="367"/>
      <c r="M40" s="367"/>
      <c r="N40" s="367"/>
      <c r="O40" s="367"/>
    </row>
    <row r="41" spans="1:22" s="1" customFormat="1" ht="20.149999999999999" customHeight="1">
      <c r="A41" s="11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22" s="1" customFormat="1" ht="22" customHeight="1">
      <c r="A42" s="427" t="s">
        <v>246</v>
      </c>
      <c r="B42" s="427"/>
      <c r="C42" s="427"/>
      <c r="D42" s="427"/>
      <c r="E42" s="427"/>
      <c r="F42" s="427"/>
      <c r="G42" s="427"/>
      <c r="H42" s="427"/>
      <c r="I42" s="427"/>
      <c r="J42" s="427"/>
    </row>
    <row r="43" spans="1:22" s="1" customFormat="1" ht="20.149999999999999" customHeight="1">
      <c r="A43" s="41"/>
      <c r="B43" s="112"/>
    </row>
    <row r="44" spans="1:22" s="1" customFormat="1" ht="64" customHeight="1">
      <c r="A44" s="370" t="s">
        <v>263</v>
      </c>
      <c r="B44" s="370" t="s">
        <v>313</v>
      </c>
      <c r="C44" s="370"/>
      <c r="D44" s="426" t="s">
        <v>559</v>
      </c>
      <c r="E44" s="426"/>
      <c r="F44" s="426"/>
      <c r="G44" s="428" t="s">
        <v>557</v>
      </c>
      <c r="H44" s="429"/>
      <c r="I44" s="430"/>
      <c r="J44" s="428" t="s">
        <v>558</v>
      </c>
      <c r="K44" s="429"/>
      <c r="L44" s="430"/>
      <c r="M44" s="426" t="s">
        <v>556</v>
      </c>
      <c r="N44" s="426"/>
      <c r="O44" s="426"/>
    </row>
    <row r="45" spans="1:22" s="1" customFormat="1" ht="144">
      <c r="A45" s="370"/>
      <c r="B45" s="4" t="s">
        <v>75</v>
      </c>
      <c r="C45" s="4" t="s">
        <v>76</v>
      </c>
      <c r="D45" s="4" t="s">
        <v>314</v>
      </c>
      <c r="E45" s="4" t="s">
        <v>315</v>
      </c>
      <c r="F45" s="4" t="s">
        <v>316</v>
      </c>
      <c r="G45" s="181" t="s">
        <v>314</v>
      </c>
      <c r="H45" s="181" t="s">
        <v>315</v>
      </c>
      <c r="I45" s="181" t="s">
        <v>316</v>
      </c>
      <c r="J45" s="181" t="s">
        <v>314</v>
      </c>
      <c r="K45" s="181" t="s">
        <v>315</v>
      </c>
      <c r="L45" s="181" t="s">
        <v>316</v>
      </c>
      <c r="M45" s="4" t="s">
        <v>314</v>
      </c>
      <c r="N45" s="4" t="s">
        <v>315</v>
      </c>
      <c r="O45" s="4" t="s">
        <v>316</v>
      </c>
      <c r="V45" s="1" t="s">
        <v>527</v>
      </c>
    </row>
    <row r="46" spans="1:22" s="1" customFormat="1" ht="18" customHeight="1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181">
        <v>7</v>
      </c>
      <c r="H46" s="248">
        <v>8</v>
      </c>
      <c r="I46" s="248">
        <v>9</v>
      </c>
      <c r="J46" s="248">
        <v>10</v>
      </c>
      <c r="K46" s="248">
        <v>11</v>
      </c>
      <c r="L46" s="248">
        <v>12</v>
      </c>
      <c r="M46" s="3">
        <v>13</v>
      </c>
      <c r="N46" s="3">
        <v>14</v>
      </c>
      <c r="O46" s="3">
        <v>15</v>
      </c>
    </row>
    <row r="47" spans="1:22" ht="36" customHeight="1">
      <c r="A47" s="20" t="s">
        <v>406</v>
      </c>
      <c r="B47" s="176">
        <f>D47/$D$51*100</f>
        <v>51.028268794277466</v>
      </c>
      <c r="C47" s="141">
        <f>M47/$M$51*100</f>
        <v>36.310625979662149</v>
      </c>
      <c r="D47" s="140">
        <v>14838</v>
      </c>
      <c r="E47" s="140">
        <v>12</v>
      </c>
      <c r="F47" s="140">
        <v>1236500</v>
      </c>
      <c r="G47" s="140">
        <v>34340</v>
      </c>
      <c r="H47" s="140">
        <v>12</v>
      </c>
      <c r="I47" s="140">
        <v>2861667</v>
      </c>
      <c r="J47" s="140">
        <v>4184</v>
      </c>
      <c r="K47" s="140">
        <v>3</v>
      </c>
      <c r="L47" s="140">
        <v>1394666.6666666667</v>
      </c>
      <c r="M47" s="140">
        <f>41700-'I. Фін результат'!J30</f>
        <v>12283</v>
      </c>
      <c r="N47" s="140">
        <v>4</v>
      </c>
      <c r="O47" s="140">
        <f>ROUND(M47/N47*1000,0)</f>
        <v>3070750</v>
      </c>
      <c r="P47" s="1"/>
      <c r="Q47" s="1"/>
      <c r="R47" s="1"/>
    </row>
    <row r="48" spans="1:22" ht="36" customHeight="1">
      <c r="A48" s="20" t="s">
        <v>405</v>
      </c>
      <c r="B48" s="176">
        <f>D48/$D$51*100</f>
        <v>5.1516610495907562</v>
      </c>
      <c r="C48" s="141">
        <f>M48/$M$51*100</f>
        <v>10.346592113393919</v>
      </c>
      <c r="D48" s="140">
        <v>1498</v>
      </c>
      <c r="E48" s="140">
        <v>610</v>
      </c>
      <c r="F48" s="140">
        <v>2456</v>
      </c>
      <c r="G48" s="140">
        <v>1800</v>
      </c>
      <c r="H48" s="140">
        <v>600</v>
      </c>
      <c r="I48" s="140">
        <v>3000</v>
      </c>
      <c r="J48" s="140">
        <v>1816</v>
      </c>
      <c r="K48" s="140">
        <v>524</v>
      </c>
      <c r="L48" s="140">
        <v>3465.6488549618321</v>
      </c>
      <c r="M48" s="140">
        <v>3500</v>
      </c>
      <c r="N48" s="140">
        <v>600</v>
      </c>
      <c r="O48" s="140">
        <f>ROUND(M48/N48*1000,0)</f>
        <v>5833</v>
      </c>
      <c r="P48" s="1"/>
      <c r="Q48" s="1"/>
      <c r="R48" s="1"/>
    </row>
    <row r="49" spans="1:18" ht="36" customHeight="1">
      <c r="A49" s="20" t="s">
        <v>512</v>
      </c>
      <c r="B49" s="176">
        <f>D49/$D$51*100</f>
        <v>36.990164385446036</v>
      </c>
      <c r="C49" s="141">
        <f>M49/$M$51*100</f>
        <v>47.423880860864053</v>
      </c>
      <c r="D49" s="140">
        <v>10756</v>
      </c>
      <c r="E49" s="140">
        <v>7531</v>
      </c>
      <c r="F49" s="140">
        <v>1428</v>
      </c>
      <c r="G49" s="140">
        <v>15333.985000000001</v>
      </c>
      <c r="H49" s="140">
        <v>6378</v>
      </c>
      <c r="I49" s="140">
        <v>2404</v>
      </c>
      <c r="J49" s="140">
        <v>11767</v>
      </c>
      <c r="K49" s="140">
        <v>13058</v>
      </c>
      <c r="L49" s="140">
        <v>901.13340480931231</v>
      </c>
      <c r="M49" s="140">
        <f>J49/9*12+J49*3%</f>
        <v>16042.343333333332</v>
      </c>
      <c r="N49" s="140">
        <f>K49/9*12</f>
        <v>17410.666666666668</v>
      </c>
      <c r="O49" s="140">
        <f>ROUND(M49/N49*1000,0)</f>
        <v>921</v>
      </c>
      <c r="P49" s="1"/>
      <c r="Q49" s="1"/>
      <c r="R49" s="1"/>
    </row>
    <row r="50" spans="1:18" ht="36" customHeight="1">
      <c r="A50" s="20" t="s">
        <v>555</v>
      </c>
      <c r="B50" s="176">
        <f>D50/$D$51*100</f>
        <v>6.829905770685742</v>
      </c>
      <c r="C50" s="141">
        <f>M50/$M$51*100</f>
        <v>5.9189010460798785</v>
      </c>
      <c r="D50" s="140">
        <v>1986</v>
      </c>
      <c r="E50" s="140">
        <v>7886</v>
      </c>
      <c r="F50" s="140">
        <v>252</v>
      </c>
      <c r="G50" s="140">
        <v>1232</v>
      </c>
      <c r="H50" s="140">
        <v>4200</v>
      </c>
      <c r="I50" s="140">
        <v>287</v>
      </c>
      <c r="J50" s="140">
        <v>1437</v>
      </c>
      <c r="K50" s="140">
        <v>5651</v>
      </c>
      <c r="L50" s="140">
        <v>254.29127588037514</v>
      </c>
      <c r="M50" s="140">
        <f>J50/9*12+J50*6%</f>
        <v>2002.22</v>
      </c>
      <c r="N50" s="140">
        <f>K50/9*12</f>
        <v>7534.666666666667</v>
      </c>
      <c r="O50" s="140">
        <f>ROUND(M50/N50*1000,0)</f>
        <v>266</v>
      </c>
      <c r="P50" s="1"/>
      <c r="R50" s="1"/>
    </row>
    <row r="51" spans="1:18" ht="20.149999999999999" customHeight="1">
      <c r="A51" s="5" t="s">
        <v>58</v>
      </c>
      <c r="B51" s="4">
        <v>100</v>
      </c>
      <c r="C51" s="4">
        <v>100</v>
      </c>
      <c r="D51" s="140">
        <f>SUM(D47:D50)</f>
        <v>29078</v>
      </c>
      <c r="E51" s="140"/>
      <c r="F51" s="140"/>
      <c r="G51" s="140">
        <v>52705.985000000001</v>
      </c>
      <c r="H51" s="140"/>
      <c r="I51" s="140"/>
      <c r="J51" s="140">
        <v>19204</v>
      </c>
      <c r="K51" s="140"/>
      <c r="L51" s="140"/>
      <c r="M51" s="140">
        <f>SUM(M47:M50)</f>
        <v>33827.563333333332</v>
      </c>
      <c r="N51" s="140"/>
      <c r="O51" s="140"/>
      <c r="P51" s="267">
        <f>'I. Фін результат'!N119</f>
        <v>3.4262275554579856E-2</v>
      </c>
    </row>
    <row r="52" spans="1:18" s="1" customFormat="1" ht="20.149999999999999" customHeight="1">
      <c r="A52" s="14"/>
      <c r="B52" s="115"/>
      <c r="C52" s="115"/>
      <c r="D52" s="115"/>
      <c r="E52" s="115"/>
      <c r="F52" s="9"/>
      <c r="G52" s="9"/>
      <c r="H52" s="9"/>
      <c r="I52" s="2"/>
      <c r="J52" s="2"/>
      <c r="K52" s="2"/>
      <c r="L52" s="2"/>
      <c r="M52" s="153">
        <f>'I. Фін результат'!J8</f>
        <v>33827.563333333332</v>
      </c>
      <c r="N52" s="116"/>
      <c r="O52" s="2"/>
    </row>
    <row r="53" spans="1:18" s="1" customFormat="1" ht="22" customHeight="1">
      <c r="A53" s="425" t="s">
        <v>77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</row>
    <row r="54" spans="1:18" s="1" customFormat="1" ht="20.149999999999999" customHeight="1">
      <c r="A54" s="41"/>
      <c r="B54" s="112"/>
    </row>
    <row r="55" spans="1:18" s="1" customFormat="1" ht="64" customHeight="1">
      <c r="A55" s="4" t="s">
        <v>134</v>
      </c>
      <c r="B55" s="370" t="s">
        <v>74</v>
      </c>
      <c r="C55" s="370"/>
      <c r="D55" s="370" t="s">
        <v>70</v>
      </c>
      <c r="E55" s="370"/>
      <c r="F55" s="370" t="s">
        <v>71</v>
      </c>
      <c r="G55" s="370"/>
      <c r="H55" s="388" t="s">
        <v>317</v>
      </c>
      <c r="I55" s="389"/>
      <c r="J55" s="390"/>
      <c r="K55" s="388" t="s">
        <v>90</v>
      </c>
      <c r="L55" s="390"/>
      <c r="M55" s="388" t="s">
        <v>35</v>
      </c>
      <c r="N55" s="389"/>
      <c r="O55" s="390"/>
    </row>
    <row r="56" spans="1:18" s="1" customFormat="1" ht="18" customHeight="1">
      <c r="A56" s="3">
        <v>1</v>
      </c>
      <c r="B56" s="367">
        <v>2</v>
      </c>
      <c r="C56" s="367"/>
      <c r="D56" s="367">
        <v>3</v>
      </c>
      <c r="E56" s="367"/>
      <c r="F56" s="444">
        <v>4</v>
      </c>
      <c r="G56" s="444"/>
      <c r="H56" s="420">
        <v>5</v>
      </c>
      <c r="I56" s="421"/>
      <c r="J56" s="443"/>
      <c r="K56" s="367">
        <v>6</v>
      </c>
      <c r="L56" s="367"/>
      <c r="M56" s="420">
        <v>7</v>
      </c>
      <c r="N56" s="421"/>
      <c r="O56" s="443"/>
    </row>
    <row r="57" spans="1:18" s="1" customFormat="1" ht="20.149999999999999" customHeight="1">
      <c r="A57" s="20"/>
      <c r="B57" s="426"/>
      <c r="C57" s="426"/>
      <c r="D57" s="426"/>
      <c r="E57" s="426"/>
      <c r="F57" s="426"/>
      <c r="G57" s="426"/>
      <c r="H57" s="433"/>
      <c r="I57" s="434"/>
      <c r="J57" s="435"/>
      <c r="K57" s="433"/>
      <c r="L57" s="435"/>
      <c r="M57" s="426"/>
      <c r="N57" s="426"/>
      <c r="O57" s="426"/>
    </row>
    <row r="58" spans="1:18" s="1" customFormat="1" ht="20.149999999999999" customHeight="1">
      <c r="A58" s="5" t="s">
        <v>58</v>
      </c>
      <c r="B58" s="370" t="s">
        <v>36</v>
      </c>
      <c r="C58" s="370"/>
      <c r="D58" s="370" t="s">
        <v>36</v>
      </c>
      <c r="E58" s="370"/>
      <c r="F58" s="370" t="s">
        <v>36</v>
      </c>
      <c r="G58" s="370"/>
      <c r="H58" s="433"/>
      <c r="I58" s="434"/>
      <c r="J58" s="435"/>
      <c r="K58" s="388">
        <f>SUM(K57:L57)</f>
        <v>0</v>
      </c>
      <c r="L58" s="390"/>
      <c r="M58" s="426"/>
      <c r="N58" s="426"/>
      <c r="O58" s="426"/>
    </row>
    <row r="59" spans="1:18" s="1" customFormat="1" ht="20.149999999999999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</row>
    <row r="60" spans="1:18" s="1" customFormat="1" ht="22" customHeight="1">
      <c r="A60" s="425" t="s">
        <v>78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</row>
    <row r="61" spans="1:18" s="1" customFormat="1" ht="20.149999999999999" customHeight="1">
      <c r="A61" s="2"/>
      <c r="B61" s="117"/>
      <c r="C61" s="2"/>
      <c r="D61" s="2"/>
      <c r="E61" s="2"/>
      <c r="F61" s="2"/>
      <c r="G61" s="2"/>
      <c r="H61" s="2"/>
      <c r="I61" s="16"/>
    </row>
    <row r="62" spans="1:18" s="1" customFormat="1" ht="64" customHeight="1">
      <c r="A62" s="426" t="s">
        <v>69</v>
      </c>
      <c r="B62" s="426"/>
      <c r="C62" s="426"/>
      <c r="D62" s="426" t="s">
        <v>91</v>
      </c>
      <c r="E62" s="426"/>
      <c r="F62" s="426"/>
      <c r="G62" s="426" t="s">
        <v>342</v>
      </c>
      <c r="H62" s="426"/>
      <c r="I62" s="426"/>
      <c r="J62" s="433" t="s">
        <v>336</v>
      </c>
      <c r="K62" s="434"/>
      <c r="L62" s="435"/>
      <c r="M62" s="426" t="s">
        <v>92</v>
      </c>
      <c r="N62" s="426"/>
      <c r="O62" s="426"/>
    </row>
    <row r="63" spans="1:18" s="1" customFormat="1" ht="18" customHeight="1">
      <c r="A63" s="426">
        <v>1</v>
      </c>
      <c r="B63" s="426"/>
      <c r="C63" s="426"/>
      <c r="D63" s="426">
        <v>2</v>
      </c>
      <c r="E63" s="426"/>
      <c r="F63" s="426"/>
      <c r="G63" s="426">
        <v>3</v>
      </c>
      <c r="H63" s="426"/>
      <c r="I63" s="426"/>
      <c r="J63" s="439">
        <v>4</v>
      </c>
      <c r="K63" s="440"/>
      <c r="L63" s="441"/>
      <c r="M63" s="442">
        <v>5</v>
      </c>
      <c r="N63" s="442"/>
      <c r="O63" s="442"/>
    </row>
    <row r="64" spans="1:18" s="1" customFormat="1" ht="20.149999999999999" customHeight="1">
      <c r="A64" s="432" t="s">
        <v>318</v>
      </c>
      <c r="B64" s="432"/>
      <c r="C64" s="432"/>
      <c r="D64" s="431"/>
      <c r="E64" s="431"/>
      <c r="F64" s="431"/>
      <c r="G64" s="431"/>
      <c r="H64" s="431"/>
      <c r="I64" s="431"/>
      <c r="J64" s="436"/>
      <c r="K64" s="437"/>
      <c r="L64" s="438"/>
      <c r="M64" s="431"/>
      <c r="N64" s="431"/>
      <c r="O64" s="431"/>
    </row>
    <row r="65" spans="1:15" s="1" customFormat="1" ht="20.149999999999999" customHeight="1">
      <c r="A65" s="432" t="s">
        <v>113</v>
      </c>
      <c r="B65" s="432"/>
      <c r="C65" s="432"/>
      <c r="D65" s="431"/>
      <c r="E65" s="431"/>
      <c r="F65" s="431"/>
      <c r="G65" s="431"/>
      <c r="H65" s="431"/>
      <c r="I65" s="431"/>
      <c r="J65" s="436"/>
      <c r="K65" s="437"/>
      <c r="L65" s="438"/>
      <c r="M65" s="431"/>
      <c r="N65" s="431"/>
      <c r="O65" s="431"/>
    </row>
    <row r="66" spans="1:15" s="1" customFormat="1" ht="20.149999999999999" customHeight="1">
      <c r="A66" s="432"/>
      <c r="B66" s="432"/>
      <c r="C66" s="432"/>
      <c r="D66" s="436"/>
      <c r="E66" s="437"/>
      <c r="F66" s="438"/>
      <c r="G66" s="436"/>
      <c r="H66" s="437"/>
      <c r="I66" s="438"/>
      <c r="J66" s="436"/>
      <c r="K66" s="437"/>
      <c r="L66" s="438"/>
      <c r="M66" s="436"/>
      <c r="N66" s="437"/>
      <c r="O66" s="438"/>
    </row>
    <row r="67" spans="1:15" s="1" customFormat="1" ht="20.149999999999999" customHeight="1">
      <c r="A67" s="432" t="s">
        <v>319</v>
      </c>
      <c r="B67" s="432"/>
      <c r="C67" s="432"/>
      <c r="D67" s="431"/>
      <c r="E67" s="431"/>
      <c r="F67" s="431"/>
      <c r="G67" s="431"/>
      <c r="H67" s="431"/>
      <c r="I67" s="431"/>
      <c r="J67" s="436"/>
      <c r="K67" s="437"/>
      <c r="L67" s="438"/>
      <c r="M67" s="431"/>
      <c r="N67" s="431"/>
      <c r="O67" s="431"/>
    </row>
    <row r="68" spans="1:15" s="1" customFormat="1" ht="20.149999999999999" customHeight="1">
      <c r="A68" s="432" t="s">
        <v>114</v>
      </c>
      <c r="B68" s="432"/>
      <c r="C68" s="432"/>
      <c r="D68" s="431"/>
      <c r="E68" s="431"/>
      <c r="F68" s="431"/>
      <c r="G68" s="431"/>
      <c r="H68" s="431"/>
      <c r="I68" s="431"/>
      <c r="J68" s="436"/>
      <c r="K68" s="437"/>
      <c r="L68" s="438"/>
      <c r="M68" s="431"/>
      <c r="N68" s="431"/>
      <c r="O68" s="431"/>
    </row>
    <row r="69" spans="1:15" s="1" customFormat="1" ht="20.149999999999999" customHeight="1">
      <c r="A69" s="432"/>
      <c r="B69" s="432"/>
      <c r="C69" s="432"/>
      <c r="D69" s="436"/>
      <c r="E69" s="437"/>
      <c r="F69" s="438"/>
      <c r="G69" s="436"/>
      <c r="H69" s="437"/>
      <c r="I69" s="438"/>
      <c r="J69" s="436"/>
      <c r="K69" s="437"/>
      <c r="L69" s="438"/>
      <c r="M69" s="436"/>
      <c r="N69" s="437"/>
      <c r="O69" s="438"/>
    </row>
    <row r="70" spans="1:15" s="1" customFormat="1" ht="20.149999999999999" customHeight="1">
      <c r="A70" s="432" t="s">
        <v>320</v>
      </c>
      <c r="B70" s="432"/>
      <c r="C70" s="432"/>
      <c r="D70" s="431"/>
      <c r="E70" s="431"/>
      <c r="F70" s="431"/>
      <c r="G70" s="431"/>
      <c r="H70" s="431"/>
      <c r="I70" s="431"/>
      <c r="J70" s="436"/>
      <c r="K70" s="437"/>
      <c r="L70" s="438"/>
      <c r="M70" s="431"/>
      <c r="N70" s="431"/>
      <c r="O70" s="431"/>
    </row>
    <row r="71" spans="1:15" s="1" customFormat="1" ht="20.149999999999999" customHeight="1">
      <c r="A71" s="432" t="s">
        <v>113</v>
      </c>
      <c r="B71" s="432"/>
      <c r="C71" s="432"/>
      <c r="D71" s="431"/>
      <c r="E71" s="431"/>
      <c r="F71" s="431"/>
      <c r="G71" s="431"/>
      <c r="H71" s="431"/>
      <c r="I71" s="431"/>
      <c r="J71" s="436"/>
      <c r="K71" s="437"/>
      <c r="L71" s="438"/>
      <c r="M71" s="431"/>
      <c r="N71" s="431"/>
      <c r="O71" s="431"/>
    </row>
    <row r="72" spans="1:15" s="1" customFormat="1" ht="20.149999999999999" customHeight="1">
      <c r="A72" s="445"/>
      <c r="B72" s="446"/>
      <c r="C72" s="447"/>
      <c r="D72" s="431"/>
      <c r="E72" s="431"/>
      <c r="F72" s="431"/>
      <c r="G72" s="431"/>
      <c r="H72" s="431"/>
      <c r="I72" s="431"/>
      <c r="J72" s="436"/>
      <c r="K72" s="437"/>
      <c r="L72" s="438"/>
      <c r="M72" s="431"/>
      <c r="N72" s="431"/>
      <c r="O72" s="431"/>
    </row>
    <row r="73" spans="1:15" s="1" customFormat="1" ht="20.149999999999999" customHeight="1">
      <c r="A73" s="445" t="s">
        <v>58</v>
      </c>
      <c r="B73" s="446"/>
      <c r="C73" s="447"/>
      <c r="D73" s="448"/>
      <c r="E73" s="448"/>
      <c r="F73" s="448"/>
      <c r="G73" s="448"/>
      <c r="H73" s="448"/>
      <c r="I73" s="448"/>
      <c r="J73" s="436"/>
      <c r="K73" s="437"/>
      <c r="L73" s="438"/>
      <c r="M73" s="431"/>
      <c r="N73" s="431"/>
      <c r="O73" s="431"/>
    </row>
    <row r="74" spans="1:15">
      <c r="C74" s="56"/>
      <c r="D74" s="56"/>
      <c r="E74" s="56"/>
    </row>
    <row r="75" spans="1:15">
      <c r="C75" s="56"/>
      <c r="D75" s="56"/>
      <c r="E75" s="56"/>
    </row>
    <row r="76" spans="1:15">
      <c r="C76" s="56"/>
      <c r="D76" s="56"/>
      <c r="E76" s="56"/>
    </row>
    <row r="77" spans="1:15">
      <c r="C77" s="56"/>
      <c r="D77" s="56"/>
      <c r="E77" s="56"/>
    </row>
    <row r="78" spans="1:15">
      <c r="C78" s="56"/>
      <c r="D78" s="56"/>
      <c r="E78" s="56"/>
    </row>
    <row r="79" spans="1:15">
      <c r="C79" s="56"/>
      <c r="D79" s="56"/>
      <c r="E79" s="56"/>
    </row>
    <row r="80" spans="1:15">
      <c r="C80" s="56"/>
      <c r="D80" s="56"/>
      <c r="E80" s="56"/>
    </row>
    <row r="81" spans="3:5">
      <c r="C81" s="56"/>
      <c r="D81" s="56"/>
      <c r="E81" s="56"/>
    </row>
    <row r="82" spans="3:5">
      <c r="C82" s="56"/>
      <c r="D82" s="56"/>
      <c r="E82" s="56"/>
    </row>
    <row r="83" spans="3:5">
      <c r="C83" s="56"/>
      <c r="D83" s="56"/>
      <c r="E83" s="56"/>
    </row>
    <row r="84" spans="3:5">
      <c r="C84" s="56"/>
      <c r="D84" s="56"/>
      <c r="E84" s="56"/>
    </row>
    <row r="85" spans="3:5">
      <c r="C85" s="56"/>
      <c r="D85" s="56"/>
      <c r="E85" s="56"/>
    </row>
    <row r="86" spans="3:5">
      <c r="C86" s="56"/>
      <c r="D86" s="56"/>
      <c r="E86" s="56"/>
    </row>
    <row r="87" spans="3:5">
      <c r="C87" s="56"/>
      <c r="D87" s="56"/>
      <c r="E87" s="56"/>
    </row>
  </sheetData>
  <sheetProtection insertColumns="0" insertRows="0"/>
  <mergeCells count="261">
    <mergeCell ref="A69:C69"/>
    <mergeCell ref="A66:C66"/>
    <mergeCell ref="A67:C67"/>
    <mergeCell ref="A68:C68"/>
    <mergeCell ref="B56:C56"/>
    <mergeCell ref="D56:E56"/>
    <mergeCell ref="D58:E58"/>
    <mergeCell ref="B57:C57"/>
    <mergeCell ref="D57:E57"/>
    <mergeCell ref="B58:C58"/>
    <mergeCell ref="D64:F64"/>
    <mergeCell ref="A64:C64"/>
    <mergeCell ref="A63:C63"/>
    <mergeCell ref="D62:F62"/>
    <mergeCell ref="A62:C62"/>
    <mergeCell ref="D63:F63"/>
    <mergeCell ref="A60:O60"/>
    <mergeCell ref="M66:O66"/>
    <mergeCell ref="M68:O68"/>
    <mergeCell ref="J69:L69"/>
    <mergeCell ref="G69:I69"/>
    <mergeCell ref="M69:O69"/>
    <mergeCell ref="G68:I68"/>
    <mergeCell ref="D66:F66"/>
    <mergeCell ref="M73:O73"/>
    <mergeCell ref="M71:O71"/>
    <mergeCell ref="J70:L70"/>
    <mergeCell ref="J73:L73"/>
    <mergeCell ref="J72:L72"/>
    <mergeCell ref="M72:O72"/>
    <mergeCell ref="J71:L71"/>
    <mergeCell ref="A73:C73"/>
    <mergeCell ref="G71:I71"/>
    <mergeCell ref="M70:O70"/>
    <mergeCell ref="D70:F70"/>
    <mergeCell ref="D72:F72"/>
    <mergeCell ref="G73:I73"/>
    <mergeCell ref="G72:I72"/>
    <mergeCell ref="A72:C72"/>
    <mergeCell ref="D73:F73"/>
    <mergeCell ref="A71:C71"/>
    <mergeCell ref="D71:F71"/>
    <mergeCell ref="A70:C70"/>
    <mergeCell ref="G70:I70"/>
    <mergeCell ref="G67:I67"/>
    <mergeCell ref="D67:F67"/>
    <mergeCell ref="G66:I66"/>
    <mergeCell ref="D68:F68"/>
    <mergeCell ref="D69:F69"/>
    <mergeCell ref="J67:L67"/>
    <mergeCell ref="J68:L68"/>
    <mergeCell ref="M67:O67"/>
    <mergeCell ref="J66:L66"/>
    <mergeCell ref="A53:O53"/>
    <mergeCell ref="F55:G55"/>
    <mergeCell ref="M55:O55"/>
    <mergeCell ref="M58:O58"/>
    <mergeCell ref="K58:L58"/>
    <mergeCell ref="H58:J58"/>
    <mergeCell ref="M56:O56"/>
    <mergeCell ref="M57:O57"/>
    <mergeCell ref="H57:J57"/>
    <mergeCell ref="K57:L57"/>
    <mergeCell ref="H55:J55"/>
    <mergeCell ref="K55:L55"/>
    <mergeCell ref="K56:L56"/>
    <mergeCell ref="H56:J56"/>
    <mergeCell ref="F56:G56"/>
    <mergeCell ref="D55:E55"/>
    <mergeCell ref="M44:O44"/>
    <mergeCell ref="A42:J42"/>
    <mergeCell ref="D44:F44"/>
    <mergeCell ref="A44:A45"/>
    <mergeCell ref="G44:I44"/>
    <mergeCell ref="B44:C44"/>
    <mergeCell ref="J44:L44"/>
    <mergeCell ref="G64:I64"/>
    <mergeCell ref="A65:C65"/>
    <mergeCell ref="D65:F65"/>
    <mergeCell ref="G63:I63"/>
    <mergeCell ref="M62:O62"/>
    <mergeCell ref="J62:L62"/>
    <mergeCell ref="G62:I62"/>
    <mergeCell ref="J65:L65"/>
    <mergeCell ref="G65:I65"/>
    <mergeCell ref="M65:O65"/>
    <mergeCell ref="M64:O64"/>
    <mergeCell ref="J64:L64"/>
    <mergeCell ref="B55:C55"/>
    <mergeCell ref="J63:L63"/>
    <mergeCell ref="M63:O63"/>
    <mergeCell ref="F58:G58"/>
    <mergeCell ref="F57:G57"/>
    <mergeCell ref="F32:G32"/>
    <mergeCell ref="A33:C33"/>
    <mergeCell ref="A32:C32"/>
    <mergeCell ref="B39:E39"/>
    <mergeCell ref="L32:M32"/>
    <mergeCell ref="F39:O39"/>
    <mergeCell ref="J33:K33"/>
    <mergeCell ref="F40:O40"/>
    <mergeCell ref="H33:I33"/>
    <mergeCell ref="L33:M33"/>
    <mergeCell ref="F33:G33"/>
    <mergeCell ref="D33:E33"/>
    <mergeCell ref="D32:E32"/>
    <mergeCell ref="N33:O33"/>
    <mergeCell ref="N32:O32"/>
    <mergeCell ref="H32:I32"/>
    <mergeCell ref="J32:K32"/>
    <mergeCell ref="A35:O35"/>
    <mergeCell ref="A36:L36"/>
    <mergeCell ref="B40:E40"/>
    <mergeCell ref="A37:O37"/>
    <mergeCell ref="N28:O28"/>
    <mergeCell ref="L28:M28"/>
    <mergeCell ref="N29:O29"/>
    <mergeCell ref="J29:K29"/>
    <mergeCell ref="L29:M29"/>
    <mergeCell ref="N30:O30"/>
    <mergeCell ref="J28:K28"/>
    <mergeCell ref="L30:M30"/>
    <mergeCell ref="A31:C31"/>
    <mergeCell ref="D31:E31"/>
    <mergeCell ref="D28:E28"/>
    <mergeCell ref="A28:C28"/>
    <mergeCell ref="H29:I29"/>
    <mergeCell ref="A29:C29"/>
    <mergeCell ref="D29:E29"/>
    <mergeCell ref="F29:G29"/>
    <mergeCell ref="N31:O31"/>
    <mergeCell ref="L31:M31"/>
    <mergeCell ref="F31:G31"/>
    <mergeCell ref="J31:K31"/>
    <mergeCell ref="H31:I31"/>
    <mergeCell ref="A30:K30"/>
    <mergeCell ref="F28:G28"/>
    <mergeCell ref="H28:I28"/>
    <mergeCell ref="F21:G21"/>
    <mergeCell ref="A21:C21"/>
    <mergeCell ref="D24:E24"/>
    <mergeCell ref="A23:C23"/>
    <mergeCell ref="A24:C24"/>
    <mergeCell ref="D21:E21"/>
    <mergeCell ref="A22:K22"/>
    <mergeCell ref="A26:K26"/>
    <mergeCell ref="D23:E23"/>
    <mergeCell ref="F23:G23"/>
    <mergeCell ref="A25:C25"/>
    <mergeCell ref="D25:E25"/>
    <mergeCell ref="F25:G25"/>
    <mergeCell ref="H24:I24"/>
    <mergeCell ref="H21:I21"/>
    <mergeCell ref="N27:O27"/>
    <mergeCell ref="N26:O26"/>
    <mergeCell ref="L26:M26"/>
    <mergeCell ref="J23:K23"/>
    <mergeCell ref="N25:O25"/>
    <mergeCell ref="L27:M27"/>
    <mergeCell ref="J27:K27"/>
    <mergeCell ref="L24:M24"/>
    <mergeCell ref="A27:C27"/>
    <mergeCell ref="D27:E27"/>
    <mergeCell ref="F24:G24"/>
    <mergeCell ref="H27:I27"/>
    <mergeCell ref="F27:G27"/>
    <mergeCell ref="H25:I25"/>
    <mergeCell ref="H23:I23"/>
    <mergeCell ref="N21:O21"/>
    <mergeCell ref="J25:K25"/>
    <mergeCell ref="N22:O22"/>
    <mergeCell ref="L22:M22"/>
    <mergeCell ref="J21:K21"/>
    <mergeCell ref="L21:M21"/>
    <mergeCell ref="L25:M25"/>
    <mergeCell ref="N23:O23"/>
    <mergeCell ref="L23:M23"/>
    <mergeCell ref="N24:O24"/>
    <mergeCell ref="J24:K24"/>
    <mergeCell ref="A20:C20"/>
    <mergeCell ref="D20:E20"/>
    <mergeCell ref="F20:G20"/>
    <mergeCell ref="D19:E19"/>
    <mergeCell ref="A19:C19"/>
    <mergeCell ref="F19:G19"/>
    <mergeCell ref="J17:K17"/>
    <mergeCell ref="N20:O20"/>
    <mergeCell ref="N17:O17"/>
    <mergeCell ref="J20:K20"/>
    <mergeCell ref="A18:K18"/>
    <mergeCell ref="J19:K19"/>
    <mergeCell ref="H19:I19"/>
    <mergeCell ref="N19:O19"/>
    <mergeCell ref="N18:O18"/>
    <mergeCell ref="L19:M19"/>
    <mergeCell ref="L18:M18"/>
    <mergeCell ref="A17:C17"/>
    <mergeCell ref="L20:M20"/>
    <mergeCell ref="H20:I20"/>
    <mergeCell ref="F17:G17"/>
    <mergeCell ref="D17:E17"/>
    <mergeCell ref="L17:M17"/>
    <mergeCell ref="H17:I17"/>
    <mergeCell ref="A1:O1"/>
    <mergeCell ref="A2:O2"/>
    <mergeCell ref="A3:O3"/>
    <mergeCell ref="D9:E9"/>
    <mergeCell ref="F9:G9"/>
    <mergeCell ref="A7:O7"/>
    <mergeCell ref="A9:C9"/>
    <mergeCell ref="H15:I15"/>
    <mergeCell ref="L11:M11"/>
    <mergeCell ref="J12:K12"/>
    <mergeCell ref="L14:M14"/>
    <mergeCell ref="J15:K15"/>
    <mergeCell ref="A11:K11"/>
    <mergeCell ref="H10:I10"/>
    <mergeCell ref="J13:K13"/>
    <mergeCell ref="J10:K10"/>
    <mergeCell ref="F10:G10"/>
    <mergeCell ref="A12:C12"/>
    <mergeCell ref="F12:G12"/>
    <mergeCell ref="H12:I12"/>
    <mergeCell ref="A4:O4"/>
    <mergeCell ref="A5:O5"/>
    <mergeCell ref="J9:K9"/>
    <mergeCell ref="L15:M15"/>
    <mergeCell ref="N15:O15"/>
    <mergeCell ref="H16:I16"/>
    <mergeCell ref="L16:M16"/>
    <mergeCell ref="D12:E12"/>
    <mergeCell ref="H14:I14"/>
    <mergeCell ref="D14:E14"/>
    <mergeCell ref="F14:G14"/>
    <mergeCell ref="D13:E13"/>
    <mergeCell ref="N13:O13"/>
    <mergeCell ref="N14:O14"/>
    <mergeCell ref="A10:C10"/>
    <mergeCell ref="D10:E10"/>
    <mergeCell ref="N10:O10"/>
    <mergeCell ref="L10:M10"/>
    <mergeCell ref="L9:M9"/>
    <mergeCell ref="H9:I9"/>
    <mergeCell ref="N9:O9"/>
    <mergeCell ref="N11:O11"/>
    <mergeCell ref="A16:C16"/>
    <mergeCell ref="F16:G16"/>
    <mergeCell ref="N16:O16"/>
    <mergeCell ref="J16:K16"/>
    <mergeCell ref="F13:G13"/>
    <mergeCell ref="H13:I13"/>
    <mergeCell ref="D16:E16"/>
    <mergeCell ref="A14:C14"/>
    <mergeCell ref="A15:C15"/>
    <mergeCell ref="N12:O12"/>
    <mergeCell ref="L12:M12"/>
    <mergeCell ref="F15:G15"/>
    <mergeCell ref="A13:C13"/>
    <mergeCell ref="D15:E15"/>
    <mergeCell ref="L13:M13"/>
    <mergeCell ref="J14:K14"/>
  </mergeCells>
  <phoneticPr fontId="4" type="noConversion"/>
  <pageMargins left="0.78740157480314965" right="0.78740157480314965" top="1.1811023622047245" bottom="0.39370078740157483" header="0.27559055118110237" footer="0.15748031496062992"/>
  <pageSetup paperSize="9" scale="47" fitToHeight="2" orientation="landscape" horizontalDpi="1200" verticalDpi="1200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  <pageSetUpPr fitToPage="1"/>
  </sheetPr>
  <dimension ref="A1:AE72"/>
  <sheetViews>
    <sheetView view="pageBreakPreview" topLeftCell="C22" zoomScale="60" zoomScaleNormal="60" workbookViewId="0">
      <selection activeCell="T39" sqref="T39"/>
    </sheetView>
  </sheetViews>
  <sheetFormatPr defaultColWidth="9.1796875" defaultRowHeight="18"/>
  <cols>
    <col min="1" max="1" width="4.453125" style="1" customWidth="1"/>
    <col min="2" max="2" width="92.81640625" style="1" customWidth="1"/>
    <col min="3" max="4" width="11.26953125" style="1" customWidth="1"/>
    <col min="5" max="5" width="13.7265625" style="1" customWidth="1"/>
    <col min="6" max="6" width="11.26953125" style="1" customWidth="1"/>
    <col min="7" max="12" width="11" style="1" customWidth="1"/>
    <col min="13" max="13" width="23" style="1" customWidth="1"/>
    <col min="14" max="20" width="11" style="1" customWidth="1"/>
    <col min="21" max="25" width="11" style="178" customWidth="1"/>
    <col min="26" max="31" width="11" style="1" customWidth="1"/>
    <col min="32" max="16384" width="9.1796875" style="1"/>
  </cols>
  <sheetData>
    <row r="1" spans="1:3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14"/>
      <c r="R1" s="14"/>
      <c r="S1" s="14"/>
      <c r="T1" s="14"/>
      <c r="U1" s="177"/>
      <c r="AB1" s="450"/>
      <c r="AC1" s="451"/>
      <c r="AD1" s="451"/>
      <c r="AE1" s="451"/>
    </row>
    <row r="2" spans="1:31" ht="18.75" customHeight="1">
      <c r="B2" s="119" t="s">
        <v>247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79"/>
      <c r="V2" s="179"/>
      <c r="W2" s="179"/>
      <c r="X2" s="179"/>
      <c r="Y2" s="179"/>
      <c r="Z2" s="118"/>
      <c r="AA2" s="118"/>
      <c r="AB2" s="118"/>
      <c r="AC2" s="118"/>
      <c r="AD2" s="118"/>
      <c r="AE2" s="118"/>
    </row>
    <row r="3" spans="1:31">
      <c r="A3" s="120"/>
      <c r="B3" s="120"/>
      <c r="C3" s="120"/>
      <c r="D3" s="120"/>
      <c r="E3" s="120"/>
      <c r="F3" s="120"/>
      <c r="G3" s="120"/>
      <c r="H3" s="120"/>
      <c r="I3" s="120"/>
      <c r="J3" s="120"/>
      <c r="U3" s="1"/>
      <c r="V3" s="1"/>
      <c r="W3" s="1"/>
      <c r="X3" s="1"/>
      <c r="Y3" s="1"/>
    </row>
    <row r="4" spans="1:31" ht="18.75" customHeight="1">
      <c r="A4" s="382" t="s">
        <v>53</v>
      </c>
      <c r="B4" s="382" t="s">
        <v>202</v>
      </c>
      <c r="C4" s="370" t="s">
        <v>203</v>
      </c>
      <c r="D4" s="370" t="s">
        <v>332</v>
      </c>
      <c r="E4" s="370" t="s">
        <v>204</v>
      </c>
      <c r="F4" s="370" t="s">
        <v>291</v>
      </c>
      <c r="G4" s="370"/>
      <c r="H4" s="370"/>
      <c r="I4" s="370"/>
      <c r="J4" s="370"/>
      <c r="U4" s="1"/>
      <c r="V4" s="1"/>
      <c r="W4" s="1"/>
      <c r="X4" s="1"/>
      <c r="Y4" s="1"/>
    </row>
    <row r="5" spans="1:31" ht="71.25" customHeight="1">
      <c r="A5" s="382"/>
      <c r="B5" s="382"/>
      <c r="C5" s="370"/>
      <c r="D5" s="370"/>
      <c r="E5" s="370"/>
      <c r="F5" s="26" t="s">
        <v>205</v>
      </c>
      <c r="G5" s="26" t="s">
        <v>206</v>
      </c>
      <c r="H5" s="26" t="s">
        <v>41</v>
      </c>
      <c r="I5" s="26" t="s">
        <v>207</v>
      </c>
      <c r="J5" s="26" t="s">
        <v>208</v>
      </c>
      <c r="U5" s="1"/>
      <c r="V5" s="1"/>
      <c r="W5" s="1"/>
      <c r="X5" s="1"/>
      <c r="Y5" s="1"/>
    </row>
    <row r="6" spans="1:31" ht="18" customHeight="1">
      <c r="A6" s="229">
        <v>1</v>
      </c>
      <c r="B6" s="229">
        <v>2</v>
      </c>
      <c r="C6" s="229">
        <v>3</v>
      </c>
      <c r="D6" s="229">
        <v>4</v>
      </c>
      <c r="E6" s="229">
        <v>5</v>
      </c>
      <c r="F6" s="229">
        <v>6</v>
      </c>
      <c r="G6" s="229">
        <v>7</v>
      </c>
      <c r="H6" s="229">
        <v>8</v>
      </c>
      <c r="I6" s="229">
        <v>9</v>
      </c>
      <c r="J6" s="229">
        <v>10</v>
      </c>
      <c r="U6" s="1"/>
      <c r="V6" s="1"/>
      <c r="W6" s="1"/>
      <c r="X6" s="1"/>
      <c r="Y6" s="1"/>
    </row>
    <row r="7" spans="1:31" s="122" customFormat="1" ht="20.149999999999999" customHeight="1">
      <c r="A7" s="121">
        <v>1</v>
      </c>
      <c r="B7" s="121"/>
      <c r="C7" s="229"/>
      <c r="D7" s="229"/>
      <c r="E7" s="229">
        <f>SUM(F7,G7,H7,I7,J7)</f>
        <v>0</v>
      </c>
      <c r="F7" s="229"/>
      <c r="G7" s="229"/>
      <c r="H7" s="229"/>
      <c r="I7" s="229"/>
      <c r="J7" s="229"/>
    </row>
    <row r="8" spans="1:31" s="122" customFormat="1" ht="20.149999999999999" customHeight="1">
      <c r="A8" s="121">
        <v>2</v>
      </c>
      <c r="B8" s="121"/>
      <c r="C8" s="229"/>
      <c r="D8" s="229"/>
      <c r="E8" s="229">
        <f>SUM(F8,G8,H8,I8,J8)</f>
        <v>0</v>
      </c>
      <c r="F8" s="229"/>
      <c r="G8" s="229"/>
      <c r="H8" s="229"/>
      <c r="I8" s="229"/>
      <c r="J8" s="229"/>
    </row>
    <row r="9" spans="1:31" ht="20.149999999999999" customHeight="1">
      <c r="A9" s="229"/>
      <c r="B9" s="229"/>
      <c r="C9" s="229"/>
      <c r="D9" s="229"/>
      <c r="E9" s="229">
        <f>SUM(F9,G9,H9,I9,J9)</f>
        <v>0</v>
      </c>
      <c r="F9" s="229"/>
      <c r="G9" s="229"/>
      <c r="H9" s="229"/>
      <c r="I9" s="229"/>
      <c r="J9" s="229"/>
      <c r="U9" s="1"/>
      <c r="V9" s="1"/>
      <c r="W9" s="1"/>
      <c r="X9" s="1"/>
      <c r="Y9" s="1"/>
    </row>
    <row r="10" spans="1:31" ht="20.149999999999999" customHeight="1">
      <c r="A10" s="229"/>
      <c r="B10" s="229"/>
      <c r="C10" s="229"/>
      <c r="D10" s="229"/>
      <c r="E10" s="229">
        <f>SUM(F10,G10,H10,I10,J10)</f>
        <v>0</v>
      </c>
      <c r="F10" s="229"/>
      <c r="G10" s="229"/>
      <c r="H10" s="229"/>
      <c r="I10" s="229"/>
      <c r="J10" s="229"/>
      <c r="U10" s="1"/>
      <c r="V10" s="1"/>
      <c r="W10" s="1"/>
      <c r="X10" s="1"/>
      <c r="Y10" s="1"/>
    </row>
    <row r="11" spans="1:31" ht="20.149999999999999" customHeight="1">
      <c r="A11" s="455" t="s">
        <v>58</v>
      </c>
      <c r="B11" s="456"/>
      <c r="C11" s="229"/>
      <c r="D11" s="229"/>
      <c r="E11" s="229">
        <f>SUM(F11,G11,H11,I11,J11)</f>
        <v>0</v>
      </c>
      <c r="F11" s="229">
        <f>SUM(F7:F10)</f>
        <v>0</v>
      </c>
      <c r="G11" s="229">
        <f>SUM(G7:G10)</f>
        <v>0</v>
      </c>
      <c r="H11" s="229">
        <f>SUM(H7:H10)</f>
        <v>0</v>
      </c>
      <c r="I11" s="229">
        <f>SUM(I7:I10)</f>
        <v>0</v>
      </c>
      <c r="J11" s="229">
        <f>SUM(J7:J10)</f>
        <v>0</v>
      </c>
      <c r="U11" s="1"/>
      <c r="V11" s="1"/>
      <c r="W11" s="1"/>
      <c r="X11" s="1"/>
      <c r="Y11" s="1"/>
    </row>
    <row r="12" spans="1:31" ht="18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U12" s="1"/>
      <c r="V12" s="1"/>
      <c r="W12" s="1"/>
      <c r="X12" s="1"/>
      <c r="Y12" s="1"/>
    </row>
    <row r="13" spans="1:31" s="119" customFormat="1" ht="18.75" customHeight="1">
      <c r="A13" s="180"/>
      <c r="B13" s="180" t="s">
        <v>248</v>
      </c>
      <c r="C13" s="180"/>
      <c r="D13" s="180"/>
      <c r="E13" s="180"/>
      <c r="F13" s="180"/>
    </row>
    <row r="14" spans="1:31" s="119" customFormat="1" ht="18.75" customHeight="1">
      <c r="U14" s="180"/>
      <c r="V14" s="180"/>
      <c r="W14" s="180"/>
      <c r="X14" s="180"/>
      <c r="Y14" s="180"/>
    </row>
    <row r="15" spans="1:31" ht="18.75" customHeight="1">
      <c r="A15" s="382" t="s">
        <v>53</v>
      </c>
      <c r="B15" s="382" t="s">
        <v>209</v>
      </c>
      <c r="C15" s="365" t="s">
        <v>202</v>
      </c>
      <c r="D15" s="365" t="s">
        <v>332</v>
      </c>
      <c r="E15" s="365" t="s">
        <v>210</v>
      </c>
      <c r="F15" s="388" t="s">
        <v>211</v>
      </c>
      <c r="G15" s="389"/>
      <c r="H15" s="389"/>
      <c r="I15" s="389"/>
      <c r="J15" s="390"/>
      <c r="U15" s="1"/>
      <c r="V15" s="1"/>
      <c r="W15" s="1"/>
      <c r="X15" s="1"/>
      <c r="Y15" s="1"/>
    </row>
    <row r="16" spans="1:31" ht="18.75" customHeight="1">
      <c r="A16" s="382"/>
      <c r="B16" s="382"/>
      <c r="C16" s="449"/>
      <c r="D16" s="449"/>
      <c r="E16" s="449"/>
      <c r="F16" s="365" t="s">
        <v>212</v>
      </c>
      <c r="G16" s="388" t="s">
        <v>102</v>
      </c>
      <c r="H16" s="389"/>
      <c r="I16" s="389"/>
      <c r="J16" s="390"/>
      <c r="U16" s="1"/>
      <c r="V16" s="1"/>
      <c r="W16" s="1"/>
      <c r="X16" s="1"/>
      <c r="Y16" s="1"/>
    </row>
    <row r="17" spans="1:31" ht="52.5" customHeight="1">
      <c r="A17" s="382"/>
      <c r="B17" s="382"/>
      <c r="C17" s="366"/>
      <c r="D17" s="366"/>
      <c r="E17" s="366"/>
      <c r="F17" s="366"/>
      <c r="G17" s="26" t="s">
        <v>363</v>
      </c>
      <c r="H17" s="26" t="s">
        <v>355</v>
      </c>
      <c r="I17" s="26" t="s">
        <v>356</v>
      </c>
      <c r="J17" s="26" t="s">
        <v>83</v>
      </c>
      <c r="U17" s="1"/>
      <c r="V17" s="1"/>
      <c r="W17" s="1"/>
      <c r="X17" s="1"/>
      <c r="Y17" s="1"/>
    </row>
    <row r="18" spans="1:31" ht="18" customHeight="1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U18" s="1"/>
      <c r="V18" s="1"/>
      <c r="W18" s="1"/>
      <c r="X18" s="1"/>
      <c r="Y18" s="1"/>
    </row>
    <row r="19" spans="1:31" s="122" customFormat="1" ht="42.65" customHeight="1">
      <c r="A19" s="26">
        <v>1</v>
      </c>
      <c r="B19" s="26" t="s">
        <v>580</v>
      </c>
      <c r="C19" s="295" t="s">
        <v>579</v>
      </c>
      <c r="D19" s="26" t="s">
        <v>581</v>
      </c>
      <c r="E19" s="296">
        <v>44562</v>
      </c>
      <c r="F19" s="297">
        <f>'I. Фін результат'!J37</f>
        <v>216</v>
      </c>
      <c r="G19" s="297">
        <f>'I. Фін результат'!G37</f>
        <v>54</v>
      </c>
      <c r="H19" s="297">
        <f>'I. Фін результат'!H37</f>
        <v>108</v>
      </c>
      <c r="I19" s="297">
        <f>'I. Фін результат'!I37</f>
        <v>162</v>
      </c>
      <c r="J19" s="297">
        <f>'I. Фін результат'!J37</f>
        <v>216</v>
      </c>
    </row>
    <row r="20" spans="1:31" ht="20.149999999999999" customHeight="1">
      <c r="A20" s="26"/>
      <c r="B20" s="26"/>
      <c r="C20" s="294"/>
      <c r="D20" s="26"/>
      <c r="E20" s="26"/>
      <c r="F20" s="26"/>
      <c r="G20" s="26"/>
      <c r="H20" s="26"/>
      <c r="I20" s="26"/>
      <c r="J20" s="26"/>
      <c r="U20" s="1"/>
      <c r="V20" s="1"/>
      <c r="W20" s="1"/>
      <c r="X20" s="1"/>
      <c r="Y20" s="1"/>
    </row>
    <row r="21" spans="1:31" ht="20.149999999999999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U21" s="1"/>
      <c r="V21" s="1"/>
      <c r="W21" s="1"/>
      <c r="X21" s="1"/>
      <c r="Y21" s="1"/>
    </row>
    <row r="22" spans="1:31" ht="20.149999999999999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U22" s="1"/>
      <c r="V22" s="1"/>
      <c r="W22" s="1"/>
      <c r="X22" s="1"/>
      <c r="Y22" s="1"/>
    </row>
    <row r="23" spans="1:31" ht="20.149999999999999" customHeight="1">
      <c r="A23" s="388" t="s">
        <v>58</v>
      </c>
      <c r="B23" s="390"/>
      <c r="C23" s="26"/>
      <c r="D23" s="26"/>
      <c r="E23" s="26"/>
      <c r="F23" s="26">
        <f>SUM(F19:F22)</f>
        <v>216</v>
      </c>
      <c r="G23" s="26">
        <f>SUM(G19:G22)</f>
        <v>54</v>
      </c>
      <c r="H23" s="26">
        <f>SUM(H19:H22)</f>
        <v>108</v>
      </c>
      <c r="I23" s="26">
        <f>SUM(I19:I22)</f>
        <v>162</v>
      </c>
      <c r="J23" s="26">
        <f>SUM(J19:J22)</f>
        <v>216</v>
      </c>
      <c r="U23" s="1"/>
      <c r="V23" s="1"/>
      <c r="W23" s="1"/>
      <c r="X23" s="1"/>
      <c r="Y23" s="1"/>
    </row>
    <row r="24" spans="1:3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14"/>
      <c r="R24" s="14"/>
      <c r="S24" s="14"/>
      <c r="T24" s="14"/>
      <c r="U24" s="177"/>
      <c r="AE24" s="14"/>
    </row>
    <row r="25" spans="1:31">
      <c r="A25" s="10"/>
      <c r="B25" s="12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4"/>
      <c r="R25" s="14"/>
      <c r="S25" s="14"/>
      <c r="T25" s="14"/>
      <c r="U25" s="177"/>
      <c r="AE25" s="14"/>
    </row>
    <row r="26" spans="1:31" s="119" customFormat="1" ht="18.75" customHeight="1">
      <c r="B26" s="119" t="s">
        <v>225</v>
      </c>
      <c r="U26" s="180"/>
      <c r="V26" s="180"/>
      <c r="W26" s="180"/>
      <c r="X26" s="180"/>
      <c r="Y26" s="180"/>
      <c r="AB26" s="127"/>
      <c r="AC26" s="127"/>
      <c r="AD26" s="127"/>
    </row>
    <row r="27" spans="1:31" ht="20.5">
      <c r="A27" s="128"/>
      <c r="B27" s="128"/>
      <c r="C27" s="128"/>
      <c r="D27" s="128"/>
      <c r="E27" s="128"/>
      <c r="F27" s="128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U27" s="122"/>
      <c r="V27" s="130" t="s">
        <v>245</v>
      </c>
      <c r="AC27" s="122"/>
      <c r="AD27" s="130"/>
    </row>
    <row r="28" spans="1:31" ht="30" customHeight="1">
      <c r="A28" s="370" t="s">
        <v>53</v>
      </c>
      <c r="B28" s="26" t="s">
        <v>249</v>
      </c>
      <c r="C28" s="388" t="s">
        <v>57</v>
      </c>
      <c r="D28" s="389"/>
      <c r="E28" s="389"/>
      <c r="F28" s="390"/>
      <c r="G28" s="388" t="s">
        <v>93</v>
      </c>
      <c r="H28" s="389"/>
      <c r="I28" s="389"/>
      <c r="J28" s="390"/>
      <c r="K28" s="388" t="s">
        <v>293</v>
      </c>
      <c r="L28" s="389"/>
      <c r="M28" s="389"/>
      <c r="N28" s="390"/>
      <c r="O28" s="388" t="s">
        <v>135</v>
      </c>
      <c r="P28" s="389"/>
      <c r="Q28" s="389"/>
      <c r="R28" s="390"/>
      <c r="S28" s="388" t="s">
        <v>58</v>
      </c>
      <c r="T28" s="389"/>
      <c r="U28" s="389"/>
      <c r="V28" s="390"/>
      <c r="W28" s="1"/>
      <c r="X28" s="122"/>
      <c r="Y28" s="122"/>
      <c r="Z28" s="122"/>
    </row>
    <row r="29" spans="1:31" ht="30" customHeight="1">
      <c r="A29" s="370"/>
      <c r="B29" s="26"/>
      <c r="C29" s="388" t="s">
        <v>102</v>
      </c>
      <c r="D29" s="389"/>
      <c r="E29" s="389"/>
      <c r="F29" s="390"/>
      <c r="G29" s="388" t="s">
        <v>102</v>
      </c>
      <c r="H29" s="389"/>
      <c r="I29" s="389"/>
      <c r="J29" s="390"/>
      <c r="K29" s="388" t="s">
        <v>102</v>
      </c>
      <c r="L29" s="389"/>
      <c r="M29" s="389"/>
      <c r="N29" s="390"/>
      <c r="O29" s="388" t="s">
        <v>102</v>
      </c>
      <c r="P29" s="389"/>
      <c r="Q29" s="389"/>
      <c r="R29" s="390"/>
      <c r="S29" s="388" t="s">
        <v>102</v>
      </c>
      <c r="T29" s="389"/>
      <c r="U29" s="389"/>
      <c r="V29" s="390"/>
      <c r="W29" s="1"/>
      <c r="X29" s="122"/>
      <c r="Y29" s="122"/>
      <c r="Z29" s="122"/>
    </row>
    <row r="30" spans="1:31" ht="40" customHeight="1">
      <c r="A30" s="370"/>
      <c r="B30" s="26"/>
      <c r="C30" s="4" t="s">
        <v>364</v>
      </c>
      <c r="D30" s="4" t="s">
        <v>355</v>
      </c>
      <c r="E30" s="4" t="s">
        <v>356</v>
      </c>
      <c r="F30" s="4" t="s">
        <v>83</v>
      </c>
      <c r="G30" s="4" t="s">
        <v>364</v>
      </c>
      <c r="H30" s="4" t="s">
        <v>355</v>
      </c>
      <c r="I30" s="4" t="s">
        <v>356</v>
      </c>
      <c r="J30" s="4" t="s">
        <v>83</v>
      </c>
      <c r="K30" s="4" t="s">
        <v>364</v>
      </c>
      <c r="L30" s="4" t="s">
        <v>355</v>
      </c>
      <c r="M30" s="286" t="s">
        <v>356</v>
      </c>
      <c r="N30" s="4" t="s">
        <v>83</v>
      </c>
      <c r="O30" s="4" t="s">
        <v>364</v>
      </c>
      <c r="P30" s="4" t="s">
        <v>355</v>
      </c>
      <c r="Q30" s="181" t="s">
        <v>356</v>
      </c>
      <c r="R30" s="181" t="s">
        <v>83</v>
      </c>
      <c r="S30" s="286" t="s">
        <v>364</v>
      </c>
      <c r="T30" s="286" t="s">
        <v>355</v>
      </c>
      <c r="U30" s="286" t="s">
        <v>356</v>
      </c>
      <c r="V30" s="4" t="s">
        <v>83</v>
      </c>
      <c r="W30" s="1"/>
      <c r="X30" s="122"/>
      <c r="Y30" s="122"/>
      <c r="Z30" s="122"/>
    </row>
    <row r="31" spans="1:31" ht="26.25" customHeight="1">
      <c r="A31" s="4"/>
      <c r="B31" s="26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4">
        <v>8</v>
      </c>
      <c r="J31" s="4">
        <v>9</v>
      </c>
      <c r="K31" s="4">
        <v>10</v>
      </c>
      <c r="L31" s="4">
        <v>11</v>
      </c>
      <c r="M31" s="286">
        <v>12</v>
      </c>
      <c r="N31" s="4">
        <v>13</v>
      </c>
      <c r="O31" s="4">
        <v>14</v>
      </c>
      <c r="P31" s="4">
        <v>15</v>
      </c>
      <c r="Q31" s="181">
        <v>16</v>
      </c>
      <c r="R31" s="181">
        <v>17</v>
      </c>
      <c r="S31" s="286">
        <v>18</v>
      </c>
      <c r="T31" s="286">
        <v>19</v>
      </c>
      <c r="U31" s="286">
        <v>20</v>
      </c>
      <c r="V31" s="4">
        <v>21</v>
      </c>
      <c r="W31" s="1"/>
      <c r="X31" s="122"/>
      <c r="Y31" s="122"/>
      <c r="Z31" s="122"/>
    </row>
    <row r="32" spans="1:31" s="314" customFormat="1" ht="20.5">
      <c r="A32" s="167">
        <v>1</v>
      </c>
      <c r="B32" s="309" t="s">
        <v>541</v>
      </c>
      <c r="C32" s="231"/>
      <c r="D32" s="159"/>
      <c r="E32" s="159"/>
      <c r="F32" s="159"/>
      <c r="G32" s="159"/>
      <c r="H32" s="159"/>
      <c r="I32" s="230"/>
      <c r="J32" s="310"/>
      <c r="K32" s="330">
        <v>75</v>
      </c>
      <c r="L32" s="330">
        <v>75</v>
      </c>
      <c r="M32" s="335">
        <v>75</v>
      </c>
      <c r="N32" s="330">
        <v>75</v>
      </c>
      <c r="O32" s="311"/>
      <c r="P32" s="312"/>
      <c r="Q32" s="313"/>
      <c r="R32" s="313"/>
      <c r="S32" s="336">
        <f>K32</f>
        <v>75</v>
      </c>
      <c r="T32" s="336">
        <f t="shared" ref="T32:V32" si="0">L32</f>
        <v>75</v>
      </c>
      <c r="U32" s="336">
        <f t="shared" si="0"/>
        <v>75</v>
      </c>
      <c r="V32" s="336">
        <f t="shared" si="0"/>
        <v>75</v>
      </c>
    </row>
    <row r="33" spans="1:30" s="314" customFormat="1" ht="20.5">
      <c r="A33" s="167">
        <v>2</v>
      </c>
      <c r="B33" s="309" t="s">
        <v>584</v>
      </c>
      <c r="C33" s="231"/>
      <c r="D33" s="159"/>
      <c r="E33" s="159"/>
      <c r="F33" s="159"/>
      <c r="G33" s="159"/>
      <c r="H33" s="159"/>
      <c r="I33" s="230"/>
      <c r="J33" s="310"/>
      <c r="K33" s="330"/>
      <c r="L33" s="330">
        <v>30</v>
      </c>
      <c r="M33" s="335">
        <v>30</v>
      </c>
      <c r="N33" s="330">
        <v>30</v>
      </c>
      <c r="O33" s="311"/>
      <c r="P33" s="312"/>
      <c r="Q33" s="313"/>
      <c r="R33" s="313"/>
      <c r="S33" s="336">
        <f t="shared" ref="S33:S44" si="1">K33</f>
        <v>0</v>
      </c>
      <c r="T33" s="336">
        <f t="shared" ref="T33:T44" si="2">L33</f>
        <v>30</v>
      </c>
      <c r="U33" s="336">
        <f t="shared" ref="U33:U44" si="3">M33</f>
        <v>30</v>
      </c>
      <c r="V33" s="336">
        <f t="shared" ref="V33:V44" si="4">N33</f>
        <v>30</v>
      </c>
    </row>
    <row r="34" spans="1:30" s="314" customFormat="1" ht="20.5">
      <c r="A34" s="167">
        <v>4</v>
      </c>
      <c r="B34" s="309" t="s">
        <v>542</v>
      </c>
      <c r="C34" s="231"/>
      <c r="D34" s="159"/>
      <c r="E34" s="159"/>
      <c r="F34" s="159"/>
      <c r="G34" s="159"/>
      <c r="H34" s="159"/>
      <c r="I34" s="230"/>
      <c r="J34" s="310"/>
      <c r="K34" s="330"/>
      <c r="L34" s="330">
        <v>9</v>
      </c>
      <c r="M34" s="335">
        <v>9</v>
      </c>
      <c r="N34" s="330">
        <v>9</v>
      </c>
      <c r="O34" s="311"/>
      <c r="P34" s="312"/>
      <c r="Q34" s="313"/>
      <c r="R34" s="313"/>
      <c r="S34" s="336">
        <f t="shared" si="1"/>
        <v>0</v>
      </c>
      <c r="T34" s="336">
        <f t="shared" si="2"/>
        <v>9</v>
      </c>
      <c r="U34" s="336">
        <f t="shared" si="3"/>
        <v>9</v>
      </c>
      <c r="V34" s="336">
        <f t="shared" si="4"/>
        <v>9</v>
      </c>
    </row>
    <row r="35" spans="1:30" s="314" customFormat="1" ht="20.5">
      <c r="A35" s="167">
        <v>5</v>
      </c>
      <c r="B35" s="309" t="s">
        <v>585</v>
      </c>
      <c r="C35" s="231"/>
      <c r="D35" s="159"/>
      <c r="E35" s="159"/>
      <c r="F35" s="159"/>
      <c r="G35" s="159"/>
      <c r="H35" s="159"/>
      <c r="I35" s="230"/>
      <c r="J35" s="310"/>
      <c r="K35" s="330"/>
      <c r="L35" s="330">
        <v>57</v>
      </c>
      <c r="M35" s="335">
        <v>57</v>
      </c>
      <c r="N35" s="330">
        <v>57</v>
      </c>
      <c r="O35" s="311"/>
      <c r="P35" s="312"/>
      <c r="Q35" s="313"/>
      <c r="R35" s="313"/>
      <c r="S35" s="336">
        <f t="shared" si="1"/>
        <v>0</v>
      </c>
      <c r="T35" s="336">
        <f t="shared" si="2"/>
        <v>57</v>
      </c>
      <c r="U35" s="336">
        <f t="shared" si="3"/>
        <v>57</v>
      </c>
      <c r="V35" s="336">
        <f t="shared" si="4"/>
        <v>57</v>
      </c>
    </row>
    <row r="36" spans="1:30" s="314" customFormat="1" ht="20.5">
      <c r="A36" s="167">
        <v>6</v>
      </c>
      <c r="B36" s="309" t="s">
        <v>586</v>
      </c>
      <c r="C36" s="231"/>
      <c r="D36" s="159"/>
      <c r="E36" s="159"/>
      <c r="F36" s="159"/>
      <c r="G36" s="159"/>
      <c r="H36" s="159"/>
      <c r="I36" s="230"/>
      <c r="J36" s="310"/>
      <c r="K36" s="330">
        <v>18</v>
      </c>
      <c r="L36" s="330">
        <v>18</v>
      </c>
      <c r="M36" s="335">
        <v>18</v>
      </c>
      <c r="N36" s="330">
        <v>18</v>
      </c>
      <c r="O36" s="311"/>
      <c r="P36" s="312"/>
      <c r="Q36" s="313"/>
      <c r="R36" s="313"/>
      <c r="S36" s="336">
        <f t="shared" si="1"/>
        <v>18</v>
      </c>
      <c r="T36" s="336">
        <f t="shared" si="2"/>
        <v>18</v>
      </c>
      <c r="U36" s="336">
        <f t="shared" si="3"/>
        <v>18</v>
      </c>
      <c r="V36" s="336">
        <f t="shared" si="4"/>
        <v>18</v>
      </c>
    </row>
    <row r="37" spans="1:30" s="314" customFormat="1" ht="20.5">
      <c r="A37" s="167">
        <v>7</v>
      </c>
      <c r="B37" s="309" t="s">
        <v>587</v>
      </c>
      <c r="C37" s="231"/>
      <c r="D37" s="159"/>
      <c r="E37" s="159"/>
      <c r="F37" s="159"/>
      <c r="G37" s="159"/>
      <c r="H37" s="159"/>
      <c r="I37" s="230"/>
      <c r="J37" s="310"/>
      <c r="K37" s="330"/>
      <c r="L37" s="330">
        <v>33</v>
      </c>
      <c r="M37" s="335">
        <v>33</v>
      </c>
      <c r="N37" s="330">
        <v>33</v>
      </c>
      <c r="O37" s="311"/>
      <c r="P37" s="312"/>
      <c r="Q37" s="313"/>
      <c r="R37" s="313"/>
      <c r="S37" s="336">
        <f t="shared" si="1"/>
        <v>0</v>
      </c>
      <c r="T37" s="336">
        <f t="shared" si="2"/>
        <v>33</v>
      </c>
      <c r="U37" s="336">
        <f t="shared" si="3"/>
        <v>33</v>
      </c>
      <c r="V37" s="336">
        <f t="shared" si="4"/>
        <v>33</v>
      </c>
    </row>
    <row r="38" spans="1:30" s="314" customFormat="1" ht="20.5">
      <c r="A38" s="167">
        <v>8</v>
      </c>
      <c r="B38" s="309" t="s">
        <v>588</v>
      </c>
      <c r="C38" s="311"/>
      <c r="D38" s="312"/>
      <c r="E38" s="312"/>
      <c r="F38" s="312"/>
      <c r="G38" s="312"/>
      <c r="H38" s="312"/>
      <c r="I38" s="312"/>
      <c r="J38" s="312"/>
      <c r="K38" s="330"/>
      <c r="L38" s="330">
        <v>50</v>
      </c>
      <c r="M38" s="335">
        <v>50</v>
      </c>
      <c r="N38" s="330">
        <v>50</v>
      </c>
      <c r="O38" s="311"/>
      <c r="P38" s="312"/>
      <c r="Q38" s="313"/>
      <c r="R38" s="313"/>
      <c r="S38" s="336">
        <f t="shared" si="1"/>
        <v>0</v>
      </c>
      <c r="T38" s="336">
        <f t="shared" si="2"/>
        <v>50</v>
      </c>
      <c r="U38" s="336">
        <f t="shared" si="3"/>
        <v>50</v>
      </c>
      <c r="V38" s="336">
        <f t="shared" si="4"/>
        <v>50</v>
      </c>
    </row>
    <row r="39" spans="1:30" s="314" customFormat="1" ht="20.5">
      <c r="A39" s="167">
        <v>9</v>
      </c>
      <c r="B39" s="309" t="s">
        <v>589</v>
      </c>
      <c r="C39" s="311"/>
      <c r="D39" s="312"/>
      <c r="E39" s="312"/>
      <c r="F39" s="312"/>
      <c r="G39" s="312"/>
      <c r="H39" s="312"/>
      <c r="I39" s="312"/>
      <c r="J39" s="312"/>
      <c r="K39" s="330">
        <v>20</v>
      </c>
      <c r="L39" s="330">
        <v>20</v>
      </c>
      <c r="M39" s="335">
        <v>20</v>
      </c>
      <c r="N39" s="330">
        <v>20</v>
      </c>
      <c r="O39" s="311"/>
      <c r="P39" s="312"/>
      <c r="Q39" s="313"/>
      <c r="R39" s="313"/>
      <c r="S39" s="336">
        <f t="shared" si="1"/>
        <v>20</v>
      </c>
      <c r="T39" s="336">
        <f t="shared" si="2"/>
        <v>20</v>
      </c>
      <c r="U39" s="336">
        <f t="shared" si="3"/>
        <v>20</v>
      </c>
      <c r="V39" s="336">
        <f t="shared" si="4"/>
        <v>20</v>
      </c>
    </row>
    <row r="40" spans="1:30" s="314" customFormat="1" ht="20.5">
      <c r="A40" s="167">
        <v>10</v>
      </c>
      <c r="B40" s="309" t="s">
        <v>590</v>
      </c>
      <c r="C40" s="311"/>
      <c r="D40" s="312"/>
      <c r="E40" s="312"/>
      <c r="F40" s="312"/>
      <c r="G40" s="312"/>
      <c r="H40" s="312"/>
      <c r="I40" s="312"/>
      <c r="J40" s="312"/>
      <c r="K40" s="330"/>
      <c r="L40" s="330">
        <v>20</v>
      </c>
      <c r="M40" s="335">
        <v>20</v>
      </c>
      <c r="N40" s="330">
        <v>20</v>
      </c>
      <c r="O40" s="311"/>
      <c r="P40" s="312"/>
      <c r="Q40" s="313"/>
      <c r="R40" s="313"/>
      <c r="S40" s="336">
        <f t="shared" si="1"/>
        <v>0</v>
      </c>
      <c r="T40" s="336">
        <f t="shared" si="2"/>
        <v>20</v>
      </c>
      <c r="U40" s="336">
        <f t="shared" si="3"/>
        <v>20</v>
      </c>
      <c r="V40" s="336">
        <f t="shared" si="4"/>
        <v>20</v>
      </c>
    </row>
    <row r="41" spans="1:30" s="122" customFormat="1" ht="41.25" hidden="1" customHeight="1">
      <c r="A41" s="167">
        <v>11</v>
      </c>
      <c r="B41" s="26"/>
      <c r="C41" s="125"/>
      <c r="D41" s="131"/>
      <c r="E41" s="131"/>
      <c r="F41" s="131"/>
      <c r="G41" s="131"/>
      <c r="H41" s="131"/>
      <c r="I41" s="131"/>
      <c r="J41" s="131"/>
      <c r="K41" s="331"/>
      <c r="L41" s="331"/>
      <c r="M41" s="335">
        <v>0</v>
      </c>
      <c r="N41" s="331"/>
      <c r="O41" s="125"/>
      <c r="P41" s="131"/>
      <c r="Q41" s="182"/>
      <c r="R41" s="182"/>
      <c r="S41" s="336">
        <f t="shared" si="1"/>
        <v>0</v>
      </c>
      <c r="T41" s="336">
        <f t="shared" si="2"/>
        <v>0</v>
      </c>
      <c r="U41" s="336">
        <f t="shared" si="3"/>
        <v>0</v>
      </c>
      <c r="V41" s="336">
        <f t="shared" si="4"/>
        <v>0</v>
      </c>
    </row>
    <row r="42" spans="1:30" s="122" customFormat="1" ht="38.25" hidden="1" customHeight="1">
      <c r="A42" s="167">
        <v>12</v>
      </c>
      <c r="B42" s="26"/>
      <c r="C42" s="125"/>
      <c r="D42" s="131"/>
      <c r="E42" s="131"/>
      <c r="F42" s="131"/>
      <c r="G42" s="131"/>
      <c r="H42" s="131"/>
      <c r="I42" s="131"/>
      <c r="J42" s="131"/>
      <c r="K42" s="331"/>
      <c r="L42" s="331"/>
      <c r="M42" s="335">
        <v>0</v>
      </c>
      <c r="N42" s="331"/>
      <c r="O42" s="125"/>
      <c r="P42" s="131"/>
      <c r="Q42" s="182"/>
      <c r="R42" s="182"/>
      <c r="S42" s="336">
        <f t="shared" si="1"/>
        <v>0</v>
      </c>
      <c r="T42" s="336">
        <f t="shared" si="2"/>
        <v>0</v>
      </c>
      <c r="U42" s="336">
        <f t="shared" si="3"/>
        <v>0</v>
      </c>
      <c r="V42" s="336">
        <f t="shared" si="4"/>
        <v>0</v>
      </c>
    </row>
    <row r="43" spans="1:30" s="122" customFormat="1" ht="41.25" hidden="1" customHeight="1">
      <c r="A43" s="167">
        <v>13</v>
      </c>
      <c r="B43" s="26"/>
      <c r="C43" s="125"/>
      <c r="D43" s="131"/>
      <c r="E43" s="131"/>
      <c r="F43" s="131"/>
      <c r="G43" s="131"/>
      <c r="H43" s="131"/>
      <c r="I43" s="131"/>
      <c r="J43" s="131"/>
      <c r="K43" s="331"/>
      <c r="L43" s="331"/>
      <c r="M43" s="335">
        <v>0</v>
      </c>
      <c r="N43" s="331"/>
      <c r="O43" s="125"/>
      <c r="P43" s="131"/>
      <c r="Q43" s="182"/>
      <c r="R43" s="182"/>
      <c r="S43" s="336">
        <f t="shared" si="1"/>
        <v>0</v>
      </c>
      <c r="T43" s="336">
        <f t="shared" si="2"/>
        <v>0</v>
      </c>
      <c r="U43" s="336">
        <f t="shared" si="3"/>
        <v>0</v>
      </c>
      <c r="V43" s="336">
        <f t="shared" si="4"/>
        <v>0</v>
      </c>
    </row>
    <row r="44" spans="1:30" s="122" customFormat="1" ht="20.25" hidden="1" customHeight="1">
      <c r="A44" s="167">
        <v>14</v>
      </c>
      <c r="B44" s="26"/>
      <c r="C44" s="125"/>
      <c r="D44" s="131"/>
      <c r="E44" s="131"/>
      <c r="F44" s="131"/>
      <c r="G44" s="131"/>
      <c r="H44" s="132"/>
      <c r="I44" s="132"/>
      <c r="J44" s="132"/>
      <c r="K44" s="332"/>
      <c r="L44" s="332"/>
      <c r="M44" s="335">
        <v>0</v>
      </c>
      <c r="N44" s="332"/>
      <c r="O44" s="125"/>
      <c r="P44" s="131"/>
      <c r="Q44" s="182"/>
      <c r="R44" s="182"/>
      <c r="S44" s="336">
        <f t="shared" si="1"/>
        <v>0</v>
      </c>
      <c r="T44" s="336">
        <f t="shared" si="2"/>
        <v>0</v>
      </c>
      <c r="U44" s="336">
        <f t="shared" si="3"/>
        <v>0</v>
      </c>
      <c r="V44" s="336">
        <f t="shared" si="4"/>
        <v>0</v>
      </c>
    </row>
    <row r="45" spans="1:30" ht="20.149999999999999" customHeight="1">
      <c r="A45" s="388" t="s">
        <v>58</v>
      </c>
      <c r="B45" s="390"/>
      <c r="C45" s="124">
        <f t="shared" ref="C45:R45" si="5">SUM(C32:C44)</f>
        <v>0</v>
      </c>
      <c r="D45" s="124">
        <f t="shared" si="5"/>
        <v>0</v>
      </c>
      <c r="E45" s="124">
        <f t="shared" si="5"/>
        <v>0</v>
      </c>
      <c r="F45" s="124">
        <f t="shared" si="5"/>
        <v>0</v>
      </c>
      <c r="G45" s="124">
        <f t="shared" si="5"/>
        <v>0</v>
      </c>
      <c r="H45" s="124">
        <f t="shared" si="5"/>
        <v>0</v>
      </c>
      <c r="I45" s="124">
        <f t="shared" si="5"/>
        <v>0</v>
      </c>
      <c r="J45" s="124">
        <f t="shared" si="5"/>
        <v>0</v>
      </c>
      <c r="K45" s="124">
        <f t="shared" si="5"/>
        <v>113</v>
      </c>
      <c r="L45" s="124">
        <f t="shared" si="5"/>
        <v>312</v>
      </c>
      <c r="M45" s="335">
        <f>SUM(M32:M44)</f>
        <v>312</v>
      </c>
      <c r="N45" s="124">
        <f>SUM(N32:N40)</f>
        <v>312</v>
      </c>
      <c r="O45" s="124">
        <f t="shared" si="5"/>
        <v>0</v>
      </c>
      <c r="P45" s="124">
        <f t="shared" si="5"/>
        <v>0</v>
      </c>
      <c r="Q45" s="183">
        <f t="shared" si="5"/>
        <v>0</v>
      </c>
      <c r="R45" s="183">
        <f t="shared" si="5"/>
        <v>0</v>
      </c>
      <c r="S45" s="337">
        <f>SUM(S32:S44)</f>
        <v>113</v>
      </c>
      <c r="T45" s="337">
        <f t="shared" ref="T45:V45" si="6">SUM(T32:T44)</f>
        <v>312</v>
      </c>
      <c r="U45" s="337">
        <f t="shared" si="6"/>
        <v>312</v>
      </c>
      <c r="V45" s="337">
        <f t="shared" si="6"/>
        <v>312</v>
      </c>
      <c r="W45" s="1"/>
      <c r="X45" s="122"/>
      <c r="Y45" s="122"/>
      <c r="Z45" s="122"/>
    </row>
    <row r="46" spans="1:30" ht="20.149999999999999" customHeight="1">
      <c r="A46" s="388" t="s">
        <v>59</v>
      </c>
      <c r="B46" s="390"/>
      <c r="C46" s="4"/>
      <c r="D46" s="4"/>
      <c r="E46" s="4"/>
      <c r="F46" s="4"/>
      <c r="G46" s="133"/>
      <c r="H46" s="4"/>
      <c r="I46" s="4"/>
      <c r="J46" s="4"/>
      <c r="K46" s="4"/>
      <c r="L46" s="4"/>
      <c r="M46" s="37"/>
      <c r="N46" s="37"/>
      <c r="O46" s="4"/>
      <c r="P46" s="4"/>
      <c r="Q46" s="181"/>
      <c r="R46" s="181"/>
      <c r="S46" s="184"/>
      <c r="T46" s="184">
        <v>100</v>
      </c>
      <c r="U46" s="184">
        <v>100</v>
      </c>
      <c r="V46" s="133">
        <v>100</v>
      </c>
      <c r="W46" s="1"/>
      <c r="X46" s="122"/>
      <c r="Y46" s="122"/>
      <c r="Z46" s="122"/>
    </row>
    <row r="47" spans="1:30" ht="20.149999999999999" customHeight="1">
      <c r="A47" s="16"/>
      <c r="B47" s="16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308">
        <f>N45-N47</f>
        <v>312</v>
      </c>
      <c r="P47" s="308"/>
      <c r="Q47" s="134"/>
      <c r="R47" s="134"/>
      <c r="S47" s="134"/>
      <c r="T47" s="134"/>
      <c r="U47" s="185"/>
      <c r="AB47" s="122"/>
      <c r="AC47" s="122"/>
      <c r="AD47" s="122"/>
    </row>
    <row r="48" spans="1:30" s="119" customFormat="1" ht="20.149999999999999" customHeight="1">
      <c r="B48" s="119" t="s">
        <v>250</v>
      </c>
      <c r="U48" s="180"/>
      <c r="V48" s="180"/>
      <c r="W48" s="180"/>
      <c r="X48" s="180"/>
      <c r="Y48" s="180"/>
      <c r="AB48" s="127"/>
      <c r="AC48" s="127"/>
      <c r="AD48" s="127"/>
    </row>
    <row r="49" spans="1:30" s="135" customFormat="1" ht="20.149999999999999" customHeight="1">
      <c r="A49" s="1"/>
      <c r="B49" s="1"/>
      <c r="C49" s="1"/>
      <c r="D49" s="1"/>
      <c r="E49" s="1"/>
      <c r="F49" s="1"/>
      <c r="G49" s="1"/>
      <c r="H49" s="1"/>
      <c r="I49" s="1"/>
      <c r="K49" s="1"/>
      <c r="N49" s="136"/>
      <c r="O49" s="136"/>
      <c r="P49" s="130" t="s">
        <v>245</v>
      </c>
      <c r="U49" s="186"/>
      <c r="V49" s="186"/>
      <c r="W49" s="186"/>
      <c r="X49" s="186"/>
      <c r="Y49" s="186"/>
      <c r="AB49" s="136"/>
      <c r="AC49" s="136"/>
      <c r="AD49" s="130"/>
    </row>
    <row r="50" spans="1:30" s="137" customFormat="1" ht="34.5" customHeight="1">
      <c r="A50" s="367" t="s">
        <v>217</v>
      </c>
      <c r="B50" s="370" t="s">
        <v>292</v>
      </c>
      <c r="C50" s="370" t="s">
        <v>322</v>
      </c>
      <c r="D50" s="370"/>
      <c r="E50" s="365" t="s">
        <v>218</v>
      </c>
      <c r="F50" s="365" t="s">
        <v>219</v>
      </c>
      <c r="G50" s="365" t="s">
        <v>287</v>
      </c>
      <c r="H50" s="388" t="s">
        <v>142</v>
      </c>
      <c r="I50" s="389"/>
      <c r="J50" s="389"/>
      <c r="K50" s="389"/>
      <c r="L50" s="390"/>
      <c r="M50" s="365" t="s">
        <v>323</v>
      </c>
      <c r="N50" s="365" t="s">
        <v>290</v>
      </c>
    </row>
    <row r="51" spans="1:30" s="137" customFormat="1" ht="52.5" customHeight="1">
      <c r="A51" s="367"/>
      <c r="B51" s="370"/>
      <c r="C51" s="370"/>
      <c r="D51" s="370"/>
      <c r="E51" s="449"/>
      <c r="F51" s="449"/>
      <c r="G51" s="449"/>
      <c r="H51" s="365" t="s">
        <v>333</v>
      </c>
      <c r="I51" s="365" t="s">
        <v>334</v>
      </c>
      <c r="J51" s="388" t="s">
        <v>321</v>
      </c>
      <c r="K51" s="389"/>
      <c r="L51" s="390"/>
      <c r="M51" s="449"/>
      <c r="N51" s="449"/>
    </row>
    <row r="52" spans="1:30" s="138" customFormat="1" ht="93.75" customHeight="1">
      <c r="A52" s="367"/>
      <c r="B52" s="370"/>
      <c r="C52" s="370"/>
      <c r="D52" s="370"/>
      <c r="E52" s="366"/>
      <c r="F52" s="366"/>
      <c r="G52" s="366"/>
      <c r="H52" s="366"/>
      <c r="I52" s="366"/>
      <c r="J52" s="26" t="s">
        <v>288</v>
      </c>
      <c r="K52" s="26" t="s">
        <v>289</v>
      </c>
      <c r="L52" s="26" t="s">
        <v>403</v>
      </c>
      <c r="M52" s="366"/>
      <c r="N52" s="366"/>
    </row>
    <row r="53" spans="1:30" s="137" customFormat="1" ht="18" customHeight="1">
      <c r="A53" s="3">
        <v>1</v>
      </c>
      <c r="B53" s="4">
        <v>2</v>
      </c>
      <c r="C53" s="370">
        <v>3</v>
      </c>
      <c r="D53" s="370"/>
      <c r="E53" s="26">
        <v>4</v>
      </c>
      <c r="F53" s="26">
        <v>5</v>
      </c>
      <c r="G53" s="26">
        <v>6</v>
      </c>
      <c r="H53" s="26">
        <v>7</v>
      </c>
      <c r="I53" s="26">
        <v>8</v>
      </c>
      <c r="J53" s="26">
        <v>9</v>
      </c>
      <c r="K53" s="26">
        <v>10</v>
      </c>
      <c r="L53" s="26">
        <v>11</v>
      </c>
      <c r="M53" s="26">
        <v>12</v>
      </c>
      <c r="N53" s="26">
        <v>13</v>
      </c>
    </row>
    <row r="54" spans="1:30" s="216" customFormat="1" ht="20.149999999999999" customHeight="1">
      <c r="A54" s="452" t="s">
        <v>58</v>
      </c>
      <c r="B54" s="453"/>
      <c r="C54" s="453"/>
      <c r="D54" s="454"/>
      <c r="E54" s="230"/>
      <c r="F54" s="230"/>
      <c r="G54" s="230"/>
      <c r="H54" s="26"/>
      <c r="I54" s="26"/>
      <c r="J54" s="26"/>
      <c r="K54" s="26"/>
      <c r="L54" s="26"/>
      <c r="M54" s="26"/>
      <c r="N54" s="26"/>
    </row>
    <row r="55" spans="1:30" ht="20.149999999999999" customHeight="1">
      <c r="A55" s="16"/>
      <c r="B55" s="16"/>
      <c r="C55" s="134"/>
      <c r="D55" s="134"/>
      <c r="E55" s="134"/>
      <c r="F55" s="189"/>
      <c r="G55" s="134"/>
      <c r="H55" s="18"/>
      <c r="I55" s="18"/>
      <c r="J55" s="18"/>
      <c r="K55" s="18"/>
      <c r="L55" s="18"/>
      <c r="M55" s="18"/>
      <c r="N55" s="18"/>
      <c r="O55" s="18"/>
      <c r="U55" s="1"/>
      <c r="V55" s="1"/>
      <c r="W55" s="1"/>
      <c r="X55" s="1"/>
      <c r="Y55" s="1"/>
    </row>
    <row r="56" spans="1:30" ht="20.149999999999999" customHeight="1">
      <c r="A56" s="16"/>
      <c r="B56" s="16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85"/>
    </row>
    <row r="57" spans="1:30" s="10" customFormat="1" ht="20.149999999999999" customHeight="1">
      <c r="C57" s="119"/>
      <c r="D57" s="119"/>
      <c r="E57" s="119"/>
      <c r="F57" s="119"/>
      <c r="G57" s="119"/>
      <c r="H57" s="119"/>
      <c r="I57" s="119"/>
      <c r="J57" s="119"/>
      <c r="K57" s="119"/>
      <c r="U57" s="187"/>
      <c r="V57" s="187"/>
      <c r="W57" s="187"/>
      <c r="X57" s="187"/>
      <c r="Y57" s="187"/>
    </row>
    <row r="58" spans="1:30" ht="40.5" customHeight="1">
      <c r="A58" s="251"/>
      <c r="B58" s="251" t="s">
        <v>583</v>
      </c>
      <c r="C58" s="357"/>
      <c r="D58" s="358"/>
      <c r="E58" s="358"/>
      <c r="F58" s="358"/>
      <c r="G58" s="213"/>
      <c r="H58" s="395" t="s">
        <v>582</v>
      </c>
      <c r="I58" s="396"/>
      <c r="J58" s="396"/>
      <c r="U58" s="1"/>
      <c r="V58" s="1"/>
      <c r="W58" s="1"/>
      <c r="X58" s="1"/>
      <c r="Y58" s="1"/>
    </row>
    <row r="59" spans="1:30" ht="21" customHeight="1">
      <c r="B59" s="30" t="s">
        <v>80</v>
      </c>
      <c r="C59" s="354" t="s">
        <v>81</v>
      </c>
      <c r="D59" s="354"/>
      <c r="E59" s="354"/>
      <c r="F59" s="354"/>
      <c r="G59" s="32"/>
      <c r="H59" s="393" t="s">
        <v>112</v>
      </c>
      <c r="I59" s="393"/>
      <c r="J59" s="393"/>
      <c r="U59" s="1"/>
      <c r="V59" s="1"/>
      <c r="W59" s="1"/>
      <c r="X59" s="1"/>
      <c r="Y59" s="1"/>
    </row>
    <row r="60" spans="1:30" ht="20.149999999999999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88"/>
    </row>
    <row r="61" spans="1:30" ht="20.149999999999999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88"/>
    </row>
    <row r="62" spans="1:30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88"/>
    </row>
    <row r="63" spans="1:30">
      <c r="B63" s="16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</sheetData>
  <mergeCells count="48">
    <mergeCell ref="C58:F58"/>
    <mergeCell ref="H59:J59"/>
    <mergeCell ref="A4:A5"/>
    <mergeCell ref="B4:B5"/>
    <mergeCell ref="H58:J58"/>
    <mergeCell ref="A54:D54"/>
    <mergeCell ref="C53:D53"/>
    <mergeCell ref="C50:D52"/>
    <mergeCell ref="A50:A52"/>
    <mergeCell ref="A28:A30"/>
    <mergeCell ref="B50:B52"/>
    <mergeCell ref="C29:F29"/>
    <mergeCell ref="C28:F28"/>
    <mergeCell ref="C59:F59"/>
    <mergeCell ref="A11:B11"/>
    <mergeCell ref="A23:B23"/>
    <mergeCell ref="AB1:AE1"/>
    <mergeCell ref="S29:V29"/>
    <mergeCell ref="K29:N29"/>
    <mergeCell ref="K28:N28"/>
    <mergeCell ref="G29:J29"/>
    <mergeCell ref="G28:J28"/>
    <mergeCell ref="O29:R29"/>
    <mergeCell ref="S28:V28"/>
    <mergeCell ref="O28:R28"/>
    <mergeCell ref="M50:M52"/>
    <mergeCell ref="N50:N52"/>
    <mergeCell ref="C4:C5"/>
    <mergeCell ref="D4:D5"/>
    <mergeCell ref="E4:E5"/>
    <mergeCell ref="F4:J4"/>
    <mergeCell ref="E50:E52"/>
    <mergeCell ref="F50:F52"/>
    <mergeCell ref="G50:G52"/>
    <mergeCell ref="H50:L50"/>
    <mergeCell ref="F15:J15"/>
    <mergeCell ref="F16:F17"/>
    <mergeCell ref="G16:J16"/>
    <mergeCell ref="H51:H52"/>
    <mergeCell ref="I51:I52"/>
    <mergeCell ref="J51:L51"/>
    <mergeCell ref="A46:B46"/>
    <mergeCell ref="A45:B45"/>
    <mergeCell ref="C15:C17"/>
    <mergeCell ref="D15:D17"/>
    <mergeCell ref="E15:E17"/>
    <mergeCell ref="A15:A17"/>
    <mergeCell ref="B15:B17"/>
  </mergeCells>
  <phoneticPr fontId="4" type="noConversion"/>
  <pageMargins left="0.78740157480314965" right="0.78740157480314965" top="1.1811023622047243" bottom="0.39370078740157483" header="0.27559055118110237" footer="0.15748031496062992"/>
  <pageSetup paperSize="9" scale="39" fitToHeight="0" orientation="landscape" r:id="rId1"/>
  <headerFooter alignWithMargins="0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титул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 (2)</vt:lpstr>
      <vt:lpstr>штатка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 (2)'!Область_печати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титул!Область_печати</vt:lpstr>
      <vt:lpstr>штатка!Область_печати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2022-11-18T08:17:30Z</cp:lastPrinted>
  <dcterms:created xsi:type="dcterms:W3CDTF">2003-03-13T16:00:22Z</dcterms:created>
  <dcterms:modified xsi:type="dcterms:W3CDTF">2023-04-04T12:11:55Z</dcterms:modified>
</cp:coreProperties>
</file>