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6930" activeTab="0"/>
  </bookViews>
  <sheets>
    <sheet name="Додаток 1 Фін.план" sheetId="1" r:id="rId1"/>
    <sheet name="Дані про персонал" sheetId="2" r:id="rId2"/>
    <sheet name="Надходження (дохід) за пакетами" sheetId="3" r:id="rId3"/>
    <sheet name="Адміністративні (довідково)" sheetId="4" r:id="rId4"/>
    <sheet name="Видатки (розшифр. фін.пл)" sheetId="5" r:id="rId5"/>
    <sheet name="Кап.видат (план_звіт, розшифр.)" sheetId="6" r:id="rId6"/>
    <sheet name="Додаток 2 Фін.звіт" sheetId="7" r:id="rId7"/>
  </sheets>
  <definedNames>
    <definedName name="_xlnm.Print_Area" localSheetId="3">'Адміністративні (довідково)'!$A$1:$H$41</definedName>
    <definedName name="_xlnm.Print_Area" localSheetId="4">'Видатки (розшифр. фін.пл)'!$A$1:$I$42</definedName>
    <definedName name="_xlnm.Print_Area" localSheetId="1">'Дані про персонал'!$A$1:$J$50</definedName>
    <definedName name="_xlnm.Print_Area" localSheetId="0">'Додаток 1 Фін.план'!$A$1:$I$99</definedName>
    <definedName name="_xlnm.Print_Area" localSheetId="6">'Додаток 2 Фін.звіт'!$A$1:$M$92</definedName>
    <definedName name="_xlnm.Print_Area" localSheetId="5">'Кап.видат (план_звіт, розшифр.)'!$A$1:$H$35</definedName>
    <definedName name="_xlnm.Print_Area" localSheetId="2">'Надходження (дохід) за пакетами'!$A$1:$D$34</definedName>
  </definedNames>
  <calcPr fullCalcOnLoad="1"/>
</workbook>
</file>

<file path=xl/sharedStrings.xml><?xml version="1.0" encoding="utf-8"?>
<sst xmlns="http://schemas.openxmlformats.org/spreadsheetml/2006/main" count="578" uniqueCount="308">
  <si>
    <t>факт</t>
  </si>
  <si>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</si>
  <si>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</si>
  <si>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</si>
  <si>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</si>
  <si>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</si>
  <si>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</si>
  <si>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</si>
  <si>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</si>
  <si>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</si>
  <si>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</si>
  <si>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</si>
  <si>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</si>
  <si>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</si>
  <si>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</si>
  <si>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</si>
  <si>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</si>
  <si>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</si>
  <si>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</si>
  <si>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</si>
  <si>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</si>
  <si>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Заступник керівника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</si>
  <si>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</si>
  <si>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</si>
  <si>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</si>
  <si>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</si>
  <si>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</si>
  <si>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Дохід (виручка) від реалізації продукції (товарів, робіт, послуг), у т.ч.:</t>
  </si>
  <si>
    <t xml:space="preserve">   доходи надавача за програмою медичних гарантій від НСЗУ</t>
  </si>
  <si>
    <t>1011</t>
  </si>
  <si>
    <t>1012</t>
  </si>
  <si>
    <t>Інші доходи, у т.ч.:</t>
  </si>
  <si>
    <t>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</si>
  <si>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</si>
  <si>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</si>
  <si>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</si>
  <si>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</si>
  <si>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</si>
  <si>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</si>
  <si>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</si>
  <si>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енергоносіїв, у т.ч.:</t>
  </si>
  <si>
    <t xml:space="preserve">   теплопостачання</t>
  </si>
  <si>
    <t xml:space="preserve">   водопостачання та водовідведення</t>
  </si>
  <si>
    <t xml:space="preserve">   електроенергія</t>
  </si>
  <si>
    <t xml:space="preserve">   природний газ</t>
  </si>
  <si>
    <t xml:space="preserve">   інші енергоносії</t>
  </si>
  <si>
    <t xml:space="preserve">   енергосервіс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</si>
  <si>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</si>
  <si>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</si>
  <si>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</si>
  <si>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</si>
  <si>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</si>
  <si>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</si>
  <si>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</si>
  <si>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</si>
  <si>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</si>
  <si>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</si>
  <si>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</si>
  <si>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</si>
  <si>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</si>
  <si>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</si>
  <si>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</si>
  <si>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</si>
  <si>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</si>
  <si>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</si>
  <si>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</si>
  <si>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</si>
  <si>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</si>
  <si>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</si>
  <si>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</si>
  <si>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</si>
  <si>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Лікарі</t>
  </si>
  <si>
    <t>Проект</t>
  </si>
  <si>
    <t xml:space="preserve">Уточнений </t>
  </si>
  <si>
    <t>зробити позначку "Х"</t>
  </si>
  <si>
    <t xml:space="preserve">Капітальні видатки </t>
  </si>
  <si>
    <t>Додаток 2</t>
  </si>
  <si>
    <t>ЗВІТ ПРО ВИКОНАННЯ ФІНАНСОВОГО ПЛАНУ</t>
  </si>
  <si>
    <t>ФІНАНСОВИЙ ПЛАН</t>
  </si>
  <si>
    <t>план</t>
  </si>
  <si>
    <t>відхилення, +/-</t>
  </si>
  <si>
    <t>відхилення, %</t>
  </si>
  <si>
    <t>Звітний період наростаючим підсумком з початку року</t>
  </si>
  <si>
    <t>За рахунок коштів НСЗУ</t>
  </si>
  <si>
    <t>За рахунок інших надходжень</t>
  </si>
  <si>
    <t>Всього</t>
  </si>
  <si>
    <t>Назва</t>
  </si>
  <si>
    <t>Од.виміру</t>
  </si>
  <si>
    <t>Кількість</t>
  </si>
  <si>
    <t>Вартість</t>
  </si>
  <si>
    <t>Кошти НСЗУ</t>
  </si>
  <si>
    <t>Джерела інвестицій</t>
  </si>
  <si>
    <t>капітальне будівництво, реконструкція всього, в тому числі:</t>
  </si>
  <si>
    <t>придбання (виготовлення) основних засобів всього, в тому числі:</t>
  </si>
  <si>
    <t>придбання (виготовлення) інших необоротних матеріальних активів всього, в тому числі:</t>
  </si>
  <si>
    <t>придбання (виготовлення) нематеріальних активів всього, в тому числі:</t>
  </si>
  <si>
    <t>модернізація, модифікація (добудова, дообладнання, реконструкція) основних засобів всього, в тому числі:</t>
  </si>
  <si>
    <t>капітальний ремонт всього, в тому числі: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</si>
  <si>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</si>
  <si>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</si>
  <si>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</si>
  <si>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</si>
  <si>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Дані про  персонал та витрати на оплату праці</t>
  </si>
  <si>
    <t>Найменування показника</t>
  </si>
  <si>
    <t>Дані минулого року</t>
  </si>
  <si>
    <t>Плановий рік</t>
  </si>
  <si>
    <t>на       початок   року</t>
  </si>
  <si>
    <t xml:space="preserve">на кінець  звітного  періоду </t>
  </si>
  <si>
    <t>середньорічна</t>
  </si>
  <si>
    <t>Штатна чисельність працівників (од.),  у тому числі:</t>
  </si>
  <si>
    <t>Фізичні особи, у тому числі:</t>
  </si>
  <si>
    <t>Фонд оплати праці, (грн.), у тому числі:</t>
  </si>
  <si>
    <t>Середньомісячні витрати на оплату праці одного працівника (грн.), усього, у тому числі:</t>
  </si>
  <si>
    <t>Виконавець, тел.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</si>
  <si>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</si>
  <si>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</si>
  <si>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</si>
  <si>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</si>
  <si>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</si>
  <si>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</si>
  <si>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</si>
  <si>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</si>
  <si>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</si>
  <si>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</si>
  <si>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</si>
  <si>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</si>
  <si>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</si>
  <si>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</si>
  <si>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</si>
  <si>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</si>
  <si>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</si>
  <si>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</si>
  <si>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</si>
  <si>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Соціальне забезпечення, у т.ч.:</t>
  </si>
  <si>
    <t>виплати пенсій та допомоги</t>
  </si>
  <si>
    <t>інші поточні трансферти населенню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</si>
  <si>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</si>
  <si>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</si>
  <si>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(виручка) за рахунок коштів бюджету міста</t>
  </si>
  <si>
    <t>дохід з інших джерел по капітальних видатках</t>
  </si>
  <si>
    <t>Інші джерела (розписати)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</si>
  <si>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</si>
  <si>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</si>
  <si>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</si>
  <si>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</si>
  <si>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</si>
  <si>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</si>
  <si>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</si>
  <si>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>1/1</t>
  </si>
  <si>
    <t>1/2</t>
  </si>
  <si>
    <t>1/3</t>
  </si>
  <si>
    <t>1/4</t>
  </si>
  <si>
    <t>1/5</t>
  </si>
  <si>
    <t>Інше (розписати)</t>
  </si>
  <si>
    <t>Резерв відпусток</t>
  </si>
  <si>
    <t>1050/1</t>
  </si>
  <si>
    <t>Пояснення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</si>
  <si>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</si>
  <si>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</si>
  <si>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</si>
  <si>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</si>
  <si>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</si>
  <si>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реалізація дров, ганчірря та інше</t>
  </si>
  <si>
    <t>відшкодування (очикуване)</t>
  </si>
  <si>
    <t>надходження (дохід) від централізованого постачання</t>
  </si>
  <si>
    <t>Прогноз на наступний рік</t>
  </si>
  <si>
    <t>розраховується на заклад в цілому</t>
  </si>
  <si>
    <t>Одиниця виміру             грн.</t>
  </si>
  <si>
    <t>Інші надходження (дохід)</t>
  </si>
  <si>
    <t>Фактична чисельність працівників (зайнято посад, од), у тому числі:</t>
  </si>
  <si>
    <t xml:space="preserve">Надходження (дохід) за рахунок коштів бюджету міста </t>
  </si>
  <si>
    <t>1021</t>
  </si>
  <si>
    <t>За рахунок коштів за міського бюджету (програмні та не програмні видатки)</t>
  </si>
  <si>
    <t>це витрати на утримання управлінського, господарського і допоміжного персоналу, на відрядження, придбання інвентарю, оплату комунальних послуг і т. ін.</t>
  </si>
  <si>
    <t>амортизація нематеріальних активів загальногосподарського використання</t>
  </si>
  <si>
    <t>Пакети медичних послуг  (найменування медичної послуги)</t>
  </si>
  <si>
    <t>Заплановано медичних послуг по договорам з НСЗУ</t>
  </si>
  <si>
    <t>одиниця послуги</t>
  </si>
  <si>
    <t>загальна кількість медичних послуг*</t>
  </si>
  <si>
    <t>Загальна вартість послуг, грн.</t>
  </si>
  <si>
    <t xml:space="preserve"> Стаціонарна   допомога   дорослим   та  дітям   без проведення  хірургічних  операцій </t>
  </si>
  <si>
    <t>Хірургічні операціїї дорослим та дітям  у стаціонарних умовах</t>
  </si>
  <si>
    <t>кількість прооперованих у стаціонарі</t>
  </si>
  <si>
    <t>Амбулаторна вторинна допомога (спеціалізована) медична допомога дорослим та дітям</t>
  </si>
  <si>
    <t>кількість відвідувань лікарів</t>
  </si>
  <si>
    <t>РАЗОМ</t>
  </si>
  <si>
    <t>Х</t>
  </si>
  <si>
    <t>Керівники</t>
  </si>
  <si>
    <t>середній медперсонал</t>
  </si>
  <si>
    <t>молодший медперсонал</t>
  </si>
  <si>
    <t>адміністративно-управлінський персонал</t>
  </si>
  <si>
    <t>допоміжний персонал</t>
  </si>
  <si>
    <t>Інші надходження (дохід) (розписати)</t>
  </si>
  <si>
    <t>надходження (дохід) майбутніх періодов (від оренди майна та інше)</t>
  </si>
  <si>
    <t>(ген.директор, медичні директора та їх заступники, заступники, головний бухгалтер, заступник головного бухгалтера,, головна медична сестра)</t>
  </si>
  <si>
    <t>За рахунок коштів медичної субвенції та інших субвенцій</t>
  </si>
  <si>
    <t xml:space="preserve">   медична субвенція та інши субвенції</t>
  </si>
  <si>
    <t xml:space="preserve">Дохід з місцевого бюджету </t>
  </si>
  <si>
    <t>Збиток не може бути!!! Фінансовий результат має бути позитивним!!!</t>
  </si>
  <si>
    <t>Створюється для покриття в наступних періодах непередбачених витратат</t>
  </si>
  <si>
    <t>Кошти міськими бюджету</t>
  </si>
  <si>
    <t>Доходи за програмою державних гарантій у 2021 році</t>
  </si>
  <si>
    <t>Прогноз на наступний рік (заповнюється коли здається Проект)</t>
  </si>
  <si>
    <t xml:space="preserve">Фінансовий план містить інформацію щодо прогнозних показників на поточний рік, яка складається, виходячи з фактичної проміжної </t>
  </si>
  <si>
    <t>інформації та очикувань стосовно господарської діяльності підприємства в поточному році. (з Наказу " 205 від 02.03.2015)</t>
  </si>
  <si>
    <t>Видатки від інвестиційної діяльності, у т.ч.:</t>
  </si>
  <si>
    <t>ФІНАНСОВИЙ РЕЗУЛЬТАТ ПОВИНЕН СПІВПОДАТИ З ФІНАНСОВИМ РЕЗУЛЬТАТОМ ФОРМИ 2-М</t>
  </si>
  <si>
    <t>інші необоротні матеріальні активи</t>
  </si>
  <si>
    <t>основні засоби</t>
  </si>
  <si>
    <t>нематеріальні активи</t>
  </si>
  <si>
    <t xml:space="preserve">доходи з місцевого бюджету цільового фінансування по капітальних видатках </t>
  </si>
  <si>
    <t>на період</t>
  </si>
  <si>
    <t>ОБОВ'ЯЗКОВО СТАВИМО ДАТУ! ЗМІН!!</t>
  </si>
  <si>
    <r>
      <rPr>
        <sz val="13.5"/>
        <color indexed="10"/>
        <rFont val="Calibri"/>
        <family val="2"/>
      </rPr>
      <t>Згідно з договорами НСЗУ після їх підписання, до ціого моменту</t>
    </r>
    <r>
      <rPr>
        <sz val="13.5"/>
        <color indexed="8"/>
        <rFont val="Calibri"/>
        <family val="2"/>
      </rPr>
      <t xml:space="preserve"> ― очикувані доходи (сума договору з НСЗУ) з поквартальною розбивкою. Отримання доходу по наданню послуг НСЗУ (за всіма пакетами).
</t>
    </r>
  </si>
  <si>
    <t xml:space="preserve"> 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інвалідністю).
</t>
  </si>
  <si>
    <t>Дохід, від амортизації по НА та ОЗ, що отримані як цільове фінансування. Наприклад: дохід від амортизайції, списання що отримані як цільове фінансування.</t>
  </si>
  <si>
    <t xml:space="preserve">Дохід від амортизації  по НА та ОЗ, що отримані безоплатно </t>
  </si>
  <si>
    <t>вибуття!! (фактичні видатки)</t>
  </si>
  <si>
    <t>Місцезнаходження  49064, м. Дніпро, вул. Караваєва, 68</t>
  </si>
  <si>
    <t>Телефон  767-08-21</t>
  </si>
  <si>
    <t>х</t>
  </si>
  <si>
    <t>убрала амортизацию в доходах и видатках</t>
  </si>
  <si>
    <t xml:space="preserve">   медична субвенція та інші субвенції</t>
  </si>
  <si>
    <t>ИЛИ ВО ВТОРУЮ СТРОКУ 56</t>
  </si>
  <si>
    <t>передвинуть по строкам?</t>
  </si>
  <si>
    <t>G=50179110?</t>
  </si>
  <si>
    <t>Пролікований випадок</t>
  </si>
  <si>
    <t>Стаціонарна паліативна медична допомога дорослим та дітям</t>
  </si>
  <si>
    <t>кількість хворих</t>
  </si>
  <si>
    <t>Мобільна паліативна медична допомога дорослим та дітям</t>
  </si>
  <si>
    <t>Медична реабілітація немовлят, які народилися передчасно та/або хворими, протягом перших трьох років життя</t>
  </si>
  <si>
    <t>кількість немовлят</t>
  </si>
  <si>
    <t>Стаціонарна допомога пацієнтам з гострою респіраторною хворобою COVID-19, спричиненою коронавірусом SARS-CoV-2</t>
  </si>
  <si>
    <t>кількість апаратів штучної вентиляції легень/кількість команд</t>
  </si>
  <si>
    <t>5/4</t>
  </si>
  <si>
    <t>Перехідне фінансове забезпечення комплексного надання медичних послуг</t>
  </si>
  <si>
    <t>-</t>
  </si>
  <si>
    <t>крім цього, по НСЗУ в надходження включений залишок коштів на 01.01.21</t>
  </si>
  <si>
    <t>Виконавець  Лускань В.І., тел. 097-079-27-36</t>
  </si>
  <si>
    <t>КНП "Міська дитяча клінічна лікарня № 6"Дніпровської міської ради</t>
  </si>
  <si>
    <t>з 05.07.21</t>
  </si>
  <si>
    <t xml:space="preserve">Мед.допомога дорослим та дітям в амбулаторних умовах(профілакт,спостереж., діагнст., лікув.та мед.реабілітація) </t>
  </si>
  <si>
    <t>новое название пакета</t>
  </si>
  <si>
    <t>Медична реабілітація дорослих та дітей від трьох років з ураженням нервової системи</t>
  </si>
  <si>
    <r>
      <rPr>
        <b/>
        <sz val="12"/>
        <color indexed="8"/>
        <rFont val="Times New Roman"/>
        <family val="1"/>
      </rPr>
      <t>Адміністративно-господарські  видатки</t>
    </r>
    <r>
      <rPr>
        <sz val="12"/>
        <color indexed="8"/>
        <rFont val="Times New Roman"/>
        <family val="1"/>
      </rPr>
      <t xml:space="preserve"> за джерелами надходження коштів на 2021 рік</t>
    </r>
  </si>
  <si>
    <r>
      <rPr>
        <b/>
        <sz val="12"/>
        <color indexed="8"/>
        <rFont val="Times New Roman"/>
        <family val="1"/>
      </rPr>
      <t>Видатки</t>
    </r>
    <r>
      <rPr>
        <sz val="12"/>
        <color indexed="8"/>
        <rFont val="Times New Roman"/>
        <family val="1"/>
      </rPr>
      <t xml:space="preserve"> за джерелами надходження коштів на 2021  рік</t>
    </r>
  </si>
  <si>
    <t>Інвестиційна діяльність підприємства у 2021 році (ПЛАНОВІ ПРИЗНАЧЕННЯ)</t>
  </si>
  <si>
    <t>Інвестиційна діяльність підприємства у другому кварталі  2021 року (ЗВІТ)</t>
  </si>
  <si>
    <t>в т.ч.: оплата послуг з охорони, сигналізація-10460,00 грн.,транспортні послуги-146366,00 грн.,ліфти та інше технічне обслуговування-10027,00 грн.,внутрішній зв'язок-433,00 грн.,обслуговування та ремонт комп'ютерного обладнання, послуги Інтернету-9336,00 грн.,експлуатаційні видатки-32473,00 грн.,послуги з перезарядки картриджів-2939,00 грн.,поточний ремонт побутової техніки-10373,00 грн.,послуги з програмного забезпечення-4413,00 грн., послуги телефонного зв'язку-1816,00 грн.,поточний ремонт приміщень- 28814,00 грн., послуги з санітарно-гігієнічної обробки приміщень-3458,00 грн.</t>
  </si>
  <si>
    <t>в т.ч.: оплата послуг з охорони, сигналізація-97865,00 грн.,послуги з прання білизни-194759,00 грн.,транспортні послуги-1369503,00 грн.,послуги з технічного обслуговування та поточного ремонту обладнання, техніки-691680,00 грн., послуги з повірки засобів обліку та обладнання-310613,00 грн., послуги з поточного ремонту будівель,приміщень-1156719,00 грн.,вивезення і утилізація  відходів-17244,00 грн.,послуги з програмного забезпечення-47992,00 грн.,перезарядка картриджів-27499,00 грн.,короткотермінові семінари-10792,00 грн.,телефонний зв'язок-16985,00 грн., користування мережею Інтернету-174017,00 грн.,експлуатаційні видатки-111681,00 грн.послуги з санітарно-гігієнічної обробки приміщень-36352,00 грн.</t>
  </si>
  <si>
    <t>Інші джерела</t>
  </si>
  <si>
    <t>Кошти місцевого бюджету</t>
  </si>
  <si>
    <t>Мікроскоп бінокулярний лабораторний</t>
  </si>
  <si>
    <t>шт.</t>
  </si>
  <si>
    <t>Гематологічний аналізатор</t>
  </si>
  <si>
    <t>Ліжко дитяче</t>
  </si>
  <si>
    <t>Тумба приліжкова</t>
  </si>
  <si>
    <t>Пульсоксиметр</t>
  </si>
  <si>
    <t>Імуноферментний аналізатор (ІФА)</t>
  </si>
  <si>
    <t>Центрифуга з охолодженням</t>
  </si>
  <si>
    <t>Апарат УЗД ( портативний )</t>
  </si>
  <si>
    <t>Система назальної високопотокової оксигенотерапії</t>
  </si>
  <si>
    <t>Зволожувачі кисню</t>
  </si>
  <si>
    <t>Ліжко функціональне</t>
  </si>
  <si>
    <t>Інфузомат (шприцевий дозатор) SYS-3011 Medcaptain</t>
  </si>
  <si>
    <t>шт</t>
  </si>
  <si>
    <t>Дефібрилятор</t>
  </si>
  <si>
    <t>Кисневий концентратор</t>
  </si>
  <si>
    <t>Опромінювач бактерицидний</t>
  </si>
  <si>
    <t xml:space="preserve">РАЗОМ </t>
  </si>
  <si>
    <t>24.0-відходи, 3570.00-земельний под.; 0.93-пеня</t>
  </si>
  <si>
    <t xml:space="preserve">900.00; 2788.00-возврат </t>
  </si>
  <si>
    <t>ставлю аморт258288</t>
  </si>
  <si>
    <t>НУЖНО СНИМАТЬ ПЛАН ВТОРОГО КВАРТАЛА, а в ЗВИТ- ДОБАВЛЯТЬ НАДХОДЖЕННЯ, чт.перекрыть видатки</t>
  </si>
  <si>
    <t>если не буду корректировать 2111</t>
  </si>
  <si>
    <t>здесь ставлю и доход от амортизации</t>
  </si>
  <si>
    <t>может ли быть план по стр 79-7011</t>
  </si>
  <si>
    <t>ЯНА</t>
  </si>
  <si>
    <t>Факт Е.Ю.</t>
  </si>
  <si>
    <t>2270=3370230,09</t>
  </si>
  <si>
    <t>амортизация</t>
  </si>
  <si>
    <t>поскольку покупка основніх ср-в не считается ни доходом ни видатками до момента начисления амортизации мі отсюда убираем придбання обладнання</t>
  </si>
  <si>
    <t>поставили сюда видатки ыншы- больничные ФСС, комисия банку, адмынпослуги,,,,</t>
  </si>
  <si>
    <t>у нас нет  строки на остатки прошлого года, поэтому у нас отриц.результат</t>
  </si>
  <si>
    <t>резерв 2359675 разбила на 1-2 статьи на 3-й кв-л</t>
  </si>
  <si>
    <t>Ольга ВОРОНЬКО</t>
  </si>
  <si>
    <t>Юлія ВІКЛІЄНКО</t>
  </si>
  <si>
    <t>Наталія ФОМЕНКОВА</t>
  </si>
  <si>
    <t>Олена БІЛОКРИНИЦЬКА</t>
  </si>
  <si>
    <t>КОМУНАЛЬНОГО НЕКОМЕРЦІЙНОГО ПІДПРИЄМСТВА "МІСЬКА ДИТЯЧА КЛІНІЧНА ЛІКАРНЯ № 6"ДНІПРОВСЬКОЇ МІСЬКОЇ РАДИ</t>
  </si>
  <si>
    <t>за третій квартал 2021 року</t>
  </si>
  <si>
    <t>Звітний період ( III квартал  2021 року)</t>
  </si>
  <si>
    <t>з аналізу</t>
  </si>
  <si>
    <t>план 9 міс 21 р.</t>
  </si>
  <si>
    <t>код 3142 реконструкція КПКВК 0717322</t>
  </si>
  <si>
    <t>надходж</t>
  </si>
  <si>
    <t>надходж у Яни, т.к.здесь и ЧАЕС и ДМЛ5</t>
  </si>
  <si>
    <t>в отчете за 2-й кв-л снимала С D G H 45</t>
  </si>
  <si>
    <t>з поч року</t>
  </si>
  <si>
    <t>что-то с копейками</t>
  </si>
  <si>
    <t>Яна факт 9 міс21 р.</t>
  </si>
  <si>
    <t>сняла 9 коп из-за предыд.периода</t>
  </si>
  <si>
    <t>изменить план под уточненный</t>
  </si>
  <si>
    <t>перенесла ЧАЕС, интернов,поступление от ДМЛ № 5  с надходжень НСЗУ</t>
  </si>
  <si>
    <t>2300000 и 12119000-включила в 4-й кв-л</t>
  </si>
  <si>
    <t>Марина МАКАРОВА</t>
  </si>
  <si>
    <t>Середньооблікова кількість штатних працівників    887</t>
  </si>
  <si>
    <t>на   2021  рік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</si>
</sst>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.000"/>
    <numFmt numFmtId="183" formatCode="0.000"/>
    <numFmt numFmtId="184" formatCode="#,##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.5"/>
      <color indexed="10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b/>
      <sz val="13.5"/>
      <color indexed="8"/>
      <name val="Calibri"/>
      <family val="2"/>
    </font>
    <font>
      <sz val="12"/>
      <color indexed="8"/>
      <name val="Calibri"/>
      <family val="2"/>
    </font>
    <font>
      <b/>
      <sz val="13.5"/>
      <color indexed="10"/>
      <name val="Calibri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u val="single"/>
      <sz val="13.5"/>
      <name val="Times New Roman"/>
      <family val="1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.5"/>
      <name val="Calibri"/>
      <family val="2"/>
    </font>
    <font>
      <sz val="11"/>
      <name val="Times New Roman Cyr"/>
      <family val="1"/>
    </font>
    <font>
      <sz val="10"/>
      <color indexed="8"/>
      <name val="Times New Roman"/>
      <family val="1"/>
    </font>
    <font>
      <b/>
      <u val="single"/>
      <sz val="13.5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/>
      <top/>
      <bottom/>
    </border>
    <border>
      <left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17" fillId="0" borderId="0" xfId="49" applyFont="1" applyAlignment="1" applyProtection="1">
      <alignment horizontal="center" vertical="center"/>
      <protection locked="0"/>
    </xf>
    <xf numFmtId="0" fontId="18" fillId="0" borderId="0" xfId="49" applyFont="1">
      <alignment/>
      <protection/>
    </xf>
    <xf numFmtId="0" fontId="18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16" fillId="0" borderId="0" xfId="49" applyFont="1" applyAlignment="1" applyProtection="1">
      <alignment horizontal="left" vertical="center"/>
      <protection locked="0"/>
    </xf>
    <xf numFmtId="0" fontId="16" fillId="0" borderId="0" xfId="49" applyFont="1" applyAlignment="1">
      <alignment horizontal="left"/>
      <protection/>
    </xf>
    <xf numFmtId="0" fontId="16" fillId="0" borderId="0" xfId="49" applyFont="1">
      <alignment/>
      <protection/>
    </xf>
    <xf numFmtId="0" fontId="8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/>
      <protection/>
    </xf>
    <xf numFmtId="0" fontId="7" fillId="34" borderId="0" xfId="49" applyFont="1" applyFill="1" applyBorder="1" applyAlignment="1">
      <alignment horizontal="center"/>
      <protection/>
    </xf>
    <xf numFmtId="0" fontId="16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183" fontId="18" fillId="33" borderId="0" xfId="49" applyNumberFormat="1" applyFont="1" applyFill="1">
      <alignment/>
      <protection/>
    </xf>
    <xf numFmtId="0" fontId="7" fillId="34" borderId="11" xfId="0" applyFont="1" applyFill="1" applyBorder="1" applyAlignment="1">
      <alignment horizontal="justify" vertical="center" wrapText="1"/>
    </xf>
    <xf numFmtId="182" fontId="7" fillId="0" borderId="10" xfId="0" applyNumberFormat="1" applyFont="1" applyFill="1" applyBorder="1" applyAlignment="1">
      <alignment horizontal="center"/>
    </xf>
    <xf numFmtId="182" fontId="18" fillId="33" borderId="0" xfId="49" applyNumberFormat="1" applyFont="1" applyFill="1">
      <alignment/>
      <protection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justify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18" fillId="0" borderId="0" xfId="49" applyFont="1" applyFill="1">
      <alignment/>
      <protection/>
    </xf>
    <xf numFmtId="0" fontId="6" fillId="0" borderId="0" xfId="49" applyFont="1" applyFill="1" applyBorder="1">
      <alignment/>
      <protection/>
    </xf>
    <xf numFmtId="0" fontId="6" fillId="0" borderId="0" xfId="49" applyFont="1" applyFill="1" applyBorder="1" applyAlignment="1">
      <alignment horizontal="center"/>
      <protection/>
    </xf>
    <xf numFmtId="182" fontId="6" fillId="0" borderId="0" xfId="49" applyNumberFormat="1" applyFont="1" applyFill="1" applyBorder="1" applyAlignment="1">
      <alignment horizontal="center"/>
      <protection/>
    </xf>
    <xf numFmtId="182" fontId="16" fillId="0" borderId="0" xfId="49" applyNumberFormat="1" applyFont="1" applyFill="1" applyAlignment="1">
      <alignment horizontal="center"/>
      <protection/>
    </xf>
    <xf numFmtId="0" fontId="16" fillId="0" borderId="0" xfId="49" applyFont="1" applyFill="1" applyAlignment="1">
      <alignment horizontal="center"/>
      <protection/>
    </xf>
    <xf numFmtId="0" fontId="6" fillId="34" borderId="0" xfId="49" applyFont="1" applyFill="1" applyBorder="1">
      <alignment/>
      <protection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182" fontId="7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7" fillId="0" borderId="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19" fillId="33" borderId="0" xfId="49" applyFont="1" applyFill="1">
      <alignment/>
      <protection/>
    </xf>
    <xf numFmtId="0" fontId="19" fillId="0" borderId="0" xfId="49" applyFont="1">
      <alignment/>
      <protection/>
    </xf>
    <xf numFmtId="0" fontId="6" fillId="0" borderId="0" xfId="49" applyFont="1" applyAlignment="1">
      <alignment/>
      <protection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6" fillId="0" borderId="15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6" fillId="34" borderId="0" xfId="49" applyFont="1" applyFill="1" applyBorder="1" applyAlignment="1">
      <alignment horizontal="center"/>
      <protection/>
    </xf>
    <xf numFmtId="0" fontId="7" fillId="0" borderId="10" xfId="48" applyFont="1" applyBorder="1" applyAlignment="1">
      <alignment horizontal="justify" vertical="top" wrapText="1"/>
      <protection/>
    </xf>
    <xf numFmtId="0" fontId="11" fillId="0" borderId="0" xfId="0" applyFont="1" applyAlignment="1">
      <alignment/>
    </xf>
    <xf numFmtId="4" fontId="7" fillId="0" borderId="13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3" fillId="34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8" fillId="33" borderId="10" xfId="49" applyFont="1" applyFill="1" applyBorder="1">
      <alignment/>
      <protection/>
    </xf>
    <xf numFmtId="0" fontId="18" fillId="33" borderId="0" xfId="49" applyFont="1" applyFill="1" applyAlignment="1">
      <alignment horizontal="right"/>
      <protection/>
    </xf>
    <xf numFmtId="49" fontId="11" fillId="0" borderId="10" xfId="0" applyNumberFormat="1" applyFont="1" applyBorder="1" applyAlignment="1">
      <alignment horizontal="center"/>
    </xf>
    <xf numFmtId="184" fontId="4" fillId="0" borderId="12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84" fontId="4" fillId="0" borderId="18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16" fillId="33" borderId="0" xfId="49" applyFont="1" applyFill="1">
      <alignment/>
      <protection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20" xfId="49" applyFont="1" applyBorder="1" applyAlignment="1" applyProtection="1">
      <alignment horizontal="right"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11" fillId="0" borderId="0" xfId="0" applyFont="1" applyAlignment="1">
      <alignment horizontal="right"/>
    </xf>
    <xf numFmtId="0" fontId="7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vertical="center" wrapText="1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2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3" fillId="33" borderId="2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/>
      <protection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5" fillId="33" borderId="0" xfId="49" applyFont="1" applyFill="1">
      <alignment/>
      <protection/>
    </xf>
    <xf numFmtId="0" fontId="18" fillId="0" borderId="0" xfId="0" applyFont="1" applyAlignment="1" applyProtection="1">
      <alignment/>
      <protection locked="0"/>
    </xf>
    <xf numFmtId="0" fontId="18" fillId="33" borderId="0" xfId="49" applyFont="1" applyFill="1" applyAlignment="1">
      <alignment vertical="top"/>
      <protection/>
    </xf>
    <xf numFmtId="0" fontId="21" fillId="33" borderId="0" xfId="49" applyFont="1" applyFill="1">
      <alignment/>
      <protection/>
    </xf>
    <xf numFmtId="0" fontId="3" fillId="0" borderId="10" xfId="49" applyFont="1" applyFill="1" applyBorder="1" applyAlignment="1" applyProtection="1">
      <alignment horizontal="center" vertical="center" wrapText="1"/>
      <protection locked="0"/>
    </xf>
    <xf numFmtId="2" fontId="7" fillId="0" borderId="12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wrapText="1"/>
    </xf>
    <xf numFmtId="0" fontId="14" fillId="0" borderId="24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1" fontId="11" fillId="0" borderId="27" xfId="0" applyNumberFormat="1" applyFont="1" applyBorder="1" applyAlignment="1">
      <alignment horizontal="center" wrapText="1"/>
    </xf>
    <xf numFmtId="1" fontId="11" fillId="0" borderId="21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 wrapText="1"/>
    </xf>
    <xf numFmtId="1" fontId="11" fillId="0" borderId="28" xfId="0" applyNumberFormat="1" applyFont="1" applyBorder="1" applyAlignment="1">
      <alignment horizontal="center" wrapText="1"/>
    </xf>
    <xf numFmtId="0" fontId="11" fillId="0" borderId="29" xfId="0" applyFont="1" applyBorder="1" applyAlignment="1">
      <alignment wrapText="1"/>
    </xf>
    <xf numFmtId="3" fontId="11" fillId="0" borderId="29" xfId="0" applyNumberFormat="1" applyFont="1" applyBorder="1" applyAlignment="1">
      <alignment horizontal="center" wrapText="1"/>
    </xf>
    <xf numFmtId="4" fontId="11" fillId="0" borderId="30" xfId="0" applyNumberFormat="1" applyFont="1" applyBorder="1" applyAlignment="1">
      <alignment wrapText="1"/>
    </xf>
    <xf numFmtId="0" fontId="14" fillId="0" borderId="26" xfId="0" applyFont="1" applyFill="1" applyBorder="1" applyAlignment="1">
      <alignment wrapText="1"/>
    </xf>
    <xf numFmtId="0" fontId="14" fillId="0" borderId="19" xfId="0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4" fontId="11" fillId="0" borderId="31" xfId="0" applyNumberFormat="1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wrapText="1"/>
    </xf>
    <xf numFmtId="0" fontId="11" fillId="33" borderId="33" xfId="0" applyFont="1" applyFill="1" applyBorder="1" applyAlignment="1">
      <alignment horizontal="center" vertical="center" wrapText="1"/>
    </xf>
    <xf numFmtId="3" fontId="11" fillId="33" borderId="3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4" fontId="1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6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/>
    </xf>
    <xf numFmtId="4" fontId="29" fillId="0" borderId="13" xfId="0" applyNumberFormat="1" applyFont="1" applyFill="1" applyBorder="1" applyAlignment="1">
      <alignment horizontal="center" vertical="center" wrapText="1"/>
    </xf>
    <xf numFmtId="4" fontId="29" fillId="0" borderId="17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wrapText="1"/>
    </xf>
    <xf numFmtId="4" fontId="14" fillId="0" borderId="10" xfId="0" applyNumberFormat="1" applyFont="1" applyBorder="1" applyAlignment="1">
      <alignment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1" fillId="0" borderId="10" xfId="0" applyNumberFormat="1" applyFont="1" applyFill="1" applyBorder="1" applyAlignment="1" applyProtection="1">
      <alignment horizontal="right" vertical="center"/>
      <protection locked="0"/>
    </xf>
    <xf numFmtId="4" fontId="28" fillId="0" borderId="11" xfId="0" applyNumberFormat="1" applyFont="1" applyFill="1" applyBorder="1" applyAlignment="1">
      <alignment horizontal="center" vertical="center" wrapText="1"/>
    </xf>
    <xf numFmtId="182" fontId="4" fillId="0" borderId="35" xfId="0" applyNumberFormat="1" applyFont="1" applyFill="1" applyBorder="1" applyAlignment="1">
      <alignment horizontal="center" vertical="center"/>
    </xf>
    <xf numFmtId="182" fontId="4" fillId="0" borderId="3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right"/>
    </xf>
    <xf numFmtId="0" fontId="11" fillId="0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right" vertical="center" wrapText="1"/>
      <protection locked="0"/>
    </xf>
    <xf numFmtId="0" fontId="11" fillId="34" borderId="10" xfId="0" applyFont="1" applyFill="1" applyBorder="1" applyAlignment="1" applyProtection="1">
      <alignment vertical="center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32" fillId="0" borderId="10" xfId="0" applyNumberFormat="1" applyFont="1" applyFill="1" applyBorder="1" applyAlignment="1" applyProtection="1">
      <alignment vertical="center" wrapText="1"/>
      <protection locked="0"/>
    </xf>
    <xf numFmtId="2" fontId="32" fillId="0" borderId="10" xfId="0" applyNumberFormat="1" applyFont="1" applyFill="1" applyBorder="1" applyAlignment="1" applyProtection="1">
      <alignment/>
      <protection locked="0"/>
    </xf>
    <xf numFmtId="4" fontId="18" fillId="33" borderId="0" xfId="49" applyNumberFormat="1" applyFont="1" applyFill="1">
      <alignment/>
      <protection/>
    </xf>
    <xf numFmtId="0" fontId="33" fillId="33" borderId="0" xfId="49" applyFont="1" applyFill="1">
      <alignment/>
      <protection/>
    </xf>
    <xf numFmtId="0" fontId="15" fillId="33" borderId="0" xfId="49" applyFont="1" applyFill="1">
      <alignment/>
      <protection/>
    </xf>
    <xf numFmtId="0" fontId="18" fillId="33" borderId="37" xfId="49" applyFont="1" applyFill="1" applyBorder="1" applyAlignment="1">
      <alignment horizontal="left" vertical="center"/>
      <protection/>
    </xf>
    <xf numFmtId="0" fontId="18" fillId="33" borderId="0" xfId="49" applyFont="1" applyFill="1" applyAlignment="1">
      <alignment horizontal="left" vertical="center"/>
      <protection/>
    </xf>
    <xf numFmtId="4" fontId="18" fillId="33" borderId="37" xfId="49" applyNumberFormat="1" applyFont="1" applyFill="1" applyBorder="1" applyAlignment="1">
      <alignment horizontal="left" vertical="center"/>
      <protection/>
    </xf>
    <xf numFmtId="0" fontId="18" fillId="33" borderId="38" xfId="49" applyFont="1" applyFill="1" applyBorder="1">
      <alignment/>
      <protection/>
    </xf>
    <xf numFmtId="0" fontId="18" fillId="33" borderId="20" xfId="49" applyFont="1" applyFill="1" applyBorder="1">
      <alignment/>
      <protection/>
    </xf>
    <xf numFmtId="0" fontId="18" fillId="33" borderId="39" xfId="49" applyFont="1" applyFill="1" applyBorder="1">
      <alignment/>
      <protection/>
    </xf>
    <xf numFmtId="0" fontId="18" fillId="33" borderId="19" xfId="49" applyFont="1" applyFill="1" applyBorder="1">
      <alignment/>
      <protection/>
    </xf>
    <xf numFmtId="0" fontId="18" fillId="33" borderId="40" xfId="49" applyFont="1" applyFill="1" applyBorder="1">
      <alignment/>
      <protection/>
    </xf>
    <xf numFmtId="0" fontId="18" fillId="36" borderId="40" xfId="49" applyFont="1" applyFill="1" applyBorder="1">
      <alignment/>
      <protection/>
    </xf>
    <xf numFmtId="0" fontId="18" fillId="0" borderId="40" xfId="49" applyFont="1" applyFill="1" applyBorder="1">
      <alignment/>
      <protection/>
    </xf>
    <xf numFmtId="0" fontId="18" fillId="33" borderId="21" xfId="49" applyFont="1" applyFill="1" applyBorder="1">
      <alignment/>
      <protection/>
    </xf>
    <xf numFmtId="0" fontId="35" fillId="33" borderId="0" xfId="49" applyFont="1" applyFill="1">
      <alignment/>
      <protection/>
    </xf>
    <xf numFmtId="0" fontId="35" fillId="33" borderId="21" xfId="49" applyFont="1" applyFill="1" applyBorder="1">
      <alignment/>
      <protection/>
    </xf>
    <xf numFmtId="0" fontId="35" fillId="33" borderId="19" xfId="49" applyFont="1" applyFill="1" applyBorder="1">
      <alignment/>
      <protection/>
    </xf>
    <xf numFmtId="0" fontId="35" fillId="33" borderId="40" xfId="49" applyFont="1" applyFill="1" applyBorder="1">
      <alignment/>
      <protection/>
    </xf>
    <xf numFmtId="0" fontId="35" fillId="33" borderId="41" xfId="49" applyFont="1" applyFill="1" applyBorder="1">
      <alignment/>
      <protection/>
    </xf>
    <xf numFmtId="0" fontId="35" fillId="33" borderId="42" xfId="49" applyFont="1" applyFill="1" applyBorder="1">
      <alignment/>
      <protection/>
    </xf>
    <xf numFmtId="0" fontId="35" fillId="33" borderId="43" xfId="49" applyFont="1" applyFill="1" applyBorder="1">
      <alignment/>
      <protection/>
    </xf>
    <xf numFmtId="4" fontId="35" fillId="33" borderId="0" xfId="49" applyNumberFormat="1" applyFont="1" applyFill="1">
      <alignment/>
      <protection/>
    </xf>
    <xf numFmtId="0" fontId="5" fillId="0" borderId="0" xfId="49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center"/>
    </xf>
    <xf numFmtId="4" fontId="35" fillId="33" borderId="42" xfId="49" applyNumberFormat="1" applyFont="1" applyFill="1" applyBorder="1">
      <alignment/>
      <protection/>
    </xf>
    <xf numFmtId="4" fontId="35" fillId="33" borderId="20" xfId="49" applyNumberFormat="1" applyFont="1" applyFill="1" applyBorder="1">
      <alignment/>
      <protection/>
    </xf>
    <xf numFmtId="4" fontId="18" fillId="0" borderId="0" xfId="49" applyNumberFormat="1" applyFont="1">
      <alignment/>
      <protection/>
    </xf>
    <xf numFmtId="4" fontId="36" fillId="0" borderId="10" xfId="0" applyNumberFormat="1" applyFont="1" applyFill="1" applyBorder="1" applyAlignment="1">
      <alignment horizontal="center" vertical="center" wrapText="1"/>
    </xf>
    <xf numFmtId="0" fontId="15" fillId="0" borderId="0" xfId="49" applyFont="1">
      <alignment/>
      <protection/>
    </xf>
    <xf numFmtId="0" fontId="4" fillId="0" borderId="11" xfId="0" applyFont="1" applyFill="1" applyBorder="1" applyAlignment="1" applyProtection="1">
      <alignment horizontal="justify" vertical="center" wrapText="1"/>
      <protection locked="0"/>
    </xf>
    <xf numFmtId="0" fontId="7" fillId="0" borderId="11" xfId="0" applyFont="1" applyFill="1" applyBorder="1" applyAlignment="1" applyProtection="1">
      <alignment horizontal="justify" vertical="center" wrapText="1"/>
      <protection locked="0"/>
    </xf>
    <xf numFmtId="0" fontId="7" fillId="0" borderId="12" xfId="0" applyFont="1" applyFill="1" applyBorder="1" applyAlignment="1" applyProtection="1">
      <alignment horizontal="justify" vertical="center" wrapText="1"/>
      <protection locked="0"/>
    </xf>
    <xf numFmtId="49" fontId="4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16" fillId="0" borderId="0" xfId="49" applyFont="1" applyFill="1">
      <alignment/>
      <protection/>
    </xf>
    <xf numFmtId="0" fontId="8" fillId="34" borderId="20" xfId="49" applyFont="1" applyFill="1" applyBorder="1">
      <alignment/>
      <protection/>
    </xf>
    <xf numFmtId="0" fontId="8" fillId="34" borderId="20" xfId="49" applyFont="1" applyFill="1" applyBorder="1" applyAlignment="1">
      <alignment horizontal="center"/>
      <protection/>
    </xf>
    <xf numFmtId="0" fontId="34" fillId="0" borderId="20" xfId="49" applyFont="1" applyFill="1" applyBorder="1" applyAlignment="1">
      <alignment horizontal="center" wrapText="1"/>
      <protection/>
    </xf>
    <xf numFmtId="0" fontId="16" fillId="0" borderId="20" xfId="49" applyFont="1" applyBorder="1" applyAlignment="1">
      <alignment horizontal="center"/>
      <protection/>
    </xf>
    <xf numFmtId="0" fontId="7" fillId="34" borderId="20" xfId="49" applyFont="1" applyFill="1" applyBorder="1" applyAlignment="1">
      <alignment horizontal="center"/>
      <protection/>
    </xf>
    <xf numFmtId="0" fontId="7" fillId="0" borderId="11" xfId="49" applyFont="1" applyFill="1" applyBorder="1" applyAlignment="1">
      <alignment horizontal="center" vertical="center" wrapText="1"/>
      <protection/>
    </xf>
    <xf numFmtId="0" fontId="7" fillId="0" borderId="12" xfId="49" applyFont="1" applyFill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 vertical="center" wrapText="1"/>
      <protection/>
    </xf>
    <xf numFmtId="0" fontId="7" fillId="0" borderId="10" xfId="49" applyFont="1" applyFill="1" applyBorder="1" applyAlignment="1">
      <alignment horizontal="center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44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0" fillId="0" borderId="16" xfId="0" applyFont="1" applyBorder="1" applyAlignment="1" applyProtection="1">
      <alignment horizontal="center"/>
      <protection locked="0"/>
    </xf>
    <xf numFmtId="4" fontId="4" fillId="0" borderId="45" xfId="0" applyNumberFormat="1" applyFont="1" applyFill="1" applyBorder="1" applyAlignment="1">
      <alignment horizontal="center" vertical="center" wrapText="1"/>
    </xf>
    <xf numFmtId="4" fontId="4" fillId="34" borderId="46" xfId="0" applyNumberFormat="1" applyFont="1" applyFill="1" applyBorder="1" applyAlignment="1">
      <alignment horizontal="center" vertical="center" wrapText="1"/>
    </xf>
    <xf numFmtId="4" fontId="4" fillId="0" borderId="47" xfId="0" applyNumberFormat="1" applyFont="1" applyFill="1" applyBorder="1" applyAlignment="1">
      <alignment horizontal="center" vertical="center" wrapText="1"/>
    </xf>
    <xf numFmtId="4" fontId="7" fillId="34" borderId="46" xfId="0" applyNumberFormat="1" applyFont="1" applyFill="1" applyBorder="1" applyAlignment="1">
      <alignment horizontal="center" vertical="center" wrapText="1"/>
    </xf>
    <xf numFmtId="4" fontId="4" fillId="34" borderId="48" xfId="0" applyNumberFormat="1" applyFont="1" applyFill="1" applyBorder="1" applyAlignment="1">
      <alignment horizontal="center" vertical="center" wrapText="1"/>
    </xf>
    <xf numFmtId="4" fontId="4" fillId="34" borderId="49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7" fillId="0" borderId="50" xfId="0" applyNumberFormat="1" applyFont="1" applyFill="1" applyBorder="1" applyAlignment="1">
      <alignment horizontal="center" vertical="center" wrapText="1"/>
    </xf>
    <xf numFmtId="4" fontId="7" fillId="0" borderId="51" xfId="0" applyNumberFormat="1" applyFont="1" applyFill="1" applyBorder="1" applyAlignment="1">
      <alignment horizontal="center" vertical="center" wrapText="1"/>
    </xf>
    <xf numFmtId="4" fontId="4" fillId="0" borderId="51" xfId="0" applyNumberFormat="1" applyFont="1" applyFill="1" applyBorder="1" applyAlignment="1">
      <alignment horizontal="center" vertical="center" wrapText="1"/>
    </xf>
    <xf numFmtId="4" fontId="7" fillId="0" borderId="45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Fill="1" applyBorder="1" applyAlignment="1">
      <alignment horizontal="center" vertical="center" wrapText="1"/>
    </xf>
    <xf numFmtId="4" fontId="4" fillId="0" borderId="53" xfId="0" applyNumberFormat="1" applyFont="1" applyFill="1" applyBorder="1" applyAlignment="1">
      <alignment horizontal="center" vertical="center" wrapText="1"/>
    </xf>
    <xf numFmtId="4" fontId="4" fillId="0" borderId="5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55" xfId="0" applyNumberFormat="1" applyFont="1" applyFill="1" applyBorder="1" applyAlignment="1">
      <alignment horizontal="center" vertical="center" wrapText="1"/>
    </xf>
    <xf numFmtId="4" fontId="4" fillId="0" borderId="56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center" vertical="center" wrapText="1"/>
    </xf>
    <xf numFmtId="4" fontId="7" fillId="0" borderId="57" xfId="0" applyNumberFormat="1" applyFont="1" applyFill="1" applyBorder="1" applyAlignment="1">
      <alignment horizontal="center" vertical="center" wrapText="1"/>
    </xf>
    <xf numFmtId="4" fontId="4" fillId="0" borderId="50" xfId="0" applyNumberFormat="1" applyFont="1" applyFill="1" applyBorder="1" applyAlignment="1">
      <alignment horizontal="center" vertical="center" wrapText="1"/>
    </xf>
    <xf numFmtId="4" fontId="4" fillId="0" borderId="58" xfId="0" applyNumberFormat="1" applyFont="1" applyFill="1" applyBorder="1" applyAlignment="1">
      <alignment horizontal="center" vertical="center" wrapText="1"/>
    </xf>
    <xf numFmtId="4" fontId="4" fillId="0" borderId="59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Fill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center" vertical="center" wrapText="1"/>
    </xf>
    <xf numFmtId="2" fontId="7" fillId="0" borderId="60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2" fontId="7" fillId="0" borderId="61" xfId="0" applyNumberFormat="1" applyFont="1" applyFill="1" applyBorder="1" applyAlignment="1">
      <alignment horizontal="center" vertical="center" wrapText="1"/>
    </xf>
    <xf numFmtId="2" fontId="7" fillId="0" borderId="57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50" xfId="0" applyNumberFormat="1" applyFont="1" applyFill="1" applyBorder="1" applyAlignment="1">
      <alignment horizontal="center" vertical="center" wrapText="1"/>
    </xf>
    <xf numFmtId="3" fontId="7" fillId="0" borderId="51" xfId="0" applyNumberFormat="1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56" xfId="0" applyNumberFormat="1" applyFont="1" applyFill="1" applyBorder="1" applyAlignment="1">
      <alignment horizontal="center" vertical="center" wrapText="1"/>
    </xf>
    <xf numFmtId="4" fontId="7" fillId="0" borderId="48" xfId="0" applyNumberFormat="1" applyFont="1" applyFill="1" applyBorder="1" applyAlignment="1">
      <alignment horizontal="center" vertical="center" wrapText="1"/>
    </xf>
    <xf numFmtId="0" fontId="27" fillId="0" borderId="20" xfId="49" applyFont="1" applyFill="1" applyBorder="1" applyAlignment="1" applyProtection="1">
      <alignment horizontal="center" vertical="center"/>
      <protection locked="0"/>
    </xf>
    <xf numFmtId="0" fontId="1" fillId="33" borderId="0" xfId="49" applyFont="1" applyFill="1">
      <alignment/>
      <protection/>
    </xf>
    <xf numFmtId="0" fontId="1" fillId="33" borderId="10" xfId="49" applyFont="1" applyFill="1" applyBorder="1">
      <alignment/>
      <protection/>
    </xf>
    <xf numFmtId="0" fontId="16" fillId="0" borderId="10" xfId="49" applyFont="1" applyBorder="1" applyAlignment="1">
      <alignment horizontal="center"/>
      <protection/>
    </xf>
    <xf numFmtId="0" fontId="18" fillId="0" borderId="10" xfId="49" applyFont="1" applyBorder="1">
      <alignment/>
      <protection/>
    </xf>
    <xf numFmtId="4" fontId="18" fillId="0" borderId="10" xfId="49" applyNumberFormat="1" applyFont="1" applyBorder="1">
      <alignment/>
      <protection/>
    </xf>
    <xf numFmtId="0" fontId="18" fillId="0" borderId="10" xfId="0" applyFont="1" applyBorder="1" applyAlignment="1" applyProtection="1">
      <alignment/>
      <protection locked="0"/>
    </xf>
    <xf numFmtId="0" fontId="18" fillId="37" borderId="10" xfId="49" applyFont="1" applyFill="1" applyBorder="1">
      <alignment/>
      <protection/>
    </xf>
    <xf numFmtId="0" fontId="15" fillId="33" borderId="10" xfId="49" applyFont="1" applyFill="1" applyBorder="1">
      <alignment/>
      <protection/>
    </xf>
    <xf numFmtId="4" fontId="15" fillId="0" borderId="10" xfId="49" applyNumberFormat="1" applyFont="1" applyBorder="1">
      <alignment/>
      <protection/>
    </xf>
    <xf numFmtId="0" fontId="18" fillId="33" borderId="10" xfId="49" applyFont="1" applyFill="1" applyBorder="1" applyAlignment="1">
      <alignment horizontal="left" vertical="center"/>
      <protection/>
    </xf>
    <xf numFmtId="4" fontId="18" fillId="33" borderId="0" xfId="49" applyNumberFormat="1" applyFont="1" applyFill="1" applyAlignment="1">
      <alignment horizontal="left" vertical="center"/>
      <protection/>
    </xf>
    <xf numFmtId="0" fontId="17" fillId="0" borderId="0" xfId="49" applyFont="1" applyAlignment="1">
      <alignment horizontal="center"/>
      <protection/>
    </xf>
    <xf numFmtId="0" fontId="37" fillId="0" borderId="19" xfId="49" applyFont="1" applyBorder="1" applyAlignment="1">
      <alignment horizontal="center"/>
      <protection/>
    </xf>
    <xf numFmtId="0" fontId="37" fillId="0" borderId="40" xfId="49" applyFont="1" applyBorder="1" applyAlignment="1">
      <alignment horizontal="center"/>
      <protection/>
    </xf>
    <xf numFmtId="0" fontId="17" fillId="0" borderId="21" xfId="49" applyFont="1" applyBorder="1" applyAlignment="1">
      <alignment horizontal="center"/>
      <protection/>
    </xf>
    <xf numFmtId="0" fontId="35" fillId="33" borderId="10" xfId="49" applyFont="1" applyFill="1" applyBorder="1">
      <alignment/>
      <protection/>
    </xf>
    <xf numFmtId="0" fontId="37" fillId="0" borderId="10" xfId="49" applyFont="1" applyBorder="1" applyAlignment="1">
      <alignment horizontal="center"/>
      <protection/>
    </xf>
    <xf numFmtId="4" fontId="17" fillId="0" borderId="0" xfId="49" applyNumberFormat="1" applyFont="1" applyAlignment="1">
      <alignment horizontal="center"/>
      <protection/>
    </xf>
    <xf numFmtId="0" fontId="37" fillId="0" borderId="0" xfId="49" applyFont="1">
      <alignment/>
      <protection/>
    </xf>
    <xf numFmtId="4" fontId="35" fillId="33" borderId="10" xfId="49" applyNumberFormat="1" applyFont="1" applyFill="1" applyBorder="1">
      <alignment/>
      <protection/>
    </xf>
    <xf numFmtId="2" fontId="38" fillId="0" borderId="0" xfId="49" applyNumberFormat="1" applyFont="1" applyAlignment="1">
      <alignment horizontal="center"/>
      <protection/>
    </xf>
    <xf numFmtId="0" fontId="25" fillId="0" borderId="0" xfId="49" applyFont="1">
      <alignment/>
      <protection/>
    </xf>
    <xf numFmtId="4" fontId="25" fillId="0" borderId="0" xfId="49" applyNumberFormat="1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10" fillId="0" borderId="0" xfId="49" applyFont="1" applyAlignment="1" applyProtection="1">
      <alignment horizontal="center" vertical="center" wrapText="1"/>
      <protection locked="0"/>
    </xf>
    <xf numFmtId="0" fontId="24" fillId="34" borderId="0" xfId="49" applyFont="1" applyFill="1" applyBorder="1" applyAlignment="1">
      <alignment horizontal="center"/>
      <protection/>
    </xf>
    <xf numFmtId="0" fontId="35" fillId="0" borderId="0" xfId="49" applyFont="1">
      <alignment/>
      <protection/>
    </xf>
    <xf numFmtId="14" fontId="3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15" fillId="33" borderId="0" xfId="49" applyFont="1" applyFill="1" applyBorder="1" applyAlignment="1">
      <alignment horizontal="left" wrapText="1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27" fillId="0" borderId="20" xfId="49" applyFont="1" applyFill="1" applyBorder="1" applyAlignment="1" applyProtection="1">
      <alignment horizontal="center" vertical="center" wrapText="1"/>
      <protection locked="0"/>
    </xf>
    <xf numFmtId="0" fontId="5" fillId="34" borderId="0" xfId="49" applyFont="1" applyFill="1" applyBorder="1" applyAlignment="1">
      <alignment horizontal="center"/>
      <protection/>
    </xf>
    <xf numFmtId="0" fontId="24" fillId="34" borderId="0" xfId="49" applyFont="1" applyFill="1" applyBorder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8" xfId="49" applyFont="1" applyFill="1" applyBorder="1" applyAlignment="1">
      <alignment horizontal="center" vertical="center" wrapText="1"/>
      <protection/>
    </xf>
    <xf numFmtId="0" fontId="16" fillId="33" borderId="0" xfId="49" applyFont="1" applyFill="1" applyBorder="1" applyAlignment="1">
      <alignment horizontal="left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6" xfId="49" applyFont="1" applyBorder="1" applyAlignment="1" applyProtection="1">
      <alignment horizontal="center" vertical="center" wrapText="1"/>
      <protection locked="0"/>
    </xf>
    <xf numFmtId="0" fontId="3" fillId="0" borderId="35" xfId="49" applyFont="1" applyBorder="1" applyAlignment="1" applyProtection="1">
      <alignment horizontal="center" vertical="center" wrapText="1"/>
      <protection locked="0"/>
    </xf>
    <xf numFmtId="0" fontId="3" fillId="0" borderId="36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20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18" fillId="33" borderId="0" xfId="49" applyFont="1" applyFill="1" applyBorder="1" applyAlignment="1">
      <alignment horizontal="left" vertical="center" wrapText="1"/>
      <protection/>
    </xf>
    <xf numFmtId="0" fontId="19" fillId="33" borderId="0" xfId="49" applyFont="1" applyFill="1" applyBorder="1" applyAlignment="1">
      <alignment horizontal="left" vertical="top" wrapText="1"/>
      <protection/>
    </xf>
    <xf numFmtId="0" fontId="4" fillId="34" borderId="63" xfId="49" applyFont="1" applyFill="1" applyBorder="1" applyAlignment="1">
      <alignment horizontal="center" vertical="center" wrapText="1"/>
      <protection/>
    </xf>
    <xf numFmtId="0" fontId="4" fillId="34" borderId="0" xfId="49" applyFont="1" applyFill="1" applyBorder="1" applyAlignment="1">
      <alignment horizontal="center" vertical="center" wrapText="1"/>
      <protection/>
    </xf>
    <xf numFmtId="0" fontId="4" fillId="34" borderId="64" xfId="49" applyFont="1" applyFill="1" applyBorder="1" applyAlignment="1">
      <alignment horizontal="center" vertical="center" wrapText="1"/>
      <protection/>
    </xf>
    <xf numFmtId="0" fontId="22" fillId="33" borderId="0" xfId="49" applyFont="1" applyFill="1" applyAlignment="1">
      <alignment horizontal="left" vertical="center" wrapText="1"/>
      <protection/>
    </xf>
    <xf numFmtId="0" fontId="19" fillId="33" borderId="0" xfId="49" applyFont="1" applyFill="1" applyBorder="1" applyAlignment="1">
      <alignment horizontal="left" wrapText="1"/>
      <protection/>
    </xf>
    <xf numFmtId="0" fontId="18" fillId="33" borderId="0" xfId="49" applyFont="1" applyFill="1" applyBorder="1" applyAlignment="1">
      <alignment horizontal="left" wrapText="1"/>
      <protection/>
    </xf>
    <xf numFmtId="0" fontId="18" fillId="33" borderId="0" xfId="49" applyFont="1" applyFill="1" applyAlignment="1">
      <alignment horizontal="left" wrapText="1"/>
      <protection/>
    </xf>
    <xf numFmtId="0" fontId="18" fillId="33" borderId="0" xfId="49" applyFont="1" applyFill="1" applyBorder="1" applyAlignment="1">
      <alignment horizontal="left" vertical="center" wrapText="1"/>
      <protection/>
    </xf>
    <xf numFmtId="0" fontId="18" fillId="33" borderId="0" xfId="49" applyFont="1" applyFill="1" applyAlignment="1">
      <alignment horizontal="left" vertical="center" wrapText="1"/>
      <protection/>
    </xf>
    <xf numFmtId="0" fontId="16" fillId="33" borderId="0" xfId="49" applyFont="1" applyFill="1" applyBorder="1" applyAlignment="1">
      <alignment horizontal="left" vertical="center" wrapText="1"/>
      <protection/>
    </xf>
    <xf numFmtId="0" fontId="16" fillId="33" borderId="0" xfId="49" applyFont="1" applyFill="1" applyAlignment="1">
      <alignment horizontal="left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/>
      <protection/>
    </xf>
    <xf numFmtId="0" fontId="4" fillId="0" borderId="6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6" fillId="0" borderId="15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28" fillId="0" borderId="20" xfId="49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7" fillId="34" borderId="35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67" xfId="0" applyFont="1" applyBorder="1" applyAlignment="1">
      <alignment horizontal="center" wrapText="1"/>
    </xf>
    <xf numFmtId="0" fontId="13" fillId="0" borderId="68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6" fillId="34" borderId="0" xfId="49" applyFont="1" applyFill="1" applyBorder="1" applyAlignment="1">
      <alignment horizontal="center"/>
      <protection/>
    </xf>
    <xf numFmtId="0" fontId="11" fillId="0" borderId="42" xfId="0" applyFont="1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23" fillId="0" borderId="20" xfId="0" applyFont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2" fontId="4" fillId="0" borderId="19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0" xfId="49" applyFont="1" applyBorder="1" applyAlignment="1" applyProtection="1">
      <alignment horizontal="center" vertical="center" wrapText="1"/>
      <protection locked="0"/>
    </xf>
    <xf numFmtId="182" fontId="4" fillId="0" borderId="16" xfId="0" applyNumberFormat="1" applyFont="1" applyFill="1" applyBorder="1" applyAlignment="1">
      <alignment horizontal="center" vertical="center" wrapText="1"/>
    </xf>
    <xf numFmtId="182" fontId="4" fillId="0" borderId="35" xfId="0" applyNumberFormat="1" applyFont="1" applyFill="1" applyBorder="1" applyAlignment="1">
      <alignment horizontal="center" vertical="center" wrapText="1"/>
    </xf>
    <xf numFmtId="182" fontId="4" fillId="0" borderId="36" xfId="0" applyNumberFormat="1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9" fillId="0" borderId="21" xfId="49" applyFont="1" applyFill="1" applyBorder="1" applyAlignment="1">
      <alignment horizontal="center" vertical="center" wrapText="1"/>
      <protection/>
    </xf>
    <xf numFmtId="0" fontId="9" fillId="0" borderId="17" xfId="49" applyFont="1" applyFill="1" applyBorder="1" applyAlignment="1">
      <alignment horizontal="center" vertical="center" wrapText="1"/>
      <protection/>
    </xf>
    <xf numFmtId="0" fontId="9" fillId="0" borderId="15" xfId="49" applyFont="1" applyFill="1" applyBorder="1" applyAlignment="1">
      <alignment horizontal="center" vertical="center" wrapText="1"/>
      <protection/>
    </xf>
    <xf numFmtId="0" fontId="9" fillId="0" borderId="70" xfId="49" applyFont="1" applyFill="1" applyBorder="1" applyAlignment="1">
      <alignment horizontal="center" vertical="center" wrapText="1"/>
      <protection/>
    </xf>
    <xf numFmtId="4" fontId="35" fillId="0" borderId="0" xfId="49" applyNumberFormat="1" applyFont="1">
      <alignment/>
      <protection/>
    </xf>
    <xf numFmtId="0" fontId="20" fillId="33" borderId="10" xfId="49" applyFont="1" applyFill="1" applyBorder="1">
      <alignment/>
      <protection/>
    </xf>
    <xf numFmtId="4" fontId="18" fillId="33" borderId="10" xfId="49" applyNumberFormat="1" applyFont="1" applyFill="1" applyBorder="1" applyAlignment="1">
      <alignment horizontal="left" vertical="center"/>
      <protection/>
    </xf>
    <xf numFmtId="0" fontId="9" fillId="0" borderId="10" xfId="49" applyFont="1" applyFill="1" applyBorder="1" applyAlignment="1">
      <alignment horizontal="center" vertical="center" wrapText="1"/>
      <protection/>
    </xf>
    <xf numFmtId="0" fontId="16" fillId="0" borderId="10" xfId="49" applyFont="1" applyFill="1" applyBorder="1" applyAlignment="1">
      <alignment horizontal="center" vertical="center"/>
      <protection/>
    </xf>
    <xf numFmtId="0" fontId="7" fillId="0" borderId="0" xfId="49" applyFont="1" applyBorder="1" applyAlignment="1" applyProtection="1">
      <alignment horizontal="right" wrapText="1"/>
      <protection locked="0"/>
    </xf>
    <xf numFmtId="0" fontId="27" fillId="0" borderId="0" xfId="49" applyFont="1" applyFill="1" applyBorder="1" applyAlignment="1" applyProtection="1">
      <alignment horizontal="center" vertical="center" wrapText="1"/>
      <protection locked="0"/>
    </xf>
    <xf numFmtId="0" fontId="9" fillId="34" borderId="0" xfId="49" applyFont="1" applyFill="1" applyBorder="1" applyAlignment="1">
      <alignment horizontal="center" vertical="center" wrapText="1"/>
      <protection/>
    </xf>
    <xf numFmtId="0" fontId="16" fillId="0" borderId="0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/>
      <protection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13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0" fontId="9" fillId="0" borderId="11" xfId="49" applyFont="1" applyFill="1" applyBorder="1" applyAlignment="1">
      <alignment horizontal="center" vertical="center" wrapText="1"/>
      <protection/>
    </xf>
    <xf numFmtId="0" fontId="9" fillId="0" borderId="18" xfId="49" applyFont="1" applyFill="1" applyBorder="1" applyAlignment="1">
      <alignment horizontal="center" vertical="center" wrapText="1"/>
      <protection/>
    </xf>
    <xf numFmtId="0" fontId="9" fillId="0" borderId="12" xfId="49" applyFont="1" applyFill="1" applyBorder="1" applyAlignment="1">
      <alignment horizontal="center" vertical="center" wrapText="1"/>
      <protection/>
    </xf>
    <xf numFmtId="0" fontId="4" fillId="0" borderId="63" xfId="49" applyFont="1" applyFill="1" applyBorder="1" applyAlignment="1">
      <alignment horizontal="center" vertical="center" wrapText="1"/>
      <protection/>
    </xf>
    <xf numFmtId="0" fontId="4" fillId="0" borderId="0" xfId="49" applyFont="1" applyFill="1" applyBorder="1" applyAlignment="1">
      <alignment horizontal="center" vertical="center" wrapText="1"/>
      <protection/>
    </xf>
    <xf numFmtId="0" fontId="4" fillId="0" borderId="64" xfId="49" applyFont="1" applyFill="1" applyBorder="1" applyAlignment="1">
      <alignment horizontal="center" vertical="center" wrapText="1"/>
      <protection/>
    </xf>
    <xf numFmtId="4" fontId="7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07"/>
  <sheetViews>
    <sheetView tabSelected="1" view="pageBreakPreview" zoomScaleNormal="89" zoomScaleSheetLayoutView="100" zoomScalePageLayoutView="0" workbookViewId="0" topLeftCell="A73">
      <selection activeCell="A17" sqref="A17:I17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5.140625" style="3" customWidth="1"/>
    <col min="4" max="4" width="13.00390625" style="3" customWidth="1"/>
    <col min="5" max="5" width="16.28125" style="3" customWidth="1"/>
    <col min="6" max="6" width="16.57421875" style="3" customWidth="1"/>
    <col min="7" max="7" width="14.8515625" style="3" customWidth="1"/>
    <col min="8" max="8" width="14.140625" style="3" customWidth="1"/>
    <col min="9" max="11" width="16.00390625" style="3" customWidth="1"/>
    <col min="12" max="12" width="16.421875" style="8" customWidth="1"/>
    <col min="13" max="13" width="14.00390625" style="8" customWidth="1"/>
    <col min="14" max="15" width="10.28125" style="8" bestFit="1" customWidth="1"/>
    <col min="16" max="18" width="9.140625" style="8" customWidth="1"/>
    <col min="19" max="19" width="19.140625" style="8" customWidth="1"/>
    <col min="20" max="16384" width="9.140625" style="7" customWidth="1"/>
  </cols>
  <sheetData>
    <row r="1" spans="1:7" ht="13.5" customHeight="1">
      <c r="A1" s="1"/>
      <c r="B1" s="1"/>
      <c r="C1" s="2"/>
      <c r="D1" s="4" t="s">
        <v>1</v>
      </c>
      <c r="E1" s="5"/>
      <c r="F1" s="5"/>
      <c r="G1" s="6"/>
    </row>
    <row r="2" spans="1:11" ht="20.25" customHeight="1">
      <c r="A2" s="1"/>
      <c r="B2" s="1"/>
      <c r="C2" s="2"/>
      <c r="D2" s="380" t="s">
        <v>2</v>
      </c>
      <c r="E2" s="380"/>
      <c r="F2" s="380"/>
      <c r="G2" s="380"/>
      <c r="H2" s="380"/>
      <c r="I2" s="380"/>
      <c r="J2" s="62"/>
      <c r="K2" s="62"/>
    </row>
    <row r="3" spans="1:11" ht="7.5" customHeight="1">
      <c r="A3" s="1"/>
      <c r="B3" s="1"/>
      <c r="C3" s="2"/>
      <c r="D3" s="9"/>
      <c r="E3" s="9"/>
      <c r="F3" s="9"/>
      <c r="G3" s="10"/>
      <c r="H3" s="11"/>
      <c r="I3" s="11"/>
      <c r="J3" s="11"/>
      <c r="K3" s="11"/>
    </row>
    <row r="4" spans="1:11" ht="17.25" customHeight="1">
      <c r="A4" s="54" t="s">
        <v>4</v>
      </c>
      <c r="B4" s="1"/>
      <c r="C4" s="2"/>
      <c r="D4" s="381" t="s">
        <v>3</v>
      </c>
      <c r="E4" s="381"/>
      <c r="F4" s="381"/>
      <c r="G4" s="381"/>
      <c r="H4" s="381"/>
      <c r="I4" s="381"/>
      <c r="J4" s="362"/>
      <c r="K4" s="362"/>
    </row>
    <row r="5" spans="1:11" ht="49.5" customHeight="1">
      <c r="A5" s="55" t="s">
        <v>120</v>
      </c>
      <c r="B5" s="1"/>
      <c r="C5" s="2"/>
      <c r="D5" s="382" t="s">
        <v>119</v>
      </c>
      <c r="E5" s="382"/>
      <c r="F5" s="382"/>
      <c r="G5" s="382"/>
      <c r="H5" s="382"/>
      <c r="I5" s="382"/>
      <c r="J5" s="363"/>
      <c r="K5" s="363"/>
    </row>
    <row r="6" spans="1:11" ht="21.75" customHeight="1">
      <c r="A6" s="114" t="s">
        <v>285</v>
      </c>
      <c r="B6" s="59"/>
      <c r="C6" s="2"/>
      <c r="D6" s="383" t="s">
        <v>286</v>
      </c>
      <c r="E6" s="383"/>
      <c r="F6" s="383"/>
      <c r="G6" s="383"/>
      <c r="H6" s="383"/>
      <c r="I6" s="383"/>
      <c r="J6" s="453"/>
      <c r="K6" s="453"/>
    </row>
    <row r="7" spans="1:11" ht="12.75" customHeight="1">
      <c r="A7" s="113" t="s">
        <v>100</v>
      </c>
      <c r="B7" s="1"/>
      <c r="C7" s="2"/>
      <c r="D7" s="384" t="s">
        <v>100</v>
      </c>
      <c r="E7" s="384"/>
      <c r="F7" s="384"/>
      <c r="G7" s="384"/>
      <c r="H7" s="384"/>
      <c r="I7" s="384"/>
      <c r="J7" s="113"/>
      <c r="K7" s="113"/>
    </row>
    <row r="8" spans="1:11" ht="16.5" customHeight="1">
      <c r="A8" s="56"/>
      <c r="B8" s="1"/>
      <c r="C8" s="2"/>
      <c r="D8" s="62"/>
      <c r="E8" s="62"/>
      <c r="F8" s="62"/>
      <c r="G8" s="62"/>
      <c r="H8" s="62"/>
      <c r="I8" s="62"/>
      <c r="J8" s="62"/>
      <c r="K8" s="62"/>
    </row>
    <row r="9" spans="1:11" ht="16.5" customHeight="1">
      <c r="A9" s="61" t="s">
        <v>167</v>
      </c>
      <c r="B9" s="1"/>
      <c r="C9" s="2"/>
      <c r="D9" s="60" t="s">
        <v>72</v>
      </c>
      <c r="E9" s="60"/>
      <c r="F9" s="60"/>
      <c r="G9" s="62"/>
      <c r="H9" s="62"/>
      <c r="I9" s="62"/>
      <c r="J9" s="62"/>
      <c r="K9" s="62"/>
    </row>
    <row r="10" spans="1:12" ht="16.5" customHeight="1">
      <c r="A10" s="61" t="s">
        <v>306</v>
      </c>
      <c r="B10" s="1"/>
      <c r="C10" s="2"/>
      <c r="D10" s="60" t="s">
        <v>73</v>
      </c>
      <c r="E10" s="163" t="s">
        <v>220</v>
      </c>
      <c r="F10" s="367">
        <v>44378</v>
      </c>
      <c r="G10" s="62"/>
      <c r="H10" s="62"/>
      <c r="I10" s="62"/>
      <c r="J10" s="62"/>
      <c r="K10" s="62"/>
      <c r="L10" s="162" t="s">
        <v>212</v>
      </c>
    </row>
    <row r="11" spans="1:11" ht="16.5" customHeight="1">
      <c r="A11" s="61" t="s">
        <v>218</v>
      </c>
      <c r="B11" s="1"/>
      <c r="C11" s="2"/>
      <c r="D11" s="60"/>
      <c r="E11" s="60"/>
      <c r="F11" s="60"/>
      <c r="G11" s="62"/>
      <c r="H11" s="62"/>
      <c r="I11" s="62"/>
      <c r="J11" s="62"/>
      <c r="K11" s="62"/>
    </row>
    <row r="12" spans="1:11" ht="16.5" customHeight="1">
      <c r="A12" s="61" t="s">
        <v>219</v>
      </c>
      <c r="B12" s="1"/>
      <c r="C12" s="2"/>
      <c r="D12" s="377" t="s">
        <v>74</v>
      </c>
      <c r="E12" s="378"/>
      <c r="F12" s="379"/>
      <c r="G12" s="62"/>
      <c r="H12" s="62"/>
      <c r="I12" s="62"/>
      <c r="J12" s="62"/>
      <c r="K12" s="62"/>
    </row>
    <row r="13" spans="1:11" ht="12.75" customHeight="1">
      <c r="A13" s="56"/>
      <c r="B13" s="1"/>
      <c r="C13" s="2"/>
      <c r="D13" s="62"/>
      <c r="E13" s="62"/>
      <c r="F13" s="62"/>
      <c r="G13" s="62"/>
      <c r="H13" s="62"/>
      <c r="I13" s="62"/>
      <c r="J13" s="62"/>
      <c r="K13" s="62"/>
    </row>
    <row r="14" spans="1:12" ht="16.5" customHeight="1">
      <c r="A14" s="369" t="s">
        <v>78</v>
      </c>
      <c r="B14" s="369"/>
      <c r="C14" s="369"/>
      <c r="D14" s="369"/>
      <c r="E14" s="369"/>
      <c r="F14" s="369"/>
      <c r="G14" s="369"/>
      <c r="H14" s="369"/>
      <c r="I14" s="369"/>
      <c r="J14" s="364"/>
      <c r="K14" s="364"/>
      <c r="L14" s="8" t="s">
        <v>203</v>
      </c>
    </row>
    <row r="15" spans="1:12" ht="18">
      <c r="A15" s="370" t="s">
        <v>289</v>
      </c>
      <c r="B15" s="370"/>
      <c r="C15" s="370"/>
      <c r="D15" s="370"/>
      <c r="E15" s="370"/>
      <c r="F15" s="370"/>
      <c r="G15" s="370"/>
      <c r="H15" s="370"/>
      <c r="I15" s="370"/>
      <c r="J15" s="454"/>
      <c r="K15" s="454"/>
      <c r="L15" s="161" t="s">
        <v>204</v>
      </c>
    </row>
    <row r="16" spans="1:11" ht="12.75" customHeight="1">
      <c r="A16" s="371" t="s">
        <v>5</v>
      </c>
      <c r="B16" s="371"/>
      <c r="C16" s="371"/>
      <c r="D16" s="371"/>
      <c r="E16" s="371"/>
      <c r="F16" s="371"/>
      <c r="G16" s="371"/>
      <c r="H16" s="371"/>
      <c r="I16" s="371"/>
      <c r="J16" s="63"/>
      <c r="K16" s="63"/>
    </row>
    <row r="17" spans="1:11" ht="20.25" customHeight="1">
      <c r="A17" s="372" t="s">
        <v>307</v>
      </c>
      <c r="B17" s="372"/>
      <c r="C17" s="372"/>
      <c r="D17" s="372"/>
      <c r="E17" s="372"/>
      <c r="F17" s="372"/>
      <c r="G17" s="372"/>
      <c r="H17" s="372"/>
      <c r="I17" s="372"/>
      <c r="J17" s="365"/>
      <c r="K17" s="365"/>
    </row>
    <row r="18" spans="1:9" ht="15" customHeight="1">
      <c r="A18" s="13"/>
      <c r="B18" s="14"/>
      <c r="C18" s="14"/>
      <c r="D18" s="14"/>
      <c r="E18" s="14"/>
      <c r="H18" s="15"/>
      <c r="I18" s="3" t="s">
        <v>98</v>
      </c>
    </row>
    <row r="19" spans="1:11" ht="20.25" customHeight="1">
      <c r="A19" s="373" t="s">
        <v>6</v>
      </c>
      <c r="B19" s="373" t="s">
        <v>7</v>
      </c>
      <c r="C19" s="373" t="s">
        <v>8</v>
      </c>
      <c r="D19" s="373" t="s">
        <v>165</v>
      </c>
      <c r="E19" s="374" t="s">
        <v>9</v>
      </c>
      <c r="F19" s="376" t="s">
        <v>22</v>
      </c>
      <c r="G19" s="376"/>
      <c r="H19" s="376"/>
      <c r="I19" s="376"/>
      <c r="J19" s="455"/>
      <c r="K19" s="455"/>
    </row>
    <row r="20" spans="1:11" ht="34.5" customHeight="1">
      <c r="A20" s="373"/>
      <c r="B20" s="373"/>
      <c r="C20" s="373"/>
      <c r="D20" s="373"/>
      <c r="E20" s="374"/>
      <c r="F20" s="451" t="s">
        <v>10</v>
      </c>
      <c r="G20" s="452" t="s">
        <v>11</v>
      </c>
      <c r="H20" s="16" t="s">
        <v>12</v>
      </c>
      <c r="I20" s="16" t="s">
        <v>13</v>
      </c>
      <c r="J20" s="456"/>
      <c r="K20" s="456"/>
    </row>
    <row r="21" spans="1:11" ht="18">
      <c r="A21" s="17" t="s">
        <v>14</v>
      </c>
      <c r="B21" s="17" t="s">
        <v>15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  <c r="J21" s="457"/>
      <c r="K21" s="457"/>
    </row>
    <row r="22" spans="1:12" s="8" customFormat="1" ht="14.25" customHeight="1">
      <c r="A22" s="387" t="s">
        <v>23</v>
      </c>
      <c r="B22" s="388"/>
      <c r="C22" s="388"/>
      <c r="D22" s="388"/>
      <c r="E22" s="388"/>
      <c r="F22" s="388"/>
      <c r="G22" s="388"/>
      <c r="H22" s="388"/>
      <c r="I22" s="389"/>
      <c r="J22" s="361"/>
      <c r="K22" s="361"/>
      <c r="L22" s="21"/>
    </row>
    <row r="23" spans="1:12" s="8" customFormat="1" ht="15.75" customHeight="1">
      <c r="A23" s="387" t="s">
        <v>26</v>
      </c>
      <c r="B23" s="388"/>
      <c r="C23" s="388"/>
      <c r="D23" s="388"/>
      <c r="E23" s="388"/>
      <c r="F23" s="388"/>
      <c r="G23" s="388"/>
      <c r="H23" s="388"/>
      <c r="I23" s="389"/>
      <c r="J23" s="361"/>
      <c r="K23" s="361"/>
      <c r="L23" s="21"/>
    </row>
    <row r="24" spans="1:18" s="8" customFormat="1" ht="33" customHeight="1">
      <c r="A24" s="92" t="s">
        <v>159</v>
      </c>
      <c r="B24" s="288" t="s">
        <v>24</v>
      </c>
      <c r="C24" s="139">
        <f>C25+C26</f>
        <v>63101378</v>
      </c>
      <c r="D24" s="139">
        <f>D25+D26</f>
        <v>0</v>
      </c>
      <c r="E24" s="295">
        <f aca="true" t="shared" si="0" ref="E24:E29">F24+G24+H24+I24</f>
        <v>68593536</v>
      </c>
      <c r="F24" s="139">
        <f>F25+F26</f>
        <v>18327767</v>
      </c>
      <c r="G24" s="139">
        <f>G25+G26</f>
        <v>22285199</v>
      </c>
      <c r="H24" s="139">
        <f>H25+H26</f>
        <v>15341942</v>
      </c>
      <c r="I24" s="139">
        <f>I25+I26</f>
        <v>12638628</v>
      </c>
      <c r="J24" s="458">
        <f>F24+G24+H24</f>
        <v>55954908</v>
      </c>
      <c r="K24" s="458"/>
      <c r="L24" s="390"/>
      <c r="M24" s="390"/>
      <c r="N24" s="390"/>
      <c r="O24" s="390"/>
      <c r="P24" s="390"/>
      <c r="Q24" s="390"/>
      <c r="R24" s="390"/>
    </row>
    <row r="25" spans="1:26" s="8" customFormat="1" ht="18.75" customHeight="1">
      <c r="A25" s="22" t="s">
        <v>28</v>
      </c>
      <c r="B25" s="289" t="s">
        <v>29</v>
      </c>
      <c r="C25" s="296">
        <v>51166330</v>
      </c>
      <c r="D25" s="140"/>
      <c r="E25" s="108">
        <f t="shared" si="0"/>
        <v>68593536</v>
      </c>
      <c r="F25" s="70">
        <v>18327767</v>
      </c>
      <c r="G25" s="70">
        <f>24985123-2699924</f>
        <v>22285199</v>
      </c>
      <c r="H25" s="70">
        <f>12642018+2699924</f>
        <v>15341942</v>
      </c>
      <c r="I25" s="297">
        <v>12638628</v>
      </c>
      <c r="J25" s="458">
        <f aca="true" t="shared" si="1" ref="J25:J78">F25+G25+H25</f>
        <v>55954908</v>
      </c>
      <c r="K25" s="458"/>
      <c r="L25" s="394" t="s">
        <v>213</v>
      </c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</row>
    <row r="26" spans="1:12" s="8" customFormat="1" ht="18">
      <c r="A26" s="91" t="s">
        <v>196</v>
      </c>
      <c r="B26" s="290" t="s">
        <v>30</v>
      </c>
      <c r="C26" s="298">
        <v>11935048</v>
      </c>
      <c r="D26" s="141"/>
      <c r="E26" s="108">
        <f t="shared" si="0"/>
        <v>0</v>
      </c>
      <c r="F26" s="142"/>
      <c r="G26" s="143"/>
      <c r="H26" s="143"/>
      <c r="I26" s="143"/>
      <c r="J26" s="458">
        <f t="shared" si="1"/>
        <v>0</v>
      </c>
      <c r="K26" s="459"/>
      <c r="L26" s="112"/>
    </row>
    <row r="27" spans="1:26" s="8" customFormat="1" ht="17.25" customHeight="1">
      <c r="A27" s="93" t="s">
        <v>170</v>
      </c>
      <c r="B27" s="291" t="s">
        <v>25</v>
      </c>
      <c r="C27" s="299">
        <f>C28</f>
        <v>19297290</v>
      </c>
      <c r="D27" s="144">
        <f>D28</f>
        <v>0</v>
      </c>
      <c r="E27" s="145">
        <f t="shared" si="0"/>
        <v>23554014</v>
      </c>
      <c r="F27" s="144">
        <f>F28</f>
        <v>4894063</v>
      </c>
      <c r="G27" s="274">
        <f>G28</f>
        <v>2925248</v>
      </c>
      <c r="H27" s="144">
        <f>H28</f>
        <v>7348323</v>
      </c>
      <c r="I27" s="300">
        <f>I28</f>
        <v>8386380</v>
      </c>
      <c r="J27" s="458">
        <f t="shared" si="1"/>
        <v>15167634</v>
      </c>
      <c r="K27" s="460"/>
      <c r="L27" s="396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</row>
    <row r="28" spans="1:26" s="8" customFormat="1" ht="15" customHeight="1">
      <c r="A28" s="25" t="s">
        <v>197</v>
      </c>
      <c r="B28" s="292" t="s">
        <v>171</v>
      </c>
      <c r="C28" s="146">
        <v>19297290</v>
      </c>
      <c r="D28" s="146"/>
      <c r="E28" s="145">
        <f t="shared" si="0"/>
        <v>23554014</v>
      </c>
      <c r="F28" s="146">
        <v>4894063</v>
      </c>
      <c r="G28" s="139">
        <f>9914392-6989144</f>
        <v>2925248</v>
      </c>
      <c r="H28" s="146">
        <v>7348323</v>
      </c>
      <c r="I28" s="146">
        <v>8386380</v>
      </c>
      <c r="J28" s="458">
        <f t="shared" si="1"/>
        <v>15167634</v>
      </c>
      <c r="K28" s="460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</row>
    <row r="29" spans="1:11" s="8" customFormat="1" ht="18">
      <c r="A29" s="94" t="s">
        <v>160</v>
      </c>
      <c r="B29" s="293">
        <v>1030</v>
      </c>
      <c r="C29" s="139">
        <f>C30+C31+C32+C33+C34+C35+C36+C37+C38</f>
        <v>105347</v>
      </c>
      <c r="D29" s="139">
        <f>D30+D31+D32+D33+D34+D35+D36+D37+D38</f>
        <v>0</v>
      </c>
      <c r="E29" s="139">
        <f t="shared" si="0"/>
        <v>4993445</v>
      </c>
      <c r="F29" s="139">
        <f>F30+F31+F32+F33+F34+F35+F36+F37+F38</f>
        <v>1342450</v>
      </c>
      <c r="G29" s="139">
        <f>G30+G31+G32+G33+G34+G35+G36+G37+G38</f>
        <v>2463587</v>
      </c>
      <c r="H29" s="139">
        <f>H30+H31+H32+H33+H34+H35+H36+H37+H38</f>
        <v>1158950</v>
      </c>
      <c r="I29" s="139">
        <f>I30+I31+I32+I33+I34+I35+I36+I37+I38</f>
        <v>28458</v>
      </c>
      <c r="J29" s="458">
        <f t="shared" si="1"/>
        <v>4964987</v>
      </c>
      <c r="K29" s="458"/>
    </row>
    <row r="30" spans="1:11" s="8" customFormat="1" ht="32.25">
      <c r="A30" s="89" t="s">
        <v>122</v>
      </c>
      <c r="B30" s="106">
        <v>1031</v>
      </c>
      <c r="C30" s="147"/>
      <c r="D30" s="147"/>
      <c r="E30" s="139">
        <f aca="true" t="shared" si="2" ref="E30:E38">F30+G30+H30+I30</f>
        <v>0</v>
      </c>
      <c r="F30" s="147"/>
      <c r="G30" s="148"/>
      <c r="H30" s="148"/>
      <c r="I30" s="148"/>
      <c r="J30" s="458">
        <f t="shared" si="1"/>
        <v>0</v>
      </c>
      <c r="K30" s="459"/>
    </row>
    <row r="31" spans="1:12" s="8" customFormat="1" ht="32.25">
      <c r="A31" s="89" t="s">
        <v>157</v>
      </c>
      <c r="B31" s="106">
        <v>1032</v>
      </c>
      <c r="C31" s="147"/>
      <c r="D31" s="147"/>
      <c r="E31" s="139">
        <f t="shared" si="2"/>
        <v>0</v>
      </c>
      <c r="F31" s="147"/>
      <c r="G31" s="148"/>
      <c r="H31" s="148"/>
      <c r="I31" s="148"/>
      <c r="J31" s="458">
        <f t="shared" si="1"/>
        <v>0</v>
      </c>
      <c r="K31" s="459"/>
      <c r="L31" s="8" t="s">
        <v>158</v>
      </c>
    </row>
    <row r="32" spans="1:26" s="8" customFormat="1" ht="18" customHeight="1">
      <c r="A32" s="115" t="s">
        <v>16</v>
      </c>
      <c r="B32" s="106">
        <v>1033</v>
      </c>
      <c r="C32" s="147"/>
      <c r="D32" s="147"/>
      <c r="E32" s="139">
        <f t="shared" si="2"/>
        <v>465816</v>
      </c>
      <c r="F32" s="147">
        <v>450311</v>
      </c>
      <c r="G32" s="148">
        <v>2920</v>
      </c>
      <c r="H32" s="148">
        <v>11585</v>
      </c>
      <c r="I32" s="148">
        <v>1000</v>
      </c>
      <c r="J32" s="458">
        <f t="shared" si="1"/>
        <v>464816</v>
      </c>
      <c r="K32" s="459"/>
      <c r="L32" s="392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1:12" s="8" customFormat="1" ht="18">
      <c r="A33" s="89" t="s">
        <v>161</v>
      </c>
      <c r="B33" s="106">
        <v>1034</v>
      </c>
      <c r="C33" s="147"/>
      <c r="D33" s="147"/>
      <c r="E33" s="139">
        <f t="shared" si="2"/>
        <v>217</v>
      </c>
      <c r="F33" s="149"/>
      <c r="G33" s="148"/>
      <c r="H33" s="148">
        <v>217</v>
      </c>
      <c r="I33" s="148"/>
      <c r="J33" s="458">
        <f t="shared" si="1"/>
        <v>217</v>
      </c>
      <c r="K33" s="459"/>
      <c r="L33" s="8" t="s">
        <v>162</v>
      </c>
    </row>
    <row r="34" spans="1:30" s="8" customFormat="1" ht="18.75" customHeight="1">
      <c r="A34" s="116" t="s">
        <v>193</v>
      </c>
      <c r="B34" s="106">
        <v>1035</v>
      </c>
      <c r="C34" s="147">
        <v>62793</v>
      </c>
      <c r="D34" s="147"/>
      <c r="E34" s="139">
        <f t="shared" si="2"/>
        <v>61623</v>
      </c>
      <c r="F34" s="149">
        <v>15570</v>
      </c>
      <c r="G34" s="148">
        <v>15662</v>
      </c>
      <c r="H34" s="148">
        <v>14650</v>
      </c>
      <c r="I34" s="148">
        <v>15741</v>
      </c>
      <c r="J34" s="458">
        <f t="shared" si="1"/>
        <v>45882</v>
      </c>
      <c r="K34" s="459"/>
      <c r="L34" s="391" t="s">
        <v>214</v>
      </c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1"/>
      <c r="Z34" s="391"/>
      <c r="AA34" s="391"/>
      <c r="AB34" s="391"/>
      <c r="AC34" s="391"/>
      <c r="AD34" s="391"/>
    </row>
    <row r="35" spans="1:12" s="8" customFormat="1" ht="18">
      <c r="A35" s="25" t="s">
        <v>121</v>
      </c>
      <c r="B35" s="106">
        <v>1036</v>
      </c>
      <c r="C35" s="147">
        <v>42554</v>
      </c>
      <c r="D35" s="147"/>
      <c r="E35" s="139">
        <f t="shared" si="2"/>
        <v>184028</v>
      </c>
      <c r="F35" s="147">
        <v>13055</v>
      </c>
      <c r="G35" s="148">
        <v>61851</v>
      </c>
      <c r="H35" s="148">
        <v>97405</v>
      </c>
      <c r="I35" s="148">
        <v>11717</v>
      </c>
      <c r="J35" s="458">
        <f t="shared" si="1"/>
        <v>172311</v>
      </c>
      <c r="K35" s="459"/>
      <c r="L35" s="8" t="s">
        <v>163</v>
      </c>
    </row>
    <row r="36" spans="1:11" s="8" customFormat="1" ht="18">
      <c r="A36" s="89" t="s">
        <v>164</v>
      </c>
      <c r="B36" s="106">
        <v>1037</v>
      </c>
      <c r="C36" s="150"/>
      <c r="D36" s="150"/>
      <c r="E36" s="139">
        <f t="shared" si="2"/>
        <v>4281761</v>
      </c>
      <c r="F36" s="147">
        <v>863514</v>
      </c>
      <c r="G36" s="150">
        <v>2383154</v>
      </c>
      <c r="H36" s="150">
        <v>1035093</v>
      </c>
      <c r="I36" s="150"/>
      <c r="J36" s="458">
        <f t="shared" si="1"/>
        <v>4281761</v>
      </c>
      <c r="K36" s="461"/>
    </row>
    <row r="37" spans="1:11" s="8" customFormat="1" ht="18">
      <c r="A37" s="89" t="s">
        <v>192</v>
      </c>
      <c r="B37" s="106">
        <v>1038</v>
      </c>
      <c r="C37" s="147"/>
      <c r="D37" s="150"/>
      <c r="E37" s="139">
        <f t="shared" si="2"/>
        <v>0</v>
      </c>
      <c r="F37" s="147">
        <f>187544-187544</f>
        <v>0</v>
      </c>
      <c r="G37" s="150">
        <f>258288-258288</f>
        <v>0</v>
      </c>
      <c r="H37" s="150">
        <f>252537-252537</f>
        <v>0</v>
      </c>
      <c r="I37" s="150">
        <f>252537-252537</f>
        <v>0</v>
      </c>
      <c r="J37" s="458">
        <f t="shared" si="1"/>
        <v>0</v>
      </c>
      <c r="K37" s="461"/>
    </row>
    <row r="38" spans="1:12" s="160" customFormat="1" ht="18">
      <c r="A38" s="89" t="s">
        <v>192</v>
      </c>
      <c r="B38" s="294">
        <v>1039</v>
      </c>
      <c r="C38" s="26"/>
      <c r="D38" s="150"/>
      <c r="E38" s="139">
        <f t="shared" si="2"/>
        <v>0</v>
      </c>
      <c r="F38" s="139"/>
      <c r="G38" s="150"/>
      <c r="H38" s="150"/>
      <c r="I38" s="150"/>
      <c r="J38" s="458">
        <f t="shared" si="1"/>
        <v>0</v>
      </c>
      <c r="K38" s="461"/>
      <c r="L38" s="8"/>
    </row>
    <row r="39" spans="1:11" s="8" customFormat="1" ht="18">
      <c r="A39" s="398" t="s">
        <v>123</v>
      </c>
      <c r="B39" s="399"/>
      <c r="C39" s="399"/>
      <c r="D39" s="399"/>
      <c r="E39" s="399"/>
      <c r="F39" s="399"/>
      <c r="G39" s="399"/>
      <c r="H39" s="399"/>
      <c r="I39" s="400"/>
      <c r="J39" s="458">
        <f t="shared" si="1"/>
        <v>0</v>
      </c>
      <c r="K39" s="360"/>
    </row>
    <row r="40" spans="1:19" s="8" customFormat="1" ht="18" customHeight="1">
      <c r="A40" s="29" t="s">
        <v>33</v>
      </c>
      <c r="B40" s="301">
        <v>1040</v>
      </c>
      <c r="C40" s="304">
        <v>51942015</v>
      </c>
      <c r="D40" s="305"/>
      <c r="E40" s="306">
        <f>F40+G40+H40+I40</f>
        <v>60856801</v>
      </c>
      <c r="F40" s="307">
        <v>16285924</v>
      </c>
      <c r="G40" s="148">
        <f>13517645+3544330+323750+2534590-3658618</f>
        <v>16261697</v>
      </c>
      <c r="H40" s="148">
        <v>14613156</v>
      </c>
      <c r="I40" s="148">
        <v>13696024</v>
      </c>
      <c r="J40" s="458">
        <f t="shared" si="1"/>
        <v>47160777</v>
      </c>
      <c r="K40" s="459"/>
      <c r="L40" s="235">
        <f>G40-16261697</f>
        <v>0</v>
      </c>
      <c r="M40" s="8" t="s">
        <v>284</v>
      </c>
      <c r="S40" s="8">
        <v>47160776.1</v>
      </c>
    </row>
    <row r="41" spans="1:19" s="8" customFormat="1" ht="19.5" customHeight="1">
      <c r="A41" s="29" t="s">
        <v>34</v>
      </c>
      <c r="B41" s="302">
        <v>1050</v>
      </c>
      <c r="C41" s="308">
        <v>11495869</v>
      </c>
      <c r="D41" s="71"/>
      <c r="E41" s="70">
        <f aca="true" t="shared" si="3" ref="E41:E50">F41+G41+H41+I41</f>
        <v>13513890</v>
      </c>
      <c r="F41" s="151">
        <v>3597276</v>
      </c>
      <c r="G41" s="151">
        <f>2973883+765383+71226+557608-720943</f>
        <v>3647157</v>
      </c>
      <c r="H41" s="151">
        <v>3256497</v>
      </c>
      <c r="I41" s="147">
        <v>3012960</v>
      </c>
      <c r="J41" s="458">
        <f t="shared" si="1"/>
        <v>10500930</v>
      </c>
      <c r="K41" s="462"/>
      <c r="L41" s="235">
        <f>G41-3647157</f>
        <v>0</v>
      </c>
      <c r="M41" s="8">
        <v>2111</v>
      </c>
      <c r="N41" s="8">
        <v>1934100</v>
      </c>
      <c r="O41" s="8">
        <v>1934173</v>
      </c>
      <c r="S41" s="8">
        <v>10500928.389999999</v>
      </c>
    </row>
    <row r="42" spans="1:15" s="8" customFormat="1" ht="18" customHeight="1">
      <c r="A42" s="29" t="s">
        <v>35</v>
      </c>
      <c r="B42" s="302">
        <v>1060</v>
      </c>
      <c r="C42" s="308">
        <v>262793</v>
      </c>
      <c r="D42" s="71"/>
      <c r="E42" s="70">
        <f t="shared" si="3"/>
        <v>1139155</v>
      </c>
      <c r="F42" s="151">
        <v>734072</v>
      </c>
      <c r="G42" s="148">
        <f>53100+36118+86288</f>
        <v>175506</v>
      </c>
      <c r="H42" s="148">
        <v>176477</v>
      </c>
      <c r="I42" s="148">
        <v>53100</v>
      </c>
      <c r="J42" s="458">
        <f t="shared" si="1"/>
        <v>1086055</v>
      </c>
      <c r="K42" s="459"/>
      <c r="L42" s="235">
        <f>G42-175506</f>
        <v>0</v>
      </c>
      <c r="M42" s="8">
        <v>2120</v>
      </c>
      <c r="N42" s="242">
        <f>N41*0.22</f>
        <v>425502</v>
      </c>
      <c r="O42" s="8">
        <v>425502</v>
      </c>
    </row>
    <row r="43" spans="1:15" s="8" customFormat="1" ht="18" customHeight="1">
      <c r="A43" s="29" t="s">
        <v>36</v>
      </c>
      <c r="B43" s="302">
        <v>1070</v>
      </c>
      <c r="C43" s="308">
        <v>3767612</v>
      </c>
      <c r="D43" s="71"/>
      <c r="E43" s="70">
        <f t="shared" si="3"/>
        <v>8626267</v>
      </c>
      <c r="F43" s="151">
        <v>1564326</v>
      </c>
      <c r="G43" s="148">
        <f>474900+3345997-500000+767686</f>
        <v>4088583</v>
      </c>
      <c r="H43" s="148">
        <v>2673458</v>
      </c>
      <c r="I43" s="148">
        <v>299900</v>
      </c>
      <c r="J43" s="458">
        <f t="shared" si="1"/>
        <v>8326367</v>
      </c>
      <c r="K43" s="459"/>
      <c r="L43" s="235">
        <f>G43-4088583</f>
        <v>0</v>
      </c>
      <c r="N43" s="8">
        <f>SUM(N41:N42)</f>
        <v>2359602</v>
      </c>
      <c r="O43" s="8">
        <f>SUM(O41:O42)</f>
        <v>2359675</v>
      </c>
    </row>
    <row r="44" spans="1:14" s="8" customFormat="1" ht="18" customHeight="1">
      <c r="A44" s="29" t="s">
        <v>37</v>
      </c>
      <c r="B44" s="302">
        <v>1080</v>
      </c>
      <c r="C44" s="308">
        <v>321907</v>
      </c>
      <c r="D44" s="71"/>
      <c r="E44" s="70">
        <f t="shared" si="3"/>
        <v>799432</v>
      </c>
      <c r="F44" s="151">
        <v>163300</v>
      </c>
      <c r="G44" s="148">
        <f>135000+162284+500000-543000</f>
        <v>254284</v>
      </c>
      <c r="H44" s="148">
        <v>246848</v>
      </c>
      <c r="I44" s="148">
        <v>135000</v>
      </c>
      <c r="J44" s="458">
        <f t="shared" si="1"/>
        <v>664432</v>
      </c>
      <c r="K44" s="459"/>
      <c r="L44" s="235">
        <f>G44-254284</f>
        <v>0</v>
      </c>
      <c r="N44" s="8">
        <v>2359675</v>
      </c>
    </row>
    <row r="45" spans="1:14" s="8" customFormat="1" ht="18" customHeight="1">
      <c r="A45" s="29" t="s">
        <v>38</v>
      </c>
      <c r="B45" s="302">
        <v>1090</v>
      </c>
      <c r="C45" s="308">
        <v>3565504</v>
      </c>
      <c r="D45" s="71"/>
      <c r="E45" s="70">
        <f t="shared" si="3"/>
        <v>3160027</v>
      </c>
      <c r="F45" s="151">
        <v>504438</v>
      </c>
      <c r="G45" s="148">
        <f>900000+402263+657000-1187168</f>
        <v>772095</v>
      </c>
      <c r="H45" s="148">
        <v>983494</v>
      </c>
      <c r="I45" s="148">
        <v>900000</v>
      </c>
      <c r="J45" s="458">
        <f t="shared" si="1"/>
        <v>2260027</v>
      </c>
      <c r="K45" s="459"/>
      <c r="L45" s="235">
        <f>G45-772095</f>
        <v>0</v>
      </c>
      <c r="N45" s="8">
        <f>N43-N44</f>
        <v>-73</v>
      </c>
    </row>
    <row r="46" spans="1:11" s="8" customFormat="1" ht="18" customHeight="1">
      <c r="A46" s="29" t="s">
        <v>39</v>
      </c>
      <c r="B46" s="302">
        <v>1100</v>
      </c>
      <c r="C46" s="308"/>
      <c r="D46" s="71"/>
      <c r="E46" s="70">
        <f t="shared" si="3"/>
        <v>0</v>
      </c>
      <c r="F46" s="151"/>
      <c r="G46" s="148"/>
      <c r="H46" s="148"/>
      <c r="I46" s="148"/>
      <c r="J46" s="458">
        <f t="shared" si="1"/>
        <v>0</v>
      </c>
      <c r="K46" s="459"/>
    </row>
    <row r="47" spans="1:12" s="8" customFormat="1" ht="18" customHeight="1">
      <c r="A47" s="29" t="s">
        <v>99</v>
      </c>
      <c r="B47" s="302">
        <v>1110</v>
      </c>
      <c r="C47" s="308">
        <v>4540606</v>
      </c>
      <c r="D47" s="71"/>
      <c r="E47" s="70">
        <f t="shared" si="3"/>
        <v>6801675</v>
      </c>
      <c r="F47" s="151">
        <v>1608935</v>
      </c>
      <c r="G47" s="148">
        <f>1526904+1332921-500000+500000-1330-826570-270629</f>
        <v>1761296</v>
      </c>
      <c r="H47" s="148">
        <v>707420</v>
      </c>
      <c r="I47" s="148">
        <v>2724024</v>
      </c>
      <c r="J47" s="458">
        <f t="shared" si="1"/>
        <v>4077651</v>
      </c>
      <c r="K47" s="459"/>
      <c r="L47" s="235">
        <f>G47-1761296</f>
        <v>0</v>
      </c>
    </row>
    <row r="48" spans="1:11" s="8" customFormat="1" ht="31.5">
      <c r="A48" s="32" t="s">
        <v>47</v>
      </c>
      <c r="B48" s="302">
        <v>1120</v>
      </c>
      <c r="C48" s="308">
        <v>5880</v>
      </c>
      <c r="D48" s="71"/>
      <c r="E48" s="70">
        <f t="shared" si="3"/>
        <v>0</v>
      </c>
      <c r="F48" s="151"/>
      <c r="G48" s="148"/>
      <c r="H48" s="148"/>
      <c r="I48" s="148"/>
      <c r="J48" s="458">
        <f t="shared" si="1"/>
        <v>0</v>
      </c>
      <c r="K48" s="459"/>
    </row>
    <row r="49" spans="1:12" s="8" customFormat="1" ht="18">
      <c r="A49" s="32" t="s">
        <v>48</v>
      </c>
      <c r="B49" s="302">
        <v>1130</v>
      </c>
      <c r="C49" s="308">
        <v>911607</v>
      </c>
      <c r="D49" s="71"/>
      <c r="E49" s="70">
        <f t="shared" si="3"/>
        <v>702284</v>
      </c>
      <c r="F49" s="151">
        <v>113009</v>
      </c>
      <c r="G49" s="148">
        <f>204000+90991-104937</f>
        <v>190054</v>
      </c>
      <c r="H49" s="148">
        <v>195221</v>
      </c>
      <c r="I49" s="148">
        <v>204000</v>
      </c>
      <c r="J49" s="458">
        <f t="shared" si="1"/>
        <v>498284</v>
      </c>
      <c r="K49" s="459"/>
      <c r="L49" s="235">
        <f>G49-190054</f>
        <v>0</v>
      </c>
    </row>
    <row r="50" spans="1:11" s="8" customFormat="1" ht="18">
      <c r="A50" s="29" t="s">
        <v>49</v>
      </c>
      <c r="B50" s="302">
        <v>1140</v>
      </c>
      <c r="C50" s="308"/>
      <c r="D50" s="71"/>
      <c r="E50" s="70">
        <f t="shared" si="3"/>
        <v>1395551</v>
      </c>
      <c r="F50" s="151"/>
      <c r="G50" s="148">
        <v>410940</v>
      </c>
      <c r="H50" s="148">
        <v>984611</v>
      </c>
      <c r="I50" s="148"/>
      <c r="J50" s="458">
        <f t="shared" si="1"/>
        <v>1395551</v>
      </c>
      <c r="K50" s="459"/>
    </row>
    <row r="51" spans="1:11" s="8" customFormat="1" ht="18">
      <c r="A51" s="33" t="s">
        <v>50</v>
      </c>
      <c r="B51" s="303">
        <v>1160</v>
      </c>
      <c r="C51" s="309">
        <f>C24+C27+C29+C54+C65</f>
        <v>88456665</v>
      </c>
      <c r="D51" s="70">
        <f>D24+D27+D29+D54+D65</f>
        <v>0</v>
      </c>
      <c r="E51" s="70">
        <f>F51+G51+H51+I51</f>
        <v>113056524</v>
      </c>
      <c r="F51" s="70">
        <f>F24+F27+F29+F54+F65</f>
        <v>25038424</v>
      </c>
      <c r="G51" s="70">
        <f>G24+G27+G29+G54+G65-G56</f>
        <v>28075430</v>
      </c>
      <c r="H51" s="70">
        <f>H24+H27+H29+H54+H65</f>
        <v>24210667</v>
      </c>
      <c r="I51" s="297">
        <f>I24+I27+I29+I54+I65</f>
        <v>35732003</v>
      </c>
      <c r="J51" s="458">
        <f t="shared" si="1"/>
        <v>77324521</v>
      </c>
      <c r="K51" s="458"/>
    </row>
    <row r="52" spans="1:11" s="8" customFormat="1" ht="18">
      <c r="A52" s="33" t="s">
        <v>51</v>
      </c>
      <c r="B52" s="303">
        <v>1170</v>
      </c>
      <c r="C52" s="310">
        <f>C40+C41+C42+C43+C44+C45+C46+C47+C48+C49+C50+C57+C70</f>
        <v>82736443</v>
      </c>
      <c r="D52" s="311">
        <f>D40+D41+D42+D43+D44+D45+D46+D47+D48+D49+D50+D57+D70</f>
        <v>0</v>
      </c>
      <c r="E52" s="311">
        <f>F52+G52+H52+I52</f>
        <v>113021066</v>
      </c>
      <c r="F52" s="311">
        <f>F40+F41+F42+F43+F44+F45+F46+F47+F48+F49+F50+F57+F70</f>
        <v>25038424</v>
      </c>
      <c r="G52" s="311">
        <f>G40+G41+G42+G43+G44+G45+G46+G47+G48+G49+G50+G57+G70</f>
        <v>28075430</v>
      </c>
      <c r="H52" s="311">
        <f>H40+H41+H42+H43+H44+H45+H46+H47+H48+H49+H50+H57+H70</f>
        <v>24210667</v>
      </c>
      <c r="I52" s="312">
        <f>I40+I41+I42+I43+I44+I45+I46+I47+I48+I49+I50+I57+I70</f>
        <v>35696545</v>
      </c>
      <c r="J52" s="458">
        <f t="shared" si="1"/>
        <v>77324521</v>
      </c>
      <c r="K52" s="458"/>
    </row>
    <row r="53" spans="1:11" s="8" customFormat="1" ht="18">
      <c r="A53" s="402" t="s">
        <v>59</v>
      </c>
      <c r="B53" s="403"/>
      <c r="C53" s="403"/>
      <c r="D53" s="403"/>
      <c r="E53" s="403"/>
      <c r="F53" s="403"/>
      <c r="G53" s="403"/>
      <c r="H53" s="403"/>
      <c r="I53" s="404"/>
      <c r="J53" s="458">
        <f t="shared" si="1"/>
        <v>0</v>
      </c>
      <c r="K53" s="360"/>
    </row>
    <row r="54" spans="1:15" s="8" customFormat="1" ht="18">
      <c r="A54" s="72" t="s">
        <v>136</v>
      </c>
      <c r="B54" s="293">
        <v>2010</v>
      </c>
      <c r="C54" s="139">
        <f>C55+C56</f>
        <v>5922650</v>
      </c>
      <c r="D54" s="139">
        <f>D55</f>
        <v>0</v>
      </c>
      <c r="E54" s="139">
        <f>F54+G54+H54+I54</f>
        <v>18711591</v>
      </c>
      <c r="F54" s="139">
        <f>F55+F56</f>
        <v>467144</v>
      </c>
      <c r="G54" s="139">
        <f>G55+G56</f>
        <v>3218458</v>
      </c>
      <c r="H54" s="139">
        <f>H55+H56</f>
        <v>354452</v>
      </c>
      <c r="I54" s="139">
        <f>I55+I56</f>
        <v>14671537</v>
      </c>
      <c r="J54" s="458">
        <f t="shared" si="1"/>
        <v>4040054</v>
      </c>
      <c r="K54" s="458"/>
      <c r="L54" s="8" t="s">
        <v>223</v>
      </c>
      <c r="O54" s="237" t="s">
        <v>304</v>
      </c>
    </row>
    <row r="55" spans="1:28" s="8" customFormat="1" ht="30" customHeight="1">
      <c r="A55" s="50" t="s">
        <v>210</v>
      </c>
      <c r="B55" s="106">
        <v>2011</v>
      </c>
      <c r="C55" s="139">
        <f>187544+3333440-187544</f>
        <v>3333440</v>
      </c>
      <c r="D55" s="139"/>
      <c r="E55" s="139">
        <f>F55+G55+H55+I55</f>
        <v>15418550</v>
      </c>
      <c r="F55" s="139">
        <v>187544</v>
      </c>
      <c r="G55" s="139">
        <f>258288+136108</f>
        <v>394396</v>
      </c>
      <c r="H55" s="139">
        <v>165073</v>
      </c>
      <c r="I55" s="139">
        <f>252537+2300000+12119000</f>
        <v>14671537</v>
      </c>
      <c r="J55" s="458">
        <f t="shared" si="1"/>
        <v>747013</v>
      </c>
      <c r="K55" s="458"/>
      <c r="L55" s="385" t="s">
        <v>215</v>
      </c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</row>
    <row r="56" spans="1:28" s="8" customFormat="1" ht="18" customHeight="1">
      <c r="A56" s="50" t="s">
        <v>139</v>
      </c>
      <c r="B56" s="106">
        <v>2012</v>
      </c>
      <c r="C56" s="139">
        <v>2589210</v>
      </c>
      <c r="D56" s="139"/>
      <c r="E56" s="139">
        <f>F56+G56+H56+I56</f>
        <v>3293041</v>
      </c>
      <c r="F56" s="139">
        <v>279600</v>
      </c>
      <c r="G56" s="139">
        <f>2386300+437762</f>
        <v>2824062</v>
      </c>
      <c r="H56" s="139">
        <v>189379</v>
      </c>
      <c r="I56" s="139"/>
      <c r="J56" s="458">
        <f t="shared" si="1"/>
        <v>3293041</v>
      </c>
      <c r="K56" s="458"/>
      <c r="L56" s="386" t="s">
        <v>216</v>
      </c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</row>
    <row r="57" spans="1:28" s="8" customFormat="1" ht="18" customHeight="1">
      <c r="A57" s="100" t="s">
        <v>205</v>
      </c>
      <c r="B57" s="313">
        <v>3010</v>
      </c>
      <c r="C57" s="314">
        <f>C58+C59+C60+C61+C62+C63</f>
        <v>5922650</v>
      </c>
      <c r="D57" s="152">
        <f>D58+D59+D60+D61+D62+D63</f>
        <v>0</v>
      </c>
      <c r="E57" s="152">
        <f>F57+G57+H57+I57</f>
        <v>16025984</v>
      </c>
      <c r="F57" s="152">
        <f>F58+F59+F60+F61+F62+F63</f>
        <v>467144</v>
      </c>
      <c r="G57" s="152">
        <f>G58+G59+G60+G61+G62+G63</f>
        <v>513818</v>
      </c>
      <c r="H57" s="152">
        <f>H58+H59+H60+H61+H62+H63</f>
        <v>373485</v>
      </c>
      <c r="I57" s="315">
        <f>I58+I59+I60+I61+I62+I63</f>
        <v>14671537</v>
      </c>
      <c r="J57" s="458">
        <f t="shared" si="1"/>
        <v>1354447</v>
      </c>
      <c r="K57" s="458"/>
      <c r="L57" s="368" t="s">
        <v>217</v>
      </c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</row>
    <row r="58" spans="1:28" s="8" customFormat="1" ht="18">
      <c r="A58" s="29" t="s">
        <v>60</v>
      </c>
      <c r="B58" s="302">
        <v>3011</v>
      </c>
      <c r="C58" s="308"/>
      <c r="D58" s="71"/>
      <c r="E58" s="70">
        <f aca="true" t="shared" si="4" ref="E58:E63">F58+G58+H58+I58</f>
        <v>0</v>
      </c>
      <c r="F58" s="151"/>
      <c r="G58" s="148"/>
      <c r="H58" s="148"/>
      <c r="I58" s="148"/>
      <c r="J58" s="458">
        <f t="shared" si="1"/>
        <v>0</v>
      </c>
      <c r="K58" s="459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</row>
    <row r="59" spans="1:28" s="8" customFormat="1" ht="18">
      <c r="A59" s="29" t="s">
        <v>208</v>
      </c>
      <c r="B59" s="302">
        <v>3012</v>
      </c>
      <c r="C59" s="308">
        <v>5922650</v>
      </c>
      <c r="D59" s="71"/>
      <c r="E59" s="70">
        <f t="shared" si="4"/>
        <v>13132747</v>
      </c>
      <c r="F59" s="151">
        <v>255900</v>
      </c>
      <c r="G59" s="148">
        <f>2386300-1932465</f>
        <v>453835</v>
      </c>
      <c r="H59" s="148">
        <v>304012</v>
      </c>
      <c r="I59" s="148">
        <v>12119000</v>
      </c>
      <c r="J59" s="458">
        <f t="shared" si="1"/>
        <v>1013747</v>
      </c>
      <c r="K59" s="459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</row>
    <row r="60" spans="1:28" s="8" customFormat="1" ht="18">
      <c r="A60" s="29" t="s">
        <v>207</v>
      </c>
      <c r="B60" s="302">
        <v>3013</v>
      </c>
      <c r="C60" s="308"/>
      <c r="D60" s="71"/>
      <c r="E60" s="70">
        <f t="shared" si="4"/>
        <v>592909</v>
      </c>
      <c r="F60" s="151">
        <f>23700+187544</f>
        <v>211244</v>
      </c>
      <c r="G60" s="148">
        <f>258288+12939-211244</f>
        <v>59983</v>
      </c>
      <c r="H60" s="148">
        <v>69145</v>
      </c>
      <c r="I60" s="148">
        <v>252537</v>
      </c>
      <c r="J60" s="458">
        <f t="shared" si="1"/>
        <v>340372</v>
      </c>
      <c r="K60" s="459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</row>
    <row r="61" spans="1:11" s="8" customFormat="1" ht="18">
      <c r="A61" s="29" t="s">
        <v>209</v>
      </c>
      <c r="B61" s="302">
        <v>3014</v>
      </c>
      <c r="C61" s="308"/>
      <c r="D61" s="71"/>
      <c r="E61" s="70">
        <f t="shared" si="4"/>
        <v>328</v>
      </c>
      <c r="F61" s="151"/>
      <c r="G61" s="148"/>
      <c r="H61" s="148">
        <v>328</v>
      </c>
      <c r="I61" s="148"/>
      <c r="J61" s="458">
        <f t="shared" si="1"/>
        <v>328</v>
      </c>
      <c r="K61" s="459"/>
    </row>
    <row r="62" spans="1:11" s="8" customFormat="1" ht="30" customHeight="1">
      <c r="A62" s="29" t="s">
        <v>61</v>
      </c>
      <c r="B62" s="302">
        <v>3015</v>
      </c>
      <c r="C62" s="308"/>
      <c r="D62" s="71"/>
      <c r="E62" s="70">
        <f t="shared" si="4"/>
        <v>0</v>
      </c>
      <c r="F62" s="151"/>
      <c r="G62" s="148"/>
      <c r="H62" s="148"/>
      <c r="I62" s="148"/>
      <c r="J62" s="458">
        <f t="shared" si="1"/>
        <v>0</v>
      </c>
      <c r="K62" s="459"/>
    </row>
    <row r="63" spans="1:11" s="8" customFormat="1" ht="18">
      <c r="A63" s="29" t="s">
        <v>17</v>
      </c>
      <c r="B63" s="302">
        <v>3016</v>
      </c>
      <c r="C63" s="316"/>
      <c r="D63" s="317"/>
      <c r="E63" s="311">
        <f t="shared" si="4"/>
        <v>2300000</v>
      </c>
      <c r="F63" s="318"/>
      <c r="G63" s="148"/>
      <c r="H63" s="148"/>
      <c r="I63" s="148">
        <v>2300000</v>
      </c>
      <c r="J63" s="458">
        <f t="shared" si="1"/>
        <v>0</v>
      </c>
      <c r="K63" s="459"/>
    </row>
    <row r="64" spans="1:11" s="8" customFormat="1" ht="16.5" customHeight="1">
      <c r="A64" s="402" t="s">
        <v>63</v>
      </c>
      <c r="B64" s="403"/>
      <c r="C64" s="403"/>
      <c r="D64" s="403"/>
      <c r="E64" s="403"/>
      <c r="F64" s="403"/>
      <c r="G64" s="403"/>
      <c r="H64" s="403"/>
      <c r="I64" s="405"/>
      <c r="J64" s="458">
        <f t="shared" si="1"/>
        <v>0</v>
      </c>
      <c r="K64" s="360"/>
    </row>
    <row r="65" spans="1:11" ht="16.5" customHeight="1">
      <c r="A65" s="36" t="s">
        <v>64</v>
      </c>
      <c r="B65" s="293">
        <v>4010</v>
      </c>
      <c r="C65" s="319">
        <f>C66+C67+C68+C69</f>
        <v>30000</v>
      </c>
      <c r="D65" s="320">
        <f>D66+D67+D68+D69</f>
        <v>0</v>
      </c>
      <c r="E65" s="306">
        <f>F65+G65+H65+I65</f>
        <v>28000</v>
      </c>
      <c r="F65" s="320">
        <f>F66+F67+F68+F69</f>
        <v>7000</v>
      </c>
      <c r="G65" s="320">
        <f>G66+G67+G68+G69</f>
        <v>7000</v>
      </c>
      <c r="H65" s="320">
        <f>H66+H67+H68+H69</f>
        <v>7000</v>
      </c>
      <c r="I65" s="321">
        <f>I66+I67+I68+I69</f>
        <v>7000</v>
      </c>
      <c r="J65" s="458">
        <f t="shared" si="1"/>
        <v>21000</v>
      </c>
      <c r="K65" s="458"/>
    </row>
    <row r="66" spans="1:11" ht="16.5" customHeight="1">
      <c r="A66" s="29" t="s">
        <v>65</v>
      </c>
      <c r="B66" s="301">
        <v>4011</v>
      </c>
      <c r="C66" s="308"/>
      <c r="D66" s="71"/>
      <c r="E66" s="70">
        <f aca="true" t="shared" si="5" ref="E66:E73">F66+G66+H66+I66</f>
        <v>0</v>
      </c>
      <c r="F66" s="151"/>
      <c r="G66" s="148"/>
      <c r="H66" s="148"/>
      <c r="I66" s="148"/>
      <c r="J66" s="458">
        <f t="shared" si="1"/>
        <v>0</v>
      </c>
      <c r="K66" s="459"/>
    </row>
    <row r="67" spans="1:11" ht="16.5" customHeight="1">
      <c r="A67" s="29" t="s">
        <v>66</v>
      </c>
      <c r="B67" s="302">
        <v>4012</v>
      </c>
      <c r="C67" s="308"/>
      <c r="D67" s="71"/>
      <c r="E67" s="70">
        <f t="shared" si="5"/>
        <v>0</v>
      </c>
      <c r="F67" s="151"/>
      <c r="G67" s="148"/>
      <c r="H67" s="148"/>
      <c r="I67" s="148"/>
      <c r="J67" s="458">
        <f t="shared" si="1"/>
        <v>0</v>
      </c>
      <c r="K67" s="459"/>
    </row>
    <row r="68" spans="1:11" ht="16.5" customHeight="1">
      <c r="A68" s="29" t="s">
        <v>67</v>
      </c>
      <c r="B68" s="302">
        <v>4013</v>
      </c>
      <c r="C68" s="308">
        <v>30000</v>
      </c>
      <c r="D68" s="71"/>
      <c r="E68" s="70">
        <f t="shared" si="5"/>
        <v>28000</v>
      </c>
      <c r="F68" s="151">
        <v>7000</v>
      </c>
      <c r="G68" s="151">
        <v>7000</v>
      </c>
      <c r="H68" s="151">
        <v>7000</v>
      </c>
      <c r="I68" s="322">
        <v>7000</v>
      </c>
      <c r="J68" s="458">
        <f t="shared" si="1"/>
        <v>21000</v>
      </c>
      <c r="K68" s="462"/>
    </row>
    <row r="69" spans="1:11" ht="16.5" customHeight="1">
      <c r="A69" s="29" t="s">
        <v>68</v>
      </c>
      <c r="B69" s="302">
        <v>4020</v>
      </c>
      <c r="C69" s="308"/>
      <c r="D69" s="71"/>
      <c r="E69" s="70">
        <f t="shared" si="5"/>
        <v>0</v>
      </c>
      <c r="F69" s="151"/>
      <c r="G69" s="148"/>
      <c r="H69" s="148"/>
      <c r="I69" s="148"/>
      <c r="J69" s="458">
        <f t="shared" si="1"/>
        <v>0</v>
      </c>
      <c r="K69" s="459"/>
    </row>
    <row r="70" spans="1:11" ht="18">
      <c r="A70" s="33" t="s">
        <v>69</v>
      </c>
      <c r="B70" s="303">
        <v>4030</v>
      </c>
      <c r="C70" s="309">
        <f>C71+C72+C73+C74</f>
        <v>0</v>
      </c>
      <c r="D70" s="70">
        <f>D71+D72+D73+D74</f>
        <v>0</v>
      </c>
      <c r="E70" s="70">
        <f>F70+G70+H70+I70</f>
        <v>0</v>
      </c>
      <c r="F70" s="70">
        <f>F71+F72+F73+F74</f>
        <v>0</v>
      </c>
      <c r="G70" s="70">
        <f>G71+G72+G73+G74</f>
        <v>0</v>
      </c>
      <c r="H70" s="70">
        <f>H71+H72+H73+H74</f>
        <v>0</v>
      </c>
      <c r="I70" s="297">
        <f>I71+I72+I73+I74</f>
        <v>0</v>
      </c>
      <c r="J70" s="458">
        <f t="shared" si="1"/>
        <v>0</v>
      </c>
      <c r="K70" s="458"/>
    </row>
    <row r="71" spans="1:11" ht="18">
      <c r="A71" s="29" t="s">
        <v>65</v>
      </c>
      <c r="B71" s="302">
        <v>4031</v>
      </c>
      <c r="C71" s="308"/>
      <c r="D71" s="71"/>
      <c r="E71" s="70">
        <f t="shared" si="5"/>
        <v>0</v>
      </c>
      <c r="F71" s="151"/>
      <c r="G71" s="148"/>
      <c r="H71" s="148"/>
      <c r="I71" s="148"/>
      <c r="J71" s="458">
        <f t="shared" si="1"/>
        <v>0</v>
      </c>
      <c r="K71" s="459"/>
    </row>
    <row r="72" spans="1:11" ht="18">
      <c r="A72" s="29" t="s">
        <v>66</v>
      </c>
      <c r="B72" s="302">
        <v>4032</v>
      </c>
      <c r="C72" s="308"/>
      <c r="D72" s="71"/>
      <c r="E72" s="70">
        <f t="shared" si="5"/>
        <v>0</v>
      </c>
      <c r="F72" s="151"/>
      <c r="G72" s="148"/>
      <c r="H72" s="148"/>
      <c r="I72" s="148"/>
      <c r="J72" s="458">
        <f t="shared" si="1"/>
        <v>0</v>
      </c>
      <c r="K72" s="459"/>
    </row>
    <row r="73" spans="1:11" ht="18">
      <c r="A73" s="29" t="s">
        <v>67</v>
      </c>
      <c r="B73" s="302">
        <v>4033</v>
      </c>
      <c r="C73" s="308"/>
      <c r="D73" s="71"/>
      <c r="E73" s="70">
        <f t="shared" si="5"/>
        <v>0</v>
      </c>
      <c r="F73" s="151"/>
      <c r="G73" s="148"/>
      <c r="H73" s="148"/>
      <c r="I73" s="148"/>
      <c r="J73" s="458">
        <f t="shared" si="1"/>
        <v>0</v>
      </c>
      <c r="K73" s="459"/>
    </row>
    <row r="74" spans="1:11" ht="18">
      <c r="A74" s="32" t="s">
        <v>70</v>
      </c>
      <c r="B74" s="302">
        <v>4040</v>
      </c>
      <c r="C74" s="316"/>
      <c r="D74" s="317"/>
      <c r="E74" s="311">
        <f>F74+G74+H74+I74</f>
        <v>0</v>
      </c>
      <c r="F74" s="318"/>
      <c r="G74" s="148"/>
      <c r="H74" s="148"/>
      <c r="I74" s="148"/>
      <c r="J74" s="458">
        <f t="shared" si="1"/>
        <v>0</v>
      </c>
      <c r="K74" s="459"/>
    </row>
    <row r="75" spans="1:11" ht="18">
      <c r="A75" s="406" t="s">
        <v>141</v>
      </c>
      <c r="B75" s="407"/>
      <c r="C75" s="407"/>
      <c r="D75" s="407"/>
      <c r="E75" s="407"/>
      <c r="F75" s="407"/>
      <c r="G75" s="407"/>
      <c r="H75" s="407"/>
      <c r="I75" s="408"/>
      <c r="J75" s="458">
        <f t="shared" si="1"/>
        <v>0</v>
      </c>
      <c r="K75" s="360"/>
    </row>
    <row r="76" spans="1:12" ht="18">
      <c r="A76" s="95" t="s">
        <v>124</v>
      </c>
      <c r="B76" s="88">
        <v>5010</v>
      </c>
      <c r="C76" s="139">
        <f>C51-C52</f>
        <v>5720222</v>
      </c>
      <c r="D76" s="139">
        <f>D51-D52</f>
        <v>0</v>
      </c>
      <c r="E76" s="306">
        <f>F76+G76+H76+I76</f>
        <v>35458</v>
      </c>
      <c r="F76" s="139">
        <f>F51-F52</f>
        <v>0</v>
      </c>
      <c r="G76" s="139">
        <f>G51-G52</f>
        <v>0</v>
      </c>
      <c r="H76" s="139">
        <f>H51-H52</f>
        <v>0</v>
      </c>
      <c r="I76" s="139">
        <f>I51-I52</f>
        <v>35458</v>
      </c>
      <c r="J76" s="458">
        <f t="shared" si="1"/>
        <v>0</v>
      </c>
      <c r="K76" s="458"/>
      <c r="L76" s="159" t="s">
        <v>198</v>
      </c>
    </row>
    <row r="77" spans="1:11" ht="18">
      <c r="A77" s="90" t="s">
        <v>125</v>
      </c>
      <c r="B77" s="26">
        <v>5011</v>
      </c>
      <c r="C77" s="139">
        <f>C76-C78</f>
        <v>0</v>
      </c>
      <c r="D77" s="139">
        <f>D76-D78</f>
        <v>0</v>
      </c>
      <c r="E77" s="70">
        <f>F77+G77+H77+I77</f>
        <v>0</v>
      </c>
      <c r="F77" s="139">
        <f>F76-F78</f>
        <v>0</v>
      </c>
      <c r="G77" s="139">
        <f>G76-G78</f>
        <v>0</v>
      </c>
      <c r="H77" s="139">
        <f>H76-H78</f>
        <v>0</v>
      </c>
      <c r="I77" s="139">
        <f>I76-I78</f>
        <v>0</v>
      </c>
      <c r="J77" s="458">
        <f t="shared" si="1"/>
        <v>0</v>
      </c>
      <c r="K77" s="458"/>
    </row>
    <row r="78" spans="1:12" ht="18">
      <c r="A78" s="96" t="s">
        <v>126</v>
      </c>
      <c r="B78" s="26">
        <v>5012</v>
      </c>
      <c r="C78" s="139">
        <v>5720222</v>
      </c>
      <c r="D78" s="139"/>
      <c r="E78" s="311">
        <f>F78+G78+H78+I78</f>
        <v>35458</v>
      </c>
      <c r="F78" s="139"/>
      <c r="G78" s="154"/>
      <c r="H78" s="154"/>
      <c r="I78" s="154">
        <v>35458</v>
      </c>
      <c r="J78" s="458">
        <f t="shared" si="1"/>
        <v>0</v>
      </c>
      <c r="K78" s="463"/>
      <c r="L78" s="8" t="s">
        <v>199</v>
      </c>
    </row>
    <row r="79" spans="1:11" ht="18">
      <c r="A79" s="402" t="s">
        <v>142</v>
      </c>
      <c r="B79" s="403"/>
      <c r="C79" s="403"/>
      <c r="D79" s="403"/>
      <c r="E79" s="403"/>
      <c r="F79" s="403"/>
      <c r="G79" s="403"/>
      <c r="H79" s="403"/>
      <c r="I79" s="404"/>
      <c r="J79" s="360"/>
      <c r="K79" s="360"/>
    </row>
    <row r="80" spans="1:11" ht="18">
      <c r="A80" s="72" t="s">
        <v>58</v>
      </c>
      <c r="B80" s="293">
        <v>6010</v>
      </c>
      <c r="C80" s="155">
        <f>C81+C82+C83+C84+C85+C86</f>
        <v>21555936</v>
      </c>
      <c r="D80" s="155">
        <f>D81+D82+D83+D84+D85+D86</f>
        <v>0</v>
      </c>
      <c r="E80" s="155">
        <f aca="true" t="shared" si="6" ref="E80:E86">F80+G80+H80+I80</f>
        <v>25335070</v>
      </c>
      <c r="F80" s="139">
        <f>F81+F82+F83+F84+F85+F86</f>
        <v>6789325</v>
      </c>
      <c r="G80" s="155">
        <f>G81+G82+G83+G84+G85+G86</f>
        <v>6797437</v>
      </c>
      <c r="H80" s="155">
        <f>H81+H82+H83+H84+H85+H86</f>
        <v>6064459</v>
      </c>
      <c r="I80" s="155">
        <f>I81+I82+I83+I84+I85+I86</f>
        <v>5683849</v>
      </c>
      <c r="J80" s="464"/>
      <c r="K80" s="464"/>
    </row>
    <row r="81" spans="1:13" s="8" customFormat="1" ht="18">
      <c r="A81" s="47" t="s">
        <v>52</v>
      </c>
      <c r="B81" s="301">
        <v>6011</v>
      </c>
      <c r="C81" s="323"/>
      <c r="D81" s="69"/>
      <c r="E81" s="155">
        <f t="shared" si="6"/>
        <v>0</v>
      </c>
      <c r="F81" s="107"/>
      <c r="G81" s="107"/>
      <c r="H81" s="107"/>
      <c r="I81" s="156"/>
      <c r="J81" s="462"/>
      <c r="K81" s="462"/>
      <c r="M81" s="24"/>
    </row>
    <row r="82" spans="1:13" s="8" customFormat="1" ht="18">
      <c r="A82" s="35" t="s">
        <v>53</v>
      </c>
      <c r="B82" s="301">
        <v>6012</v>
      </c>
      <c r="C82" s="324">
        <f>ROUND(C40*0.015,0)</f>
        <v>779130</v>
      </c>
      <c r="D82" s="71"/>
      <c r="E82" s="155">
        <f t="shared" si="6"/>
        <v>948856</v>
      </c>
      <c r="F82" s="164">
        <f>ROUND(F40*0.015,0)+36008</f>
        <v>280297</v>
      </c>
      <c r="G82" s="164">
        <v>243922</v>
      </c>
      <c r="H82" s="164">
        <f>ROUND(H40*0.015,0)</f>
        <v>219197</v>
      </c>
      <c r="I82" s="325">
        <f>ROUND(I40*0.015,0)</f>
        <v>205440</v>
      </c>
      <c r="J82" s="465"/>
      <c r="K82" s="465"/>
      <c r="M82" s="24"/>
    </row>
    <row r="83" spans="1:11" s="8" customFormat="1" ht="18">
      <c r="A83" s="35" t="s">
        <v>54</v>
      </c>
      <c r="B83" s="301">
        <v>6013</v>
      </c>
      <c r="C83" s="308"/>
      <c r="D83" s="71"/>
      <c r="E83" s="155">
        <f t="shared" si="6"/>
        <v>0</v>
      </c>
      <c r="F83" s="71"/>
      <c r="G83" s="71"/>
      <c r="H83" s="71"/>
      <c r="I83" s="322"/>
      <c r="J83" s="462"/>
      <c r="K83" s="462"/>
    </row>
    <row r="84" spans="1:11" s="8" customFormat="1" ht="18">
      <c r="A84" s="35" t="s">
        <v>55</v>
      </c>
      <c r="B84" s="301">
        <v>6014</v>
      </c>
      <c r="C84" s="324">
        <f>ROUND(C40*0.18,0)</f>
        <v>9349563</v>
      </c>
      <c r="D84" s="71"/>
      <c r="E84" s="155">
        <f t="shared" si="6"/>
        <v>10913763</v>
      </c>
      <c r="F84" s="164">
        <f>ROUND(F40*0.18,0)-19713</f>
        <v>2911753</v>
      </c>
      <c r="G84" s="164">
        <v>2906358</v>
      </c>
      <c r="H84" s="164">
        <f>ROUND(H40*0.18,0)</f>
        <v>2630368</v>
      </c>
      <c r="I84" s="325">
        <f>ROUND(I40*0.18,0)</f>
        <v>2465284</v>
      </c>
      <c r="J84" s="465"/>
      <c r="K84" s="465"/>
    </row>
    <row r="85" spans="1:11" s="8" customFormat="1" ht="31.5">
      <c r="A85" s="99" t="s">
        <v>56</v>
      </c>
      <c r="B85" s="301">
        <v>6015</v>
      </c>
      <c r="C85" s="326">
        <f>ROUND(C40*0.22,0)</f>
        <v>11427243</v>
      </c>
      <c r="D85" s="317"/>
      <c r="E85" s="155">
        <f t="shared" si="6"/>
        <v>13472451</v>
      </c>
      <c r="F85" s="327">
        <f>ROUND(F40*0.22,0)+14372</f>
        <v>3597275</v>
      </c>
      <c r="G85" s="327">
        <v>3647157</v>
      </c>
      <c r="H85" s="327">
        <f>ROUND(H40*0.22,0)</f>
        <v>3214894</v>
      </c>
      <c r="I85" s="328">
        <f>ROUND(I40*0.22,0)</f>
        <v>3013125</v>
      </c>
      <c r="J85" s="465"/>
      <c r="K85" s="465"/>
    </row>
    <row r="86" spans="1:11" s="8" customFormat="1" ht="18">
      <c r="A86" s="37" t="s">
        <v>57</v>
      </c>
      <c r="B86" s="30">
        <v>6016</v>
      </c>
      <c r="C86" s="147"/>
      <c r="D86" s="147"/>
      <c r="E86" s="155">
        <f t="shared" si="6"/>
        <v>0</v>
      </c>
      <c r="F86" s="147"/>
      <c r="G86" s="148"/>
      <c r="H86" s="148"/>
      <c r="I86" s="148"/>
      <c r="J86" s="459"/>
      <c r="K86" s="459"/>
    </row>
    <row r="87" spans="1:11" ht="21.75" customHeight="1">
      <c r="A87" s="398" t="s">
        <v>143</v>
      </c>
      <c r="B87" s="399"/>
      <c r="C87" s="399"/>
      <c r="D87" s="399"/>
      <c r="E87" s="399"/>
      <c r="F87" s="399"/>
      <c r="G87" s="399"/>
      <c r="H87" s="399"/>
      <c r="I87" s="400"/>
      <c r="J87" s="360"/>
      <c r="K87" s="360"/>
    </row>
    <row r="88" spans="1:11" ht="18">
      <c r="A88" s="50" t="s">
        <v>114</v>
      </c>
      <c r="B88" s="301">
        <v>7010</v>
      </c>
      <c r="C88" s="330">
        <v>645</v>
      </c>
      <c r="D88" s="331"/>
      <c r="E88" s="331">
        <v>645</v>
      </c>
      <c r="F88" s="331">
        <v>645</v>
      </c>
      <c r="G88" s="331">
        <v>645</v>
      </c>
      <c r="H88" s="331">
        <v>887.25</v>
      </c>
      <c r="I88" s="332">
        <v>887.25</v>
      </c>
      <c r="J88" s="466"/>
      <c r="K88" s="466"/>
    </row>
    <row r="89" spans="1:12" ht="18">
      <c r="A89" s="50"/>
      <c r="B89" s="301"/>
      <c r="C89" s="333"/>
      <c r="D89" s="39"/>
      <c r="E89" s="39"/>
      <c r="F89" s="39" t="s">
        <v>144</v>
      </c>
      <c r="G89" s="39" t="s">
        <v>146</v>
      </c>
      <c r="H89" s="39" t="s">
        <v>147</v>
      </c>
      <c r="I89" s="334" t="s">
        <v>145</v>
      </c>
      <c r="J89" s="466"/>
      <c r="K89" s="466"/>
      <c r="L89" s="159" t="s">
        <v>211</v>
      </c>
    </row>
    <row r="90" spans="1:19" s="40" customFormat="1" ht="18">
      <c r="A90" s="50" t="s">
        <v>62</v>
      </c>
      <c r="B90" s="302">
        <v>7011</v>
      </c>
      <c r="C90" s="308">
        <v>48875732</v>
      </c>
      <c r="D90" s="71"/>
      <c r="E90" s="71"/>
      <c r="F90" s="71">
        <v>50179110</v>
      </c>
      <c r="G90" s="71">
        <v>53621199</v>
      </c>
      <c r="H90" s="71">
        <v>65999187</v>
      </c>
      <c r="I90" s="71">
        <v>65999187</v>
      </c>
      <c r="J90" s="462"/>
      <c r="K90" s="462"/>
      <c r="L90" s="8"/>
      <c r="M90" s="8"/>
      <c r="N90" s="8"/>
      <c r="O90" s="8"/>
      <c r="P90" s="8"/>
      <c r="Q90" s="8"/>
      <c r="R90" s="8"/>
      <c r="S90" s="8"/>
    </row>
    <row r="91" spans="1:11" ht="18">
      <c r="A91" s="50" t="s">
        <v>115</v>
      </c>
      <c r="B91" s="302">
        <v>7012</v>
      </c>
      <c r="C91" s="308"/>
      <c r="D91" s="71"/>
      <c r="E91" s="71"/>
      <c r="F91" s="151"/>
      <c r="G91" s="148"/>
      <c r="H91" s="148"/>
      <c r="I91" s="148"/>
      <c r="J91" s="459"/>
      <c r="K91" s="459"/>
    </row>
    <row r="92" spans="1:11" ht="18">
      <c r="A92" s="50" t="s">
        <v>116</v>
      </c>
      <c r="B92" s="302">
        <v>7013</v>
      </c>
      <c r="C92" s="308"/>
      <c r="D92" s="71"/>
      <c r="E92" s="71"/>
      <c r="F92" s="151"/>
      <c r="G92" s="148"/>
      <c r="H92" s="148"/>
      <c r="I92" s="148"/>
      <c r="J92" s="459"/>
      <c r="K92" s="459"/>
    </row>
    <row r="93" spans="1:11" ht="18">
      <c r="A93" s="50" t="s">
        <v>117</v>
      </c>
      <c r="B93" s="329">
        <v>7016</v>
      </c>
      <c r="C93" s="335"/>
      <c r="D93" s="157"/>
      <c r="E93" s="157"/>
      <c r="F93" s="142"/>
      <c r="G93" s="143"/>
      <c r="H93" s="143"/>
      <c r="I93" s="143"/>
      <c r="J93" s="459"/>
      <c r="K93" s="459"/>
    </row>
    <row r="94" spans="1:19" s="58" customFormat="1" ht="18">
      <c r="A94" s="50" t="s">
        <v>118</v>
      </c>
      <c r="B94" s="106">
        <v>7020</v>
      </c>
      <c r="C94" s="139"/>
      <c r="D94" s="139"/>
      <c r="E94" s="139"/>
      <c r="F94" s="139"/>
      <c r="G94" s="154"/>
      <c r="H94" s="154"/>
      <c r="I94" s="154"/>
      <c r="J94" s="463"/>
      <c r="K94" s="463"/>
      <c r="L94" s="57"/>
      <c r="M94" s="57"/>
      <c r="N94" s="57"/>
      <c r="O94" s="57"/>
      <c r="P94" s="57"/>
      <c r="Q94" s="57"/>
      <c r="R94" s="57"/>
      <c r="S94" s="57"/>
    </row>
    <row r="95" spans="1:11" ht="18">
      <c r="A95" s="51"/>
      <c r="B95" s="48"/>
      <c r="C95" s="49"/>
      <c r="D95" s="49"/>
      <c r="E95" s="49"/>
      <c r="F95" s="49"/>
      <c r="G95" s="52"/>
      <c r="H95" s="52"/>
      <c r="I95" s="52"/>
      <c r="J95" s="52"/>
      <c r="K95" s="52"/>
    </row>
    <row r="96" spans="1:11" ht="18">
      <c r="A96" s="41" t="s">
        <v>18</v>
      </c>
      <c r="B96" s="42"/>
      <c r="C96" s="64"/>
      <c r="D96" s="43"/>
      <c r="E96" s="409" t="s">
        <v>287</v>
      </c>
      <c r="F96" s="409"/>
      <c r="G96" s="44"/>
      <c r="H96" s="45"/>
      <c r="I96" s="45"/>
      <c r="J96" s="45"/>
      <c r="K96" s="45"/>
    </row>
    <row r="97" spans="1:6" ht="18">
      <c r="A97" s="46"/>
      <c r="B97" s="66"/>
      <c r="C97" s="63" t="s">
        <v>19</v>
      </c>
      <c r="D97" s="401" t="s">
        <v>20</v>
      </c>
      <c r="E97" s="401"/>
      <c r="F97" s="401"/>
    </row>
    <row r="98" spans="1:6" ht="18">
      <c r="A98" s="46" t="s">
        <v>21</v>
      </c>
      <c r="B98" s="66"/>
      <c r="C98" s="65"/>
      <c r="D98" s="66"/>
      <c r="E98" s="410" t="s">
        <v>305</v>
      </c>
      <c r="F98" s="410"/>
    </row>
    <row r="99" spans="1:6" ht="13.5" customHeight="1">
      <c r="A99" s="46"/>
      <c r="B99" s="66"/>
      <c r="C99" s="63" t="s">
        <v>19</v>
      </c>
      <c r="D99" s="401" t="s">
        <v>20</v>
      </c>
      <c r="E99" s="401"/>
      <c r="F99" s="401"/>
    </row>
    <row r="100" ht="13.5" customHeight="1"/>
    <row r="101" ht="13.5" customHeight="1">
      <c r="C101" s="3" t="s">
        <v>221</v>
      </c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/>
      <c r="C103" s="2"/>
      <c r="D103" s="2"/>
      <c r="E103" s="2"/>
      <c r="F103" s="2"/>
      <c r="G103" s="2"/>
      <c r="H103" s="2"/>
    </row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</sheetData>
  <sheetProtection/>
  <mergeCells count="37">
    <mergeCell ref="D99:F99"/>
    <mergeCell ref="A53:I53"/>
    <mergeCell ref="A64:I64"/>
    <mergeCell ref="A75:I75"/>
    <mergeCell ref="A79:I79"/>
    <mergeCell ref="A87:I87"/>
    <mergeCell ref="E96:F96"/>
    <mergeCell ref="D97:F97"/>
    <mergeCell ref="E98:F98"/>
    <mergeCell ref="L55:AB55"/>
    <mergeCell ref="L56:AB56"/>
    <mergeCell ref="A22:I22"/>
    <mergeCell ref="A23:I23"/>
    <mergeCell ref="L24:R24"/>
    <mergeCell ref="L34:AD34"/>
    <mergeCell ref="L32:Z32"/>
    <mergeCell ref="L25:Z25"/>
    <mergeCell ref="L27:Z27"/>
    <mergeCell ref="A39:I39"/>
    <mergeCell ref="L28:Z28"/>
    <mergeCell ref="F19:I19"/>
    <mergeCell ref="D12:F12"/>
    <mergeCell ref="D2:I2"/>
    <mergeCell ref="D4:I4"/>
    <mergeCell ref="D5:I5"/>
    <mergeCell ref="D6:I6"/>
    <mergeCell ref="D7:I7"/>
    <mergeCell ref="L57:AB60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51"/>
  <sheetViews>
    <sheetView view="pageBreakPreview" zoomScale="90" zoomScaleSheetLayoutView="90" zoomScalePageLayoutView="0" workbookViewId="0" topLeftCell="A1">
      <selection activeCell="M6" sqref="M6"/>
    </sheetView>
  </sheetViews>
  <sheetFormatPr defaultColWidth="9.140625" defaultRowHeight="15"/>
  <cols>
    <col min="1" max="1" width="44.7109375" style="87" customWidth="1"/>
    <col min="2" max="2" width="12.8515625" style="87" customWidth="1"/>
    <col min="3" max="3" width="15.00390625" style="87" customWidth="1"/>
    <col min="4" max="4" width="14.8515625" style="86" customWidth="1"/>
    <col min="5" max="5" width="13.00390625" style="86" customWidth="1"/>
    <col min="6" max="6" width="13.28125" style="86" customWidth="1"/>
    <col min="7" max="7" width="15.00390625" style="86" customWidth="1"/>
    <col min="8" max="8" width="12.57421875" style="86" customWidth="1"/>
    <col min="9" max="9" width="12.8515625" style="86" customWidth="1"/>
    <col min="10" max="10" width="14.57421875" style="86" customWidth="1"/>
  </cols>
  <sheetData>
    <row r="1" spans="1:10" ht="15">
      <c r="A1" s="412" t="s">
        <v>102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9" ht="15.75" customHeight="1">
      <c r="A2" s="414" t="s">
        <v>289</v>
      </c>
      <c r="B2" s="415"/>
      <c r="C2" s="415"/>
      <c r="D2" s="415"/>
      <c r="E2" s="415"/>
      <c r="F2" s="415"/>
      <c r="G2" s="415"/>
      <c r="H2" s="415"/>
      <c r="I2" s="415"/>
      <c r="J2" s="415"/>
      <c r="K2" s="336" t="s">
        <v>289</v>
      </c>
      <c r="L2" s="336"/>
      <c r="M2" s="336"/>
      <c r="N2" s="336"/>
      <c r="O2" s="336"/>
      <c r="P2" s="336"/>
      <c r="Q2" s="336"/>
      <c r="R2" s="336"/>
      <c r="S2" s="336"/>
    </row>
    <row r="3" spans="1:10" ht="15.75" customHeight="1">
      <c r="A3" s="74"/>
      <c r="B3" s="416" t="s">
        <v>5</v>
      </c>
      <c r="C3" s="416"/>
      <c r="D3" s="416"/>
      <c r="E3" s="416"/>
      <c r="F3" s="416"/>
      <c r="G3" s="416"/>
      <c r="H3" s="207"/>
      <c r="I3" s="207"/>
      <c r="J3" s="208" t="s">
        <v>98</v>
      </c>
    </row>
    <row r="4" spans="1:10" ht="30.75" customHeight="1">
      <c r="A4" s="417" t="s">
        <v>103</v>
      </c>
      <c r="B4" s="411" t="s">
        <v>104</v>
      </c>
      <c r="C4" s="411"/>
      <c r="D4" s="411"/>
      <c r="E4" s="411" t="s">
        <v>105</v>
      </c>
      <c r="F4" s="411"/>
      <c r="G4" s="411"/>
      <c r="H4" s="411" t="s">
        <v>202</v>
      </c>
      <c r="I4" s="411"/>
      <c r="J4" s="411"/>
    </row>
    <row r="5" spans="1:10" ht="47.25">
      <c r="A5" s="417"/>
      <c r="B5" s="76" t="s">
        <v>106</v>
      </c>
      <c r="C5" s="76" t="s">
        <v>107</v>
      </c>
      <c r="D5" s="76" t="s">
        <v>108</v>
      </c>
      <c r="E5" s="76" t="s">
        <v>106</v>
      </c>
      <c r="F5" s="76" t="s">
        <v>107</v>
      </c>
      <c r="G5" s="76" t="s">
        <v>108</v>
      </c>
      <c r="H5" s="76" t="s">
        <v>106</v>
      </c>
      <c r="I5" s="76" t="s">
        <v>107</v>
      </c>
      <c r="J5" s="76" t="s">
        <v>108</v>
      </c>
    </row>
    <row r="6" spans="1:10" ht="15.75">
      <c r="A6" s="77">
        <v>1</v>
      </c>
      <c r="B6" s="76">
        <v>2</v>
      </c>
      <c r="C6" s="76">
        <f>B6+1</f>
        <v>3</v>
      </c>
      <c r="D6" s="158">
        <f aca="true" t="shared" si="0" ref="D6:J6">C6+1</f>
        <v>4</v>
      </c>
      <c r="E6" s="158">
        <f t="shared" si="0"/>
        <v>5</v>
      </c>
      <c r="F6" s="158">
        <f t="shared" si="0"/>
        <v>6</v>
      </c>
      <c r="G6" s="158">
        <f t="shared" si="0"/>
        <v>7</v>
      </c>
      <c r="H6" s="158">
        <f t="shared" si="0"/>
        <v>8</v>
      </c>
      <c r="I6" s="158">
        <f t="shared" si="0"/>
        <v>9</v>
      </c>
      <c r="J6" s="158">
        <f t="shared" si="0"/>
        <v>10</v>
      </c>
    </row>
    <row r="7" spans="1:10" ht="31.5">
      <c r="A7" s="78" t="s">
        <v>109</v>
      </c>
      <c r="B7" s="79">
        <f aca="true" t="shared" si="1" ref="B7:G7">SUM(B8:B13)</f>
        <v>634</v>
      </c>
      <c r="C7" s="79">
        <f t="shared" si="1"/>
        <v>645</v>
      </c>
      <c r="D7" s="79">
        <f t="shared" si="1"/>
        <v>645</v>
      </c>
      <c r="E7" s="79">
        <f t="shared" si="1"/>
        <v>645</v>
      </c>
      <c r="F7" s="79">
        <f t="shared" si="1"/>
        <v>645</v>
      </c>
      <c r="G7" s="79">
        <f t="shared" si="1"/>
        <v>645</v>
      </c>
      <c r="H7" s="79">
        <f>SUM(H8:H13)</f>
        <v>0</v>
      </c>
      <c r="I7" s="79">
        <f>SUM(I8:I13)</f>
        <v>0</v>
      </c>
      <c r="J7" s="79">
        <f>SUM(J8:J13)</f>
        <v>0</v>
      </c>
    </row>
    <row r="8" spans="1:11" ht="15.75">
      <c r="A8" s="25" t="s">
        <v>187</v>
      </c>
      <c r="B8" s="228">
        <v>6</v>
      </c>
      <c r="C8" s="228">
        <v>6</v>
      </c>
      <c r="D8" s="228">
        <v>6</v>
      </c>
      <c r="E8" s="229">
        <v>6</v>
      </c>
      <c r="F8" s="229">
        <v>6</v>
      </c>
      <c r="G8" s="229">
        <v>6</v>
      </c>
      <c r="H8" s="80"/>
      <c r="I8" s="80"/>
      <c r="J8" s="80"/>
      <c r="K8" t="s">
        <v>194</v>
      </c>
    </row>
    <row r="9" spans="1:10" ht="15.75">
      <c r="A9" s="25" t="s">
        <v>71</v>
      </c>
      <c r="B9" s="230">
        <v>128.25</v>
      </c>
      <c r="C9" s="230">
        <v>137.25</v>
      </c>
      <c r="D9" s="230">
        <v>137.25</v>
      </c>
      <c r="E9" s="229">
        <v>137.25</v>
      </c>
      <c r="F9" s="229">
        <v>137</v>
      </c>
      <c r="G9" s="229">
        <v>137</v>
      </c>
      <c r="H9" s="80"/>
      <c r="I9" s="80"/>
      <c r="J9" s="80"/>
    </row>
    <row r="10" spans="1:10" ht="15.75">
      <c r="A10" s="25" t="s">
        <v>188</v>
      </c>
      <c r="B10" s="230">
        <v>212</v>
      </c>
      <c r="C10" s="230">
        <v>212</v>
      </c>
      <c r="D10" s="230">
        <v>212</v>
      </c>
      <c r="E10" s="229">
        <v>212</v>
      </c>
      <c r="F10" s="229">
        <v>213</v>
      </c>
      <c r="G10" s="229">
        <v>213</v>
      </c>
      <c r="H10" s="80"/>
      <c r="I10" s="80"/>
      <c r="J10" s="80"/>
    </row>
    <row r="11" spans="1:10" ht="15.75">
      <c r="A11" s="67" t="s">
        <v>189</v>
      </c>
      <c r="B11" s="230">
        <v>133.25</v>
      </c>
      <c r="C11" s="230">
        <v>133.25</v>
      </c>
      <c r="D11" s="230">
        <v>133.25</v>
      </c>
      <c r="E11" s="229">
        <v>133.25</v>
      </c>
      <c r="F11" s="229">
        <v>136.25</v>
      </c>
      <c r="G11" s="229">
        <v>136.25</v>
      </c>
      <c r="H11" s="80"/>
      <c r="I11" s="80"/>
      <c r="J11" s="80"/>
    </row>
    <row r="12" spans="1:10" ht="15.75">
      <c r="A12" s="67" t="s">
        <v>190</v>
      </c>
      <c r="B12" s="230">
        <v>40.25</v>
      </c>
      <c r="C12" s="230">
        <v>42.25</v>
      </c>
      <c r="D12" s="230">
        <v>42.25</v>
      </c>
      <c r="E12" s="229">
        <v>42.25</v>
      </c>
      <c r="F12" s="229">
        <v>42</v>
      </c>
      <c r="G12" s="229">
        <v>42</v>
      </c>
      <c r="H12" s="80"/>
      <c r="I12" s="80"/>
      <c r="J12" s="80"/>
    </row>
    <row r="13" spans="1:10" ht="15.75">
      <c r="A13" s="67" t="s">
        <v>191</v>
      </c>
      <c r="B13" s="230">
        <v>114.25</v>
      </c>
      <c r="C13" s="230">
        <v>114.25</v>
      </c>
      <c r="D13" s="230">
        <v>114.25</v>
      </c>
      <c r="E13" s="229">
        <v>114.25</v>
      </c>
      <c r="F13" s="229">
        <v>110.75</v>
      </c>
      <c r="G13" s="229">
        <v>110.75</v>
      </c>
      <c r="H13" s="80"/>
      <c r="I13" s="80"/>
      <c r="J13" s="80"/>
    </row>
    <row r="14" spans="1:10" ht="31.5">
      <c r="A14" s="78" t="s">
        <v>169</v>
      </c>
      <c r="B14" s="79">
        <f aca="true" t="shared" si="2" ref="B14:G14">SUM(B15:B20)</f>
        <v>428</v>
      </c>
      <c r="C14" s="79">
        <f t="shared" si="2"/>
        <v>499</v>
      </c>
      <c r="D14" s="79">
        <f t="shared" si="2"/>
        <v>466</v>
      </c>
      <c r="E14" s="79">
        <f t="shared" si="2"/>
        <v>538</v>
      </c>
      <c r="F14" s="79">
        <f t="shared" si="2"/>
        <v>539</v>
      </c>
      <c r="G14" s="79">
        <f t="shared" si="2"/>
        <v>539</v>
      </c>
      <c r="H14" s="79">
        <f>SUM(H15:H20)</f>
        <v>0</v>
      </c>
      <c r="I14" s="79">
        <f>SUM(I15:I20)</f>
        <v>0</v>
      </c>
      <c r="J14" s="79">
        <f>SUM(J15:J20)</f>
        <v>0</v>
      </c>
    </row>
    <row r="15" spans="1:10" ht="15.75">
      <c r="A15" s="25" t="s">
        <v>187</v>
      </c>
      <c r="B15" s="231">
        <v>6</v>
      </c>
      <c r="C15" s="231">
        <v>6</v>
      </c>
      <c r="D15" s="231">
        <v>6</v>
      </c>
      <c r="E15" s="229">
        <v>6</v>
      </c>
      <c r="F15" s="229">
        <v>6</v>
      </c>
      <c r="G15" s="229">
        <v>6</v>
      </c>
      <c r="H15" s="80"/>
      <c r="I15" s="80"/>
      <c r="J15" s="80"/>
    </row>
    <row r="16" spans="1:10" ht="15.75">
      <c r="A16" s="25" t="s">
        <v>71</v>
      </c>
      <c r="B16" s="231">
        <v>97</v>
      </c>
      <c r="C16" s="231">
        <v>120</v>
      </c>
      <c r="D16" s="231">
        <v>107</v>
      </c>
      <c r="E16" s="229">
        <v>105</v>
      </c>
      <c r="F16" s="229">
        <f>112-6</f>
        <v>106</v>
      </c>
      <c r="G16" s="229">
        <f>112-6</f>
        <v>106</v>
      </c>
      <c r="H16" s="80"/>
      <c r="I16" s="80"/>
      <c r="J16" s="80"/>
    </row>
    <row r="17" spans="1:10" ht="15.75">
      <c r="A17" s="25" t="s">
        <v>188</v>
      </c>
      <c r="B17" s="231">
        <v>117</v>
      </c>
      <c r="C17" s="231">
        <v>165</v>
      </c>
      <c r="D17" s="231">
        <v>145</v>
      </c>
      <c r="E17" s="229">
        <v>173</v>
      </c>
      <c r="F17" s="229">
        <v>174</v>
      </c>
      <c r="G17" s="229">
        <v>174</v>
      </c>
      <c r="H17" s="80"/>
      <c r="I17" s="80"/>
      <c r="J17" s="80"/>
    </row>
    <row r="18" spans="1:10" ht="15.75">
      <c r="A18" s="67" t="s">
        <v>189</v>
      </c>
      <c r="B18" s="231">
        <v>92</v>
      </c>
      <c r="C18" s="231">
        <v>92</v>
      </c>
      <c r="D18" s="231">
        <v>92</v>
      </c>
      <c r="E18" s="229">
        <f>114</f>
        <v>114</v>
      </c>
      <c r="F18" s="229">
        <f>116-2</f>
        <v>114</v>
      </c>
      <c r="G18" s="229">
        <f>116-2</f>
        <v>114</v>
      </c>
      <c r="H18" s="80"/>
      <c r="I18" s="80"/>
      <c r="J18" s="80"/>
    </row>
    <row r="19" spans="1:10" ht="15.75">
      <c r="A19" s="67" t="s">
        <v>190</v>
      </c>
      <c r="B19" s="231">
        <v>28</v>
      </c>
      <c r="C19" s="231">
        <v>28</v>
      </c>
      <c r="D19" s="231">
        <v>28</v>
      </c>
      <c r="E19" s="229">
        <f>39-1</f>
        <v>38</v>
      </c>
      <c r="F19" s="229">
        <f>39-2</f>
        <v>37</v>
      </c>
      <c r="G19" s="229">
        <f>39-2</f>
        <v>37</v>
      </c>
      <c r="H19" s="80"/>
      <c r="I19" s="80"/>
      <c r="J19" s="80"/>
    </row>
    <row r="20" spans="1:10" ht="15.75">
      <c r="A20" s="67" t="s">
        <v>191</v>
      </c>
      <c r="B20" s="231">
        <v>88</v>
      </c>
      <c r="C20" s="231">
        <v>88</v>
      </c>
      <c r="D20" s="231">
        <v>88</v>
      </c>
      <c r="E20" s="229">
        <f>102</f>
        <v>102</v>
      </c>
      <c r="F20" s="229">
        <f>102</f>
        <v>102</v>
      </c>
      <c r="G20" s="229">
        <f>102</f>
        <v>102</v>
      </c>
      <c r="H20" s="80"/>
      <c r="I20" s="80"/>
      <c r="J20" s="80"/>
    </row>
    <row r="21" spans="1:10" ht="15.75">
      <c r="A21" s="78" t="s">
        <v>110</v>
      </c>
      <c r="B21" s="79">
        <f aca="true" t="shared" si="3" ref="B21:G21">SUM(B22:B27)</f>
        <v>453</v>
      </c>
      <c r="C21" s="79">
        <f t="shared" si="3"/>
        <v>524</v>
      </c>
      <c r="D21" s="79">
        <f t="shared" si="3"/>
        <v>491</v>
      </c>
      <c r="E21" s="79">
        <f t="shared" si="3"/>
        <v>441</v>
      </c>
      <c r="F21" s="79">
        <f t="shared" si="3"/>
        <v>447</v>
      </c>
      <c r="G21" s="79">
        <f t="shared" si="3"/>
        <v>447</v>
      </c>
      <c r="H21" s="79">
        <f>SUM(H22:H27)</f>
        <v>0</v>
      </c>
      <c r="I21" s="79">
        <f>SUM(I22:I27)</f>
        <v>0</v>
      </c>
      <c r="J21" s="79">
        <f>SUM(J22:J27)</f>
        <v>0</v>
      </c>
    </row>
    <row r="22" spans="1:10" ht="15.75">
      <c r="A22" s="25" t="s">
        <v>187</v>
      </c>
      <c r="B22" s="231">
        <v>6</v>
      </c>
      <c r="C22" s="231">
        <v>6</v>
      </c>
      <c r="D22" s="231">
        <v>6</v>
      </c>
      <c r="E22" s="229">
        <v>6</v>
      </c>
      <c r="F22" s="229">
        <v>6</v>
      </c>
      <c r="G22" s="229">
        <v>6</v>
      </c>
      <c r="H22" s="80"/>
      <c r="I22" s="80"/>
      <c r="J22" s="80"/>
    </row>
    <row r="23" spans="1:10" ht="15.75">
      <c r="A23" s="25" t="s">
        <v>71</v>
      </c>
      <c r="B23" s="231">
        <v>103</v>
      </c>
      <c r="C23" s="231">
        <v>126</v>
      </c>
      <c r="D23" s="231">
        <v>113</v>
      </c>
      <c r="E23" s="229">
        <v>95</v>
      </c>
      <c r="F23" s="229">
        <v>95</v>
      </c>
      <c r="G23" s="229">
        <v>95</v>
      </c>
      <c r="H23" s="80"/>
      <c r="I23" s="80"/>
      <c r="J23" s="80"/>
    </row>
    <row r="24" spans="1:10" ht="15.75">
      <c r="A24" s="25" t="s">
        <v>188</v>
      </c>
      <c r="B24" s="231">
        <v>130</v>
      </c>
      <c r="C24" s="231">
        <v>178</v>
      </c>
      <c r="D24" s="231">
        <v>158</v>
      </c>
      <c r="E24" s="229">
        <v>133</v>
      </c>
      <c r="F24" s="229">
        <v>134</v>
      </c>
      <c r="G24" s="229">
        <v>134</v>
      </c>
      <c r="H24" s="80"/>
      <c r="I24" s="80"/>
      <c r="J24" s="80"/>
    </row>
    <row r="25" spans="1:10" ht="15.75">
      <c r="A25" s="67" t="s">
        <v>189</v>
      </c>
      <c r="B25" s="231">
        <v>95</v>
      </c>
      <c r="C25" s="231">
        <v>95</v>
      </c>
      <c r="D25" s="231">
        <v>95</v>
      </c>
      <c r="E25" s="229">
        <v>92</v>
      </c>
      <c r="F25" s="229">
        <v>95</v>
      </c>
      <c r="G25" s="229">
        <v>95</v>
      </c>
      <c r="H25" s="80"/>
      <c r="I25" s="80"/>
      <c r="J25" s="80"/>
    </row>
    <row r="26" spans="1:10" ht="15.75">
      <c r="A26" s="67" t="s">
        <v>190</v>
      </c>
      <c r="B26" s="231">
        <v>31</v>
      </c>
      <c r="C26" s="231">
        <v>31</v>
      </c>
      <c r="D26" s="231">
        <v>31</v>
      </c>
      <c r="E26" s="229">
        <v>32</v>
      </c>
      <c r="F26" s="229">
        <v>32</v>
      </c>
      <c r="G26" s="229">
        <v>32</v>
      </c>
      <c r="H26" s="80"/>
      <c r="I26" s="80"/>
      <c r="J26" s="80"/>
    </row>
    <row r="27" spans="1:10" ht="15.75">
      <c r="A27" s="67" t="s">
        <v>191</v>
      </c>
      <c r="B27" s="231">
        <v>88</v>
      </c>
      <c r="C27" s="231">
        <v>88</v>
      </c>
      <c r="D27" s="231">
        <v>88</v>
      </c>
      <c r="E27" s="229">
        <v>83</v>
      </c>
      <c r="F27" s="229">
        <v>85</v>
      </c>
      <c r="G27" s="229">
        <v>85</v>
      </c>
      <c r="H27" s="80"/>
      <c r="I27" s="80"/>
      <c r="J27" s="80"/>
    </row>
    <row r="28" spans="1:10" ht="15.75">
      <c r="A28" s="78" t="s">
        <v>111</v>
      </c>
      <c r="B28" s="232">
        <f aca="true" t="shared" si="4" ref="B28:G28">B29+B30+B31+B32+B33+B34</f>
        <v>42279141</v>
      </c>
      <c r="C28" s="232">
        <f t="shared" si="4"/>
        <v>51942015</v>
      </c>
      <c r="D28" s="232">
        <f t="shared" si="4"/>
        <v>51942015</v>
      </c>
      <c r="E28" s="232">
        <f t="shared" si="4"/>
        <v>49096206</v>
      </c>
      <c r="F28" s="232">
        <f t="shared" si="4"/>
        <v>63758845</v>
      </c>
      <c r="G28" s="232">
        <f t="shared" si="4"/>
        <v>63758845</v>
      </c>
      <c r="H28" s="79">
        <f>H29+H30+H31+H32+H33+H34</f>
        <v>0</v>
      </c>
      <c r="I28" s="79">
        <f>I29+I30+I31+I32+I33+I34</f>
        <v>0</v>
      </c>
      <c r="J28" s="79">
        <f>J29+J30+J31+J32+J33+J34</f>
        <v>0</v>
      </c>
    </row>
    <row r="29" spans="1:10" ht="15.75">
      <c r="A29" s="25" t="s">
        <v>187</v>
      </c>
      <c r="B29" s="233">
        <v>981118</v>
      </c>
      <c r="C29" s="233">
        <v>1196739</v>
      </c>
      <c r="D29" s="233">
        <v>1196739</v>
      </c>
      <c r="E29" s="234">
        <f>ROUND(1148510*0.923,0)</f>
        <v>1060075</v>
      </c>
      <c r="F29" s="234">
        <v>1360684</v>
      </c>
      <c r="G29" s="234">
        <v>1360684</v>
      </c>
      <c r="H29" s="80"/>
      <c r="I29" s="80"/>
      <c r="J29" s="80"/>
    </row>
    <row r="30" spans="1:10" ht="15.75">
      <c r="A30" s="25" t="s">
        <v>71</v>
      </c>
      <c r="B30" s="233">
        <v>11246678</v>
      </c>
      <c r="C30" s="233">
        <v>13817101</v>
      </c>
      <c r="D30" s="233">
        <v>13817101</v>
      </c>
      <c r="E30" s="234">
        <f>ROUND((14871128-714088)*0.923,0)</f>
        <v>13066948</v>
      </c>
      <c r="F30" s="234">
        <v>17009333</v>
      </c>
      <c r="G30" s="234">
        <v>17009333</v>
      </c>
      <c r="H30" s="80"/>
      <c r="I30" s="80"/>
      <c r="J30" s="80"/>
    </row>
    <row r="31" spans="1:10" ht="15.75">
      <c r="A31" s="25" t="s">
        <v>188</v>
      </c>
      <c r="B31" s="233">
        <v>13551424</v>
      </c>
      <c r="C31" s="233">
        <v>16648594</v>
      </c>
      <c r="D31" s="233">
        <v>16648594</v>
      </c>
      <c r="E31" s="234">
        <f>ROUND((17096025-274670)*0.923,0)</f>
        <v>15526111</v>
      </c>
      <c r="F31" s="234">
        <v>20225085</v>
      </c>
      <c r="G31" s="234">
        <v>20225085</v>
      </c>
      <c r="H31" s="80"/>
      <c r="I31" s="80"/>
      <c r="J31" s="80"/>
    </row>
    <row r="32" spans="1:10" ht="15.75">
      <c r="A32" s="67" t="s">
        <v>189</v>
      </c>
      <c r="B32" s="233">
        <v>7573326</v>
      </c>
      <c r="C32" s="233">
        <v>9307897</v>
      </c>
      <c r="D32" s="233">
        <v>9307897</v>
      </c>
      <c r="E32" s="234">
        <f>ROUND(9652708*0.923,0)</f>
        <v>8909449</v>
      </c>
      <c r="F32" s="234">
        <v>11554405</v>
      </c>
      <c r="G32" s="234">
        <v>11554405</v>
      </c>
      <c r="H32" s="80"/>
      <c r="I32" s="80"/>
      <c r="J32" s="80"/>
    </row>
    <row r="33" spans="1:10" ht="15.75">
      <c r="A33" s="67" t="s">
        <v>190</v>
      </c>
      <c r="B33" s="233">
        <v>2445792</v>
      </c>
      <c r="C33" s="233">
        <v>3004776</v>
      </c>
      <c r="D33" s="233">
        <v>3004776</v>
      </c>
      <c r="E33" s="234">
        <f>ROUND((3312998-159752)*0.923,0)</f>
        <v>2910446</v>
      </c>
      <c r="F33" s="234">
        <v>3818702</v>
      </c>
      <c r="G33" s="234">
        <v>3818702</v>
      </c>
      <c r="H33" s="80"/>
      <c r="I33" s="80"/>
      <c r="J33" s="80"/>
    </row>
    <row r="34" spans="1:10" ht="15.75">
      <c r="A34" s="67" t="s">
        <v>191</v>
      </c>
      <c r="B34" s="233">
        <v>6480803</v>
      </c>
      <c r="C34" s="233">
        <v>7966908</v>
      </c>
      <c r="D34" s="233">
        <v>7966908</v>
      </c>
      <c r="E34" s="234">
        <f>ROUND(8259130*0.923,0)</f>
        <v>7623177</v>
      </c>
      <c r="F34" s="234">
        <v>9790636</v>
      </c>
      <c r="G34" s="234">
        <v>9790636</v>
      </c>
      <c r="H34" s="80"/>
      <c r="I34" s="80"/>
      <c r="J34" s="80"/>
    </row>
    <row r="35" spans="1:10" ht="47.25" hidden="1">
      <c r="A35" s="78" t="s">
        <v>112</v>
      </c>
      <c r="B35" s="79">
        <f aca="true" t="shared" si="5" ref="B35:J35">B28/B7/12</f>
        <v>5557.195189274448</v>
      </c>
      <c r="C35" s="79">
        <f t="shared" si="5"/>
        <v>6710.85465116279</v>
      </c>
      <c r="D35" s="79">
        <f t="shared" si="5"/>
        <v>6710.85465116279</v>
      </c>
      <c r="E35" s="79">
        <f t="shared" si="5"/>
        <v>6343.179069767441</v>
      </c>
      <c r="F35" s="79">
        <f t="shared" si="5"/>
        <v>8237.576873385013</v>
      </c>
      <c r="G35" s="79">
        <f t="shared" si="5"/>
        <v>8237.576873385013</v>
      </c>
      <c r="H35" s="79" t="e">
        <f>H28/H7/12</f>
        <v>#DIV/0!</v>
      </c>
      <c r="I35" s="79" t="e">
        <f t="shared" si="5"/>
        <v>#DIV/0!</v>
      </c>
      <c r="J35" s="79" t="e">
        <f t="shared" si="5"/>
        <v>#DIV/0!</v>
      </c>
    </row>
    <row r="36" spans="1:10" ht="15.75" hidden="1">
      <c r="A36" s="25" t="s">
        <v>187</v>
      </c>
      <c r="B36" s="79">
        <f aca="true" t="shared" si="6" ref="B36:J41">B29/B15/12</f>
        <v>13626.638888888889</v>
      </c>
      <c r="C36" s="79">
        <f t="shared" si="6"/>
        <v>16621.375</v>
      </c>
      <c r="D36" s="79">
        <f>D29/D15/12</f>
        <v>16621.375</v>
      </c>
      <c r="E36" s="79">
        <f t="shared" si="6"/>
        <v>14723.263888888889</v>
      </c>
      <c r="F36" s="79">
        <f t="shared" si="6"/>
        <v>18898.388888888887</v>
      </c>
      <c r="G36" s="79">
        <f t="shared" si="6"/>
        <v>18898.388888888887</v>
      </c>
      <c r="H36" s="79" t="e">
        <f t="shared" si="6"/>
        <v>#DIV/0!</v>
      </c>
      <c r="I36" s="79" t="e">
        <f t="shared" si="6"/>
        <v>#DIV/0!</v>
      </c>
      <c r="J36" s="79" t="e">
        <f t="shared" si="6"/>
        <v>#DIV/0!</v>
      </c>
    </row>
    <row r="37" spans="1:10" ht="15.75" hidden="1">
      <c r="A37" s="25" t="s">
        <v>71</v>
      </c>
      <c r="B37" s="79">
        <f t="shared" si="6"/>
        <v>9662.094501718213</v>
      </c>
      <c r="C37" s="79">
        <f t="shared" si="6"/>
        <v>9595.209027777777</v>
      </c>
      <c r="D37" s="79">
        <f t="shared" si="6"/>
        <v>10760.982087227414</v>
      </c>
      <c r="E37" s="79">
        <f>E30/E16/12</f>
        <v>10370.593650793651</v>
      </c>
      <c r="F37" s="79">
        <f t="shared" si="6"/>
        <v>13372.11713836478</v>
      </c>
      <c r="G37" s="79">
        <f t="shared" si="6"/>
        <v>13372.11713836478</v>
      </c>
      <c r="H37" s="79" t="e">
        <f t="shared" si="6"/>
        <v>#DIV/0!</v>
      </c>
      <c r="I37" s="79" t="e">
        <f t="shared" si="6"/>
        <v>#DIV/0!</v>
      </c>
      <c r="J37" s="79" t="e">
        <f t="shared" si="6"/>
        <v>#DIV/0!</v>
      </c>
    </row>
    <row r="38" spans="1:10" ht="15.75" hidden="1">
      <c r="A38" s="25" t="s">
        <v>188</v>
      </c>
      <c r="B38" s="79">
        <f t="shared" si="6"/>
        <v>9652.011396011396</v>
      </c>
      <c r="C38" s="79">
        <f t="shared" si="6"/>
        <v>8408.380808080808</v>
      </c>
      <c r="D38" s="79">
        <f t="shared" si="6"/>
        <v>9568.157471264369</v>
      </c>
      <c r="E38" s="79">
        <f>E31/E17/12</f>
        <v>7478.858863198459</v>
      </c>
      <c r="F38" s="79">
        <f t="shared" si="6"/>
        <v>9686.343390804597</v>
      </c>
      <c r="G38" s="79">
        <f t="shared" si="6"/>
        <v>9686.343390804597</v>
      </c>
      <c r="H38" s="79" t="e">
        <f t="shared" si="6"/>
        <v>#DIV/0!</v>
      </c>
      <c r="I38" s="79" t="e">
        <f t="shared" si="6"/>
        <v>#DIV/0!</v>
      </c>
      <c r="J38" s="79" t="e">
        <f t="shared" si="6"/>
        <v>#DIV/0!</v>
      </c>
    </row>
    <row r="39" spans="1:10" ht="15.75" hidden="1">
      <c r="A39" s="67" t="s">
        <v>189</v>
      </c>
      <c r="B39" s="79">
        <f t="shared" si="6"/>
        <v>6859.896739130435</v>
      </c>
      <c r="C39" s="79">
        <f t="shared" si="6"/>
        <v>8431.066123188406</v>
      </c>
      <c r="D39" s="79">
        <f t="shared" si="6"/>
        <v>8431.066123188406</v>
      </c>
      <c r="E39" s="79">
        <f t="shared" si="6"/>
        <v>6512.755116959065</v>
      </c>
      <c r="F39" s="79">
        <f t="shared" si="6"/>
        <v>8446.202485380118</v>
      </c>
      <c r="G39" s="79">
        <f t="shared" si="6"/>
        <v>8446.202485380118</v>
      </c>
      <c r="H39" s="79" t="e">
        <f t="shared" si="6"/>
        <v>#DIV/0!</v>
      </c>
      <c r="I39" s="79" t="e">
        <f t="shared" si="6"/>
        <v>#DIV/0!</v>
      </c>
      <c r="J39" s="79" t="e">
        <f t="shared" si="6"/>
        <v>#DIV/0!</v>
      </c>
    </row>
    <row r="40" spans="1:10" ht="15.75" hidden="1">
      <c r="A40" s="67" t="s">
        <v>190</v>
      </c>
      <c r="B40" s="79">
        <f t="shared" si="6"/>
        <v>7279.142857142858</v>
      </c>
      <c r="C40" s="79">
        <f t="shared" si="6"/>
        <v>8942.785714285714</v>
      </c>
      <c r="D40" s="79">
        <f t="shared" si="6"/>
        <v>8942.785714285714</v>
      </c>
      <c r="E40" s="79">
        <f t="shared" si="6"/>
        <v>6382.55701754386</v>
      </c>
      <c r="F40" s="79">
        <f t="shared" si="6"/>
        <v>8600.68018018018</v>
      </c>
      <c r="G40" s="79">
        <f t="shared" si="6"/>
        <v>8600.68018018018</v>
      </c>
      <c r="H40" s="79" t="e">
        <f t="shared" si="6"/>
        <v>#DIV/0!</v>
      </c>
      <c r="I40" s="79" t="e">
        <f t="shared" si="6"/>
        <v>#DIV/0!</v>
      </c>
      <c r="J40" s="79" t="e">
        <f t="shared" si="6"/>
        <v>#DIV/0!</v>
      </c>
    </row>
    <row r="41" spans="1:10" ht="15.75" hidden="1">
      <c r="A41" s="67" t="s">
        <v>191</v>
      </c>
      <c r="B41" s="79">
        <f t="shared" si="6"/>
        <v>6137.124053030303</v>
      </c>
      <c r="C41" s="79">
        <f t="shared" si="6"/>
        <v>7544.420454545455</v>
      </c>
      <c r="D41" s="79">
        <f t="shared" si="6"/>
        <v>7544.420454545455</v>
      </c>
      <c r="E41" s="79">
        <f t="shared" si="6"/>
        <v>6228.085784313725</v>
      </c>
      <c r="F41" s="79">
        <f t="shared" si="6"/>
        <v>7998.885620915033</v>
      </c>
      <c r="G41" s="79">
        <f t="shared" si="6"/>
        <v>7998.885620915033</v>
      </c>
      <c r="H41" s="79" t="e">
        <f t="shared" si="6"/>
        <v>#DIV/0!</v>
      </c>
      <c r="I41" s="79" t="e">
        <f t="shared" si="6"/>
        <v>#DIV/0!</v>
      </c>
      <c r="J41" s="79" t="e">
        <f t="shared" si="6"/>
        <v>#DIV/0!</v>
      </c>
    </row>
    <row r="42" spans="1:10" ht="15.75" hidden="1">
      <c r="A42" s="74"/>
      <c r="B42" s="81"/>
      <c r="C42" s="82"/>
      <c r="D42" s="83"/>
      <c r="E42" s="83"/>
      <c r="F42" s="83"/>
      <c r="G42" s="83"/>
      <c r="H42" s="75"/>
      <c r="I42" s="75"/>
      <c r="J42" s="75"/>
    </row>
    <row r="43" spans="1:7" ht="4.5" customHeight="1">
      <c r="A43" s="84"/>
      <c r="B43" s="81"/>
      <c r="C43" s="81"/>
      <c r="D43" s="85"/>
      <c r="E43" s="85"/>
      <c r="F43" s="83"/>
      <c r="G43" s="83"/>
    </row>
    <row r="44" spans="1:7" ht="17.25">
      <c r="A44" s="41" t="s">
        <v>18</v>
      </c>
      <c r="B44" s="42"/>
      <c r="C44" s="64"/>
      <c r="D44" s="42"/>
      <c r="E44" s="43"/>
      <c r="F44" s="409" t="s">
        <v>287</v>
      </c>
      <c r="G44" s="409"/>
    </row>
    <row r="45" spans="1:7" ht="17.25">
      <c r="A45" s="46"/>
      <c r="B45" s="66"/>
      <c r="C45" s="63" t="s">
        <v>19</v>
      </c>
      <c r="D45" s="63"/>
      <c r="E45" s="401" t="s">
        <v>20</v>
      </c>
      <c r="F45" s="401"/>
      <c r="G45" s="401"/>
    </row>
    <row r="46" spans="1:7" ht="17.25">
      <c r="A46" s="46" t="s">
        <v>21</v>
      </c>
      <c r="B46" s="66"/>
      <c r="C46" s="65"/>
      <c r="D46" s="66"/>
      <c r="E46" s="66"/>
      <c r="F46" s="410" t="s">
        <v>288</v>
      </c>
      <c r="G46" s="410"/>
    </row>
    <row r="47" spans="1:7" ht="17.25" customHeight="1">
      <c r="A47" s="46"/>
      <c r="B47" s="66"/>
      <c r="C47" s="63" t="s">
        <v>19</v>
      </c>
      <c r="D47" s="63"/>
      <c r="E47" s="401" t="s">
        <v>20</v>
      </c>
      <c r="F47" s="401"/>
      <c r="G47" s="401"/>
    </row>
    <row r="48" spans="1:7" ht="15.75" hidden="1">
      <c r="A48"/>
      <c r="B48"/>
      <c r="C48"/>
      <c r="D48"/>
      <c r="E48"/>
      <c r="F48"/>
      <c r="G48"/>
    </row>
    <row r="49" spans="1:7" ht="8.25" customHeight="1">
      <c r="A49"/>
      <c r="B49"/>
      <c r="C49"/>
      <c r="D49"/>
      <c r="E49"/>
      <c r="F49"/>
      <c r="G49"/>
    </row>
    <row r="50" spans="1:7" ht="15.75">
      <c r="A50" s="202" t="s">
        <v>238</v>
      </c>
      <c r="B50"/>
      <c r="C50"/>
      <c r="D50"/>
      <c r="E50"/>
      <c r="F50"/>
      <c r="G50"/>
    </row>
    <row r="51" spans="1:7" ht="15.75">
      <c r="A51"/>
      <c r="B51"/>
      <c r="C51"/>
      <c r="D51"/>
      <c r="E51"/>
      <c r="F51"/>
      <c r="G51"/>
    </row>
  </sheetData>
  <sheetProtection/>
  <mergeCells count="11">
    <mergeCell ref="E4:G4"/>
    <mergeCell ref="E47:G47"/>
    <mergeCell ref="F46:G46"/>
    <mergeCell ref="H4:J4"/>
    <mergeCell ref="E45:G45"/>
    <mergeCell ref="F44:G44"/>
    <mergeCell ref="A1:J1"/>
    <mergeCell ref="A2:J2"/>
    <mergeCell ref="B3:G3"/>
    <mergeCell ref="A4:A5"/>
    <mergeCell ref="B4:D4"/>
  </mergeCells>
  <printOptions/>
  <pageMargins left="0" right="0" top="0" bottom="0" header="0" footer="0"/>
  <pageSetup horizontalDpi="600" verticalDpi="600" orientation="landscape" paperSize="9" scale="82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48"/>
  <sheetViews>
    <sheetView view="pageBreakPreview" zoomScaleSheetLayoutView="100" zoomScalePageLayoutView="0" workbookViewId="0" topLeftCell="A13">
      <selection activeCell="F7" sqref="F7"/>
    </sheetView>
  </sheetViews>
  <sheetFormatPr defaultColWidth="9.140625" defaultRowHeight="15"/>
  <cols>
    <col min="1" max="1" width="33.8515625" style="0" customWidth="1"/>
    <col min="2" max="2" width="15.7109375" style="0" customWidth="1"/>
    <col min="3" max="3" width="13.8515625" style="135" customWidth="1"/>
    <col min="4" max="4" width="18.00390625" style="136" customWidth="1"/>
    <col min="5" max="5" width="24.28125" style="0" customWidth="1"/>
    <col min="6" max="6" width="16.00390625" style="0" customWidth="1"/>
    <col min="7" max="7" width="13.00390625" style="0" customWidth="1"/>
    <col min="13" max="13" width="11.140625" style="0" bestFit="1" customWidth="1"/>
    <col min="14" max="14" width="14.00390625" style="0" customWidth="1"/>
  </cols>
  <sheetData>
    <row r="1" spans="1:4" ht="15.75">
      <c r="A1" s="418" t="s">
        <v>201</v>
      </c>
      <c r="B1" s="418"/>
      <c r="C1" s="418"/>
      <c r="D1" s="418"/>
    </row>
    <row r="2" spans="1:9" ht="39" customHeight="1">
      <c r="A2" s="370" t="s">
        <v>289</v>
      </c>
      <c r="B2" s="370"/>
      <c r="C2" s="370"/>
      <c r="D2" s="370"/>
      <c r="E2" s="336"/>
      <c r="F2" s="336"/>
      <c r="G2" s="336"/>
      <c r="H2" s="336"/>
      <c r="I2" s="336"/>
    </row>
    <row r="3" spans="1:6" ht="16.5" thickBot="1">
      <c r="A3" s="127"/>
      <c r="B3" s="68"/>
      <c r="C3" s="125"/>
      <c r="D3" s="126"/>
      <c r="E3" t="s">
        <v>242</v>
      </c>
      <c r="F3" s="206" t="s">
        <v>240</v>
      </c>
    </row>
    <row r="4" spans="1:6" ht="15">
      <c r="A4" s="419" t="s">
        <v>175</v>
      </c>
      <c r="B4" s="422" t="s">
        <v>176</v>
      </c>
      <c r="C4" s="422"/>
      <c r="D4" s="423"/>
      <c r="F4" s="109"/>
    </row>
    <row r="5" spans="1:6" ht="15">
      <c r="A5" s="420"/>
      <c r="B5" s="424"/>
      <c r="C5" s="424"/>
      <c r="D5" s="425"/>
      <c r="F5" s="109"/>
    </row>
    <row r="6" spans="1:6" ht="63.75" thickBot="1">
      <c r="A6" s="421"/>
      <c r="B6" s="188" t="s">
        <v>177</v>
      </c>
      <c r="C6" s="189" t="s">
        <v>178</v>
      </c>
      <c r="D6" s="190" t="s">
        <v>179</v>
      </c>
      <c r="F6" s="109"/>
    </row>
    <row r="7" spans="1:6" ht="15.75">
      <c r="A7" s="184">
        <v>1</v>
      </c>
      <c r="B7" s="185">
        <v>2</v>
      </c>
      <c r="C7" s="186">
        <v>3</v>
      </c>
      <c r="D7" s="187">
        <v>4</v>
      </c>
      <c r="F7" s="109"/>
    </row>
    <row r="8" spans="1:7" ht="45">
      <c r="A8" s="174" t="s">
        <v>180</v>
      </c>
      <c r="B8" s="175" t="s">
        <v>226</v>
      </c>
      <c r="C8" s="176">
        <f>7775/9*12</f>
        <v>10366.666666666668</v>
      </c>
      <c r="D8" s="177">
        <v>37588804</v>
      </c>
      <c r="F8" s="109">
        <v>27592458.48</v>
      </c>
      <c r="G8" s="136">
        <f>D8-F8</f>
        <v>9996345.52</v>
      </c>
    </row>
    <row r="9" spans="1:6" ht="45">
      <c r="A9" s="174" t="s">
        <v>181</v>
      </c>
      <c r="B9" s="175" t="s">
        <v>182</v>
      </c>
      <c r="C9" s="176"/>
      <c r="D9" s="177"/>
      <c r="F9" s="109"/>
    </row>
    <row r="10" spans="1:7" ht="61.5" customHeight="1">
      <c r="A10" s="178" t="s">
        <v>183</v>
      </c>
      <c r="B10" s="175" t="s">
        <v>184</v>
      </c>
      <c r="C10" s="176">
        <f>143692</f>
        <v>143692</v>
      </c>
      <c r="D10" s="177">
        <v>6744562</v>
      </c>
      <c r="E10" s="204" t="s">
        <v>241</v>
      </c>
      <c r="F10" s="109">
        <v>2665126.56</v>
      </c>
      <c r="G10" s="136">
        <f aca="true" t="shared" si="0" ref="G10:G16">D10-F10</f>
        <v>4079435.44</v>
      </c>
    </row>
    <row r="11" spans="1:7" ht="30">
      <c r="A11" s="178" t="s">
        <v>227</v>
      </c>
      <c r="B11" s="175" t="s">
        <v>228</v>
      </c>
      <c r="C11" s="176">
        <f>54</f>
        <v>54</v>
      </c>
      <c r="D11" s="177">
        <v>301055</v>
      </c>
      <c r="F11" s="109">
        <v>188481.15</v>
      </c>
      <c r="G11" s="136">
        <f t="shared" si="0"/>
        <v>112573.85</v>
      </c>
    </row>
    <row r="12" spans="1:7" ht="30">
      <c r="A12" s="178" t="s">
        <v>229</v>
      </c>
      <c r="B12" s="175" t="s">
        <v>228</v>
      </c>
      <c r="C12" s="176">
        <f>70</f>
        <v>70</v>
      </c>
      <c r="D12" s="177">
        <v>877103</v>
      </c>
      <c r="F12" s="109">
        <v>1768206.6</v>
      </c>
      <c r="G12" s="136">
        <f t="shared" si="0"/>
        <v>-891103.6000000001</v>
      </c>
    </row>
    <row r="13" spans="1:7" ht="60">
      <c r="A13" s="179" t="s">
        <v>230</v>
      </c>
      <c r="B13" s="180" t="s">
        <v>231</v>
      </c>
      <c r="C13" s="181">
        <v>900</v>
      </c>
      <c r="D13" s="177">
        <v>8418638</v>
      </c>
      <c r="F13" s="109">
        <v>4957542</v>
      </c>
      <c r="G13" s="136">
        <f t="shared" si="0"/>
        <v>3461096</v>
      </c>
    </row>
    <row r="14" spans="1:7" ht="60">
      <c r="A14" s="179"/>
      <c r="B14" s="180"/>
      <c r="C14" s="181"/>
      <c r="D14" s="177"/>
      <c r="E14" s="124" t="s">
        <v>243</v>
      </c>
      <c r="F14" s="109">
        <v>765171</v>
      </c>
      <c r="G14" s="136">
        <f t="shared" si="0"/>
        <v>-765171</v>
      </c>
    </row>
    <row r="15" spans="1:7" ht="90">
      <c r="A15" s="179" t="s">
        <v>232</v>
      </c>
      <c r="B15" s="180" t="s">
        <v>233</v>
      </c>
      <c r="C15" s="182" t="s">
        <v>234</v>
      </c>
      <c r="D15" s="177">
        <v>8547426</v>
      </c>
      <c r="F15" s="109">
        <v>13186788.46</v>
      </c>
      <c r="G15" s="136">
        <f t="shared" si="0"/>
        <v>-4639362.460000001</v>
      </c>
    </row>
    <row r="16" spans="1:7" ht="45">
      <c r="A16" s="179" t="s">
        <v>235</v>
      </c>
      <c r="B16" s="182" t="s">
        <v>236</v>
      </c>
      <c r="C16" s="182" t="s">
        <v>236</v>
      </c>
      <c r="D16" s="177">
        <v>3884089</v>
      </c>
      <c r="F16" s="109">
        <v>3884088.99</v>
      </c>
      <c r="G16" s="136">
        <f t="shared" si="0"/>
        <v>0.009999999776482582</v>
      </c>
    </row>
    <row r="17" spans="1:6" ht="15.75">
      <c r="A17" s="179"/>
      <c r="B17" s="128"/>
      <c r="C17" s="129"/>
      <c r="D17" s="183"/>
      <c r="F17" s="109"/>
    </row>
    <row r="18" spans="1:6" ht="15.75">
      <c r="A18" s="179"/>
      <c r="B18" s="128"/>
      <c r="C18" s="129"/>
      <c r="D18" s="183"/>
      <c r="F18" s="109"/>
    </row>
    <row r="19" spans="1:6" ht="15.75">
      <c r="A19" s="179"/>
      <c r="B19" s="128"/>
      <c r="C19" s="129"/>
      <c r="D19" s="183"/>
      <c r="F19" s="109"/>
    </row>
    <row r="20" spans="1:6" ht="15.75">
      <c r="A20" s="179"/>
      <c r="B20" s="128"/>
      <c r="C20" s="129"/>
      <c r="D20" s="183"/>
      <c r="F20" s="109"/>
    </row>
    <row r="21" spans="1:7" ht="16.5" thickBot="1">
      <c r="A21" s="191"/>
      <c r="B21" s="192"/>
      <c r="C21" s="193"/>
      <c r="D21" s="194"/>
      <c r="F21" s="109"/>
      <c r="G21" s="136">
        <f>SUM(G8:G20)</f>
        <v>11353813.759999998</v>
      </c>
    </row>
    <row r="22" spans="1:14" ht="16.5" thickBot="1">
      <c r="A22" s="195" t="s">
        <v>185</v>
      </c>
      <c r="B22" s="196" t="s">
        <v>186</v>
      </c>
      <c r="C22" s="197" t="s">
        <v>186</v>
      </c>
      <c r="D22" s="130">
        <f>SUM(D8:D21)</f>
        <v>66361677</v>
      </c>
      <c r="E22" s="198"/>
      <c r="F22" s="198">
        <f>SUM(F8:F21)</f>
        <v>55007863.24</v>
      </c>
      <c r="G22" s="205" t="s">
        <v>237</v>
      </c>
      <c r="H22" s="198"/>
      <c r="I22" s="198"/>
      <c r="J22" s="198"/>
      <c r="K22" s="198"/>
      <c r="L22" s="198"/>
      <c r="M22" s="198">
        <v>68593536</v>
      </c>
      <c r="N22" s="199">
        <f>M22-D22</f>
        <v>2231859</v>
      </c>
    </row>
    <row r="23" spans="1:6" ht="15.75">
      <c r="A23" s="131"/>
      <c r="B23" s="132"/>
      <c r="C23" s="133"/>
      <c r="D23" s="134"/>
      <c r="F23" s="136">
        <f>D22-F22</f>
        <v>11353813.759999998</v>
      </c>
    </row>
    <row r="24" spans="1:4" ht="15.75" hidden="1">
      <c r="A24" s="131"/>
      <c r="B24" s="132"/>
      <c r="C24" s="133"/>
      <c r="D24" s="134"/>
    </row>
    <row r="25" spans="1:4" ht="15.75" hidden="1">
      <c r="A25" s="426"/>
      <c r="B25" s="426"/>
      <c r="C25" s="426"/>
      <c r="D25" s="426"/>
    </row>
    <row r="26" spans="1:4" ht="15.75" hidden="1">
      <c r="A26" s="131"/>
      <c r="B26" s="132"/>
      <c r="C26" s="133"/>
      <c r="D26" s="134"/>
    </row>
    <row r="27" spans="1:4" ht="15.75">
      <c r="A27" s="131"/>
      <c r="B27" s="132"/>
      <c r="C27" s="133"/>
      <c r="D27" s="134"/>
    </row>
    <row r="28" spans="1:10" ht="17.25">
      <c r="A28" s="41" t="s">
        <v>18</v>
      </c>
      <c r="B28" s="64"/>
      <c r="C28" s="409" t="s">
        <v>287</v>
      </c>
      <c r="D28" s="409"/>
      <c r="E28" s="43"/>
      <c r="H28" s="86"/>
      <c r="I28" s="86"/>
      <c r="J28" s="86"/>
    </row>
    <row r="29" spans="1:10" ht="17.25">
      <c r="A29" s="46"/>
      <c r="B29" s="63" t="s">
        <v>19</v>
      </c>
      <c r="C29" s="138"/>
      <c r="D29" s="138" t="s">
        <v>20</v>
      </c>
      <c r="H29" s="86"/>
      <c r="I29" s="86"/>
      <c r="J29" s="86"/>
    </row>
    <row r="30" spans="1:10" ht="17.25">
      <c r="A30" s="46" t="s">
        <v>21</v>
      </c>
      <c r="B30" s="64"/>
      <c r="C30" s="410" t="s">
        <v>288</v>
      </c>
      <c r="D30" s="410"/>
      <c r="E30" s="66"/>
      <c r="F30" s="427"/>
      <c r="G30" s="427"/>
      <c r="H30" s="86"/>
      <c r="I30" s="86"/>
      <c r="J30" s="86"/>
    </row>
    <row r="31" spans="1:10" ht="17.25">
      <c r="A31" s="46"/>
      <c r="B31" s="63" t="s">
        <v>19</v>
      </c>
      <c r="C31" s="138"/>
      <c r="D31" s="138" t="s">
        <v>20</v>
      </c>
      <c r="E31" s="401"/>
      <c r="F31" s="401"/>
      <c r="G31" s="401"/>
      <c r="H31" s="86"/>
      <c r="I31" s="86"/>
      <c r="J31" s="86"/>
    </row>
    <row r="32" spans="1:4" ht="15.75" customHeight="1">
      <c r="A32" s="131"/>
      <c r="B32" s="200"/>
      <c r="C32" s="201"/>
      <c r="D32" s="137"/>
    </row>
    <row r="33" spans="1:4" ht="15.75" customHeight="1">
      <c r="A33" s="131"/>
      <c r="B33" s="200"/>
      <c r="C33" s="201"/>
      <c r="D33" s="137"/>
    </row>
    <row r="34" spans="1:4" ht="15.75">
      <c r="A34" s="202" t="s">
        <v>238</v>
      </c>
      <c r="B34" s="200"/>
      <c r="C34" s="201"/>
      <c r="D34" s="203"/>
    </row>
    <row r="35" spans="1:4" ht="15.75">
      <c r="A35" s="131"/>
      <c r="B35" s="132"/>
      <c r="C35" s="133"/>
      <c r="D35" s="134"/>
    </row>
    <row r="36" spans="1:4" ht="15.75">
      <c r="A36" s="131"/>
      <c r="B36" s="132"/>
      <c r="C36" s="133"/>
      <c r="D36" s="134"/>
    </row>
    <row r="37" spans="1:4" ht="15.75">
      <c r="A37" s="131"/>
      <c r="B37" s="132"/>
      <c r="C37" s="133"/>
      <c r="D37" s="134"/>
    </row>
    <row r="38" spans="1:4" ht="15.75">
      <c r="A38" s="131"/>
      <c r="B38" s="132"/>
      <c r="C38" s="133"/>
      <c r="D38" s="134"/>
    </row>
    <row r="39" spans="1:4" ht="15.75">
      <c r="A39" s="131"/>
      <c r="B39" s="132"/>
      <c r="C39" s="133"/>
      <c r="D39" s="134"/>
    </row>
    <row r="40" spans="1:4" ht="15.75">
      <c r="A40" s="131"/>
      <c r="B40" s="132"/>
      <c r="C40" s="133"/>
      <c r="D40" s="134"/>
    </row>
    <row r="41" spans="1:4" ht="15.75">
      <c r="A41" s="131"/>
      <c r="B41" s="132"/>
      <c r="C41" s="133"/>
      <c r="D41" s="134"/>
    </row>
    <row r="42" spans="1:4" ht="15.75">
      <c r="A42" s="131"/>
      <c r="B42" s="132"/>
      <c r="C42" s="133"/>
      <c r="D42" s="134"/>
    </row>
    <row r="43" spans="1:4" ht="15.75">
      <c r="A43" s="131"/>
      <c r="B43" s="132"/>
      <c r="C43" s="133"/>
      <c r="D43" s="134"/>
    </row>
    <row r="44" spans="1:4" ht="15.75">
      <c r="A44" s="131"/>
      <c r="B44" s="132"/>
      <c r="C44" s="133"/>
      <c r="D44" s="134"/>
    </row>
    <row r="45" spans="1:4" ht="15.75">
      <c r="A45" s="131"/>
      <c r="B45" s="132"/>
      <c r="C45" s="133"/>
      <c r="D45" s="134"/>
    </row>
    <row r="46" spans="1:4" ht="15.75">
      <c r="A46" s="131"/>
      <c r="B46" s="132"/>
      <c r="C46" s="133"/>
      <c r="D46" s="134"/>
    </row>
    <row r="47" spans="1:4" ht="15.75">
      <c r="A47" s="131"/>
      <c r="B47" s="132"/>
      <c r="C47" s="133"/>
      <c r="D47" s="134"/>
    </row>
    <row r="48" spans="1:4" ht="15.75">
      <c r="A48" s="131"/>
      <c r="B48" s="132"/>
      <c r="C48" s="133"/>
      <c r="D48" s="134"/>
    </row>
  </sheetData>
  <sheetProtection/>
  <mergeCells count="9">
    <mergeCell ref="A1:D1"/>
    <mergeCell ref="A2:D2"/>
    <mergeCell ref="E31:G31"/>
    <mergeCell ref="C30:D30"/>
    <mergeCell ref="A4:A6"/>
    <mergeCell ref="B4:D5"/>
    <mergeCell ref="A25:D25"/>
    <mergeCell ref="C28:D28"/>
    <mergeCell ref="F30:G30"/>
  </mergeCells>
  <printOptions/>
  <pageMargins left="0.7086614173228347" right="0.11811023622047245" top="0.5511811023622047" bottom="0" header="0" footer="0"/>
  <pageSetup horizontalDpi="600" verticalDpi="600" orientation="portrait" paperSize="9" scale="87" r:id="rId1"/>
  <colBreaks count="1" manualBreakCount="1">
    <brk id="4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J41"/>
  <sheetViews>
    <sheetView view="pageBreakPreview" zoomScaleSheetLayoutView="100" zoomScalePageLayoutView="0" workbookViewId="0" topLeftCell="A13">
      <selection activeCell="B1" sqref="B1:H1"/>
    </sheetView>
  </sheetViews>
  <sheetFormatPr defaultColWidth="9.140625" defaultRowHeight="15"/>
  <cols>
    <col min="1" max="1" width="4.57421875" style="0" customWidth="1"/>
    <col min="2" max="2" width="29.421875" style="0" customWidth="1"/>
    <col min="3" max="3" width="10.28125" style="0" customWidth="1"/>
    <col min="4" max="4" width="14.00390625" style="0" customWidth="1"/>
    <col min="5" max="5" width="16.00390625" style="0" customWidth="1"/>
    <col min="6" max="6" width="13.421875" style="0" customWidth="1"/>
    <col min="7" max="7" width="14.57421875" style="0" customWidth="1"/>
    <col min="8" max="8" width="44.8515625" style="0" customWidth="1"/>
  </cols>
  <sheetData>
    <row r="1" spans="2:10" ht="36" customHeight="1">
      <c r="B1" s="370" t="s">
        <v>289</v>
      </c>
      <c r="C1" s="370"/>
      <c r="D1" s="370"/>
      <c r="E1" s="370"/>
      <c r="F1" s="370"/>
      <c r="G1" s="370"/>
      <c r="H1" s="370"/>
      <c r="I1" s="336"/>
      <c r="J1" s="336"/>
    </row>
    <row r="2" spans="2:9" ht="15" customHeight="1">
      <c r="B2" s="428" t="s">
        <v>244</v>
      </c>
      <c r="C2" s="429"/>
      <c r="D2" s="429"/>
      <c r="E2" s="429"/>
      <c r="F2" s="429"/>
      <c r="G2" s="429"/>
      <c r="H2" s="429"/>
      <c r="I2" s="209" t="s">
        <v>173</v>
      </c>
    </row>
    <row r="3" spans="2:8" ht="15.75">
      <c r="B3" s="68"/>
      <c r="C3" s="68"/>
      <c r="D3" s="68"/>
      <c r="E3" s="68"/>
      <c r="F3" s="68"/>
      <c r="H3" s="117" t="s">
        <v>98</v>
      </c>
    </row>
    <row r="4" spans="2:8" ht="126">
      <c r="B4" s="26" t="s">
        <v>32</v>
      </c>
      <c r="C4" s="26" t="s">
        <v>195</v>
      </c>
      <c r="D4" s="26" t="s">
        <v>83</v>
      </c>
      <c r="E4" s="26" t="s">
        <v>172</v>
      </c>
      <c r="F4" s="26" t="s">
        <v>84</v>
      </c>
      <c r="G4" s="106" t="s">
        <v>85</v>
      </c>
      <c r="H4" s="26" t="s">
        <v>156</v>
      </c>
    </row>
    <row r="5" spans="2:8" ht="15.75">
      <c r="B5" s="38" t="s">
        <v>33</v>
      </c>
      <c r="C5" s="69"/>
      <c r="D5" s="210">
        <f>ROUND(5479546*1.2,0)+1738228</f>
        <v>8313683</v>
      </c>
      <c r="E5" s="210">
        <f>9409148-6575455</f>
        <v>2833693</v>
      </c>
      <c r="F5" s="210"/>
      <c r="G5" s="211">
        <f>C5+D5+E5+F5</f>
        <v>11147376</v>
      </c>
      <c r="H5" s="109"/>
    </row>
    <row r="6" spans="2:8" ht="31.5">
      <c r="B6" s="29" t="s">
        <v>34</v>
      </c>
      <c r="C6" s="71"/>
      <c r="D6" s="212">
        <f>ROUND(D5*0.22,0)</f>
        <v>1829010</v>
      </c>
      <c r="E6" s="212">
        <f>ROUND(E5*0.22,0)</f>
        <v>623412</v>
      </c>
      <c r="F6" s="212"/>
      <c r="G6" s="211">
        <f aca="true" t="shared" si="0" ref="G6:G14">C6+D6+E6+F6</f>
        <v>2452422</v>
      </c>
      <c r="H6" s="109"/>
    </row>
    <row r="7" spans="2:8" ht="15.75">
      <c r="B7" s="29" t="s">
        <v>154</v>
      </c>
      <c r="C7" s="71"/>
      <c r="D7" s="212"/>
      <c r="E7" s="212"/>
      <c r="F7" s="212"/>
      <c r="G7" s="211">
        <f t="shared" si="0"/>
        <v>0</v>
      </c>
      <c r="H7" s="109"/>
    </row>
    <row r="8" spans="2:8" ht="31.5">
      <c r="B8" s="29" t="s">
        <v>35</v>
      </c>
      <c r="C8" s="71"/>
      <c r="D8" s="212">
        <f>ROUND(1467*1.011,0)</f>
        <v>1483</v>
      </c>
      <c r="E8" s="212"/>
      <c r="F8" s="212"/>
      <c r="G8" s="211">
        <f t="shared" si="0"/>
        <v>1483</v>
      </c>
      <c r="H8" s="109"/>
    </row>
    <row r="9" spans="2:8" ht="144.75">
      <c r="B9" s="29" t="s">
        <v>38</v>
      </c>
      <c r="C9" s="71"/>
      <c r="D9" s="212">
        <v>260908</v>
      </c>
      <c r="E9" s="212"/>
      <c r="F9" s="212"/>
      <c r="G9" s="211">
        <f t="shared" si="0"/>
        <v>260908</v>
      </c>
      <c r="H9" s="213" t="s">
        <v>248</v>
      </c>
    </row>
    <row r="10" spans="2:8" ht="15.75">
      <c r="B10" s="29" t="s">
        <v>39</v>
      </c>
      <c r="C10" s="71"/>
      <c r="D10" s="212"/>
      <c r="E10" s="212"/>
      <c r="F10" s="212"/>
      <c r="G10" s="211">
        <f t="shared" si="0"/>
        <v>0</v>
      </c>
      <c r="H10" s="109"/>
    </row>
    <row r="11" spans="2:8" ht="31.5">
      <c r="B11" s="29" t="s">
        <v>40</v>
      </c>
      <c r="C11" s="71">
        <f>C12+C13+C14+C15+C16+C17</f>
        <v>0</v>
      </c>
      <c r="D11" s="212">
        <f>D12+D13+D14+D15+D16+D17</f>
        <v>0</v>
      </c>
      <c r="E11" s="212">
        <f>E12+E13+E14+E15+E16+E17</f>
        <v>1386032</v>
      </c>
      <c r="F11" s="212">
        <f>F12+F13+F14+F15+F16+F17</f>
        <v>0</v>
      </c>
      <c r="G11" s="211">
        <f t="shared" si="0"/>
        <v>1386032</v>
      </c>
      <c r="H11" s="109"/>
    </row>
    <row r="12" spans="2:8" ht="15.75">
      <c r="B12" s="29" t="s">
        <v>41</v>
      </c>
      <c r="C12" s="71"/>
      <c r="D12" s="212"/>
      <c r="E12" s="212">
        <f>ROUND(984194*1.011,0)</f>
        <v>995020</v>
      </c>
      <c r="F12" s="212"/>
      <c r="G12" s="211">
        <f t="shared" si="0"/>
        <v>995020</v>
      </c>
      <c r="H12" s="109"/>
    </row>
    <row r="13" spans="2:8" ht="31.5">
      <c r="B13" s="32" t="s">
        <v>42</v>
      </c>
      <c r="C13" s="71"/>
      <c r="D13" s="212"/>
      <c r="E13" s="212">
        <f>ROUND(71720*1.011,0)</f>
        <v>72509</v>
      </c>
      <c r="F13" s="212"/>
      <c r="G13" s="211">
        <f t="shared" si="0"/>
        <v>72509</v>
      </c>
      <c r="H13" s="109"/>
    </row>
    <row r="14" spans="2:8" ht="15.75">
      <c r="B14" s="29" t="s">
        <v>43</v>
      </c>
      <c r="C14" s="71"/>
      <c r="D14" s="212"/>
      <c r="E14" s="212">
        <f>ROUND(315038*1.011,0)</f>
        <v>318503</v>
      </c>
      <c r="F14" s="212"/>
      <c r="G14" s="211">
        <f t="shared" si="0"/>
        <v>318503</v>
      </c>
      <c r="H14" s="109"/>
    </row>
    <row r="15" spans="2:8" ht="15.75">
      <c r="B15" s="29" t="s">
        <v>44</v>
      </c>
      <c r="C15" s="71"/>
      <c r="D15" s="71"/>
      <c r="E15" s="71"/>
      <c r="F15" s="71"/>
      <c r="G15" s="107">
        <f aca="true" t="shared" si="1" ref="G15:G23">C15+D15+E15+F15</f>
        <v>0</v>
      </c>
      <c r="H15" s="109"/>
    </row>
    <row r="16" spans="2:8" ht="15.75">
      <c r="B16" s="29" t="s">
        <v>45</v>
      </c>
      <c r="C16" s="71"/>
      <c r="D16" s="71"/>
      <c r="E16" s="71"/>
      <c r="F16" s="71"/>
      <c r="G16" s="107">
        <f t="shared" si="1"/>
        <v>0</v>
      </c>
      <c r="H16" s="109"/>
    </row>
    <row r="17" spans="2:8" ht="15.75">
      <c r="B17" s="29" t="s">
        <v>46</v>
      </c>
      <c r="C17" s="71"/>
      <c r="D17" s="71"/>
      <c r="E17" s="71"/>
      <c r="F17" s="71"/>
      <c r="G17" s="107">
        <f t="shared" si="1"/>
        <v>0</v>
      </c>
      <c r="H17" s="109"/>
    </row>
    <row r="18" spans="2:8" ht="63">
      <c r="B18" s="32" t="s">
        <v>47</v>
      </c>
      <c r="C18" s="71"/>
      <c r="D18" s="71"/>
      <c r="E18" s="71"/>
      <c r="F18" s="71"/>
      <c r="G18" s="107">
        <f t="shared" si="1"/>
        <v>0</v>
      </c>
      <c r="H18" s="109"/>
    </row>
    <row r="19" spans="2:8" ht="15.75">
      <c r="B19" s="29" t="s">
        <v>49</v>
      </c>
      <c r="C19" s="71"/>
      <c r="D19" s="71"/>
      <c r="E19" s="71"/>
      <c r="F19" s="71"/>
      <c r="G19" s="107">
        <f t="shared" si="1"/>
        <v>0</v>
      </c>
      <c r="H19" s="109"/>
    </row>
    <row r="20" spans="2:8" ht="15.75">
      <c r="B20" s="29" t="s">
        <v>75</v>
      </c>
      <c r="C20" s="71"/>
      <c r="D20" s="71"/>
      <c r="E20" s="71"/>
      <c r="F20" s="71"/>
      <c r="G20" s="107">
        <f t="shared" si="1"/>
        <v>0</v>
      </c>
      <c r="H20" s="109"/>
    </row>
    <row r="21" spans="2:8" ht="15.75">
      <c r="B21" s="29" t="s">
        <v>153</v>
      </c>
      <c r="C21" s="71"/>
      <c r="D21" s="71"/>
      <c r="E21" s="71"/>
      <c r="F21" s="71"/>
      <c r="G21" s="107">
        <f t="shared" si="1"/>
        <v>0</v>
      </c>
      <c r="H21" s="109"/>
    </row>
    <row r="22" spans="2:8" ht="15.75">
      <c r="B22" s="29"/>
      <c r="C22" s="71"/>
      <c r="D22" s="71"/>
      <c r="E22" s="71"/>
      <c r="F22" s="71"/>
      <c r="G22" s="107">
        <f t="shared" si="1"/>
        <v>0</v>
      </c>
      <c r="H22" s="109"/>
    </row>
    <row r="23" spans="2:8" ht="15.75">
      <c r="B23" s="29"/>
      <c r="C23" s="71"/>
      <c r="D23" s="71"/>
      <c r="E23" s="71"/>
      <c r="F23" s="71"/>
      <c r="G23" s="107">
        <f t="shared" si="1"/>
        <v>0</v>
      </c>
      <c r="H23" s="109"/>
    </row>
    <row r="24" spans="2:9" ht="15.75">
      <c r="B24" s="73" t="s">
        <v>101</v>
      </c>
      <c r="C24" s="71"/>
      <c r="D24" s="71"/>
      <c r="E24" s="71"/>
      <c r="F24" s="71"/>
      <c r="G24" s="107">
        <f>C24+D24+E24+F24</f>
        <v>0</v>
      </c>
      <c r="H24" s="109"/>
      <c r="I24" t="s">
        <v>174</v>
      </c>
    </row>
    <row r="25" spans="2:8" ht="15.75">
      <c r="B25" s="33" t="s">
        <v>51</v>
      </c>
      <c r="C25" s="70">
        <f>C5+C6+C7+C8+C9+C10+C11+C18+C19+C20+C21+C22+C23+C24</f>
        <v>0</v>
      </c>
      <c r="D25" s="70">
        <f>D5+D6+D7+D8+D9+D10+D11+D18+D19+D20+D21+D22+D23+D24</f>
        <v>10405084</v>
      </c>
      <c r="E25" s="70">
        <f>E5+E6+E7+E8+E9+E10+E11+E18+E19+E20+E21+E22+E23+E24</f>
        <v>4843137</v>
      </c>
      <c r="F25" s="70">
        <f>F5+F6+F7+F8+F9+F10+F11+F18+F19+F20+F21+F22+F23+F24</f>
        <v>0</v>
      </c>
      <c r="G25" s="108">
        <f>G5+G6+G7+G8+G9+G10+G11+G18+G19+G20+G21+G22+G23+G24</f>
        <v>15248221</v>
      </c>
      <c r="H25" s="109"/>
    </row>
    <row r="27" spans="2:7" ht="18.75">
      <c r="B27" s="430" t="s">
        <v>127</v>
      </c>
      <c r="C27" s="430"/>
      <c r="D27" s="430"/>
      <c r="E27" s="430"/>
      <c r="F27" s="430"/>
      <c r="G27" s="430"/>
    </row>
    <row r="28" spans="2:7" ht="15.75">
      <c r="B28" s="50" t="s">
        <v>128</v>
      </c>
      <c r="C28" s="214">
        <f>C8+C11</f>
        <v>0</v>
      </c>
      <c r="D28" s="214">
        <f>D8+D11</f>
        <v>1483</v>
      </c>
      <c r="E28" s="214">
        <f>E8+E11</f>
        <v>1386032</v>
      </c>
      <c r="F28" s="214">
        <f>F8+F11</f>
        <v>0</v>
      </c>
      <c r="G28" s="214">
        <f>G8+G11</f>
        <v>1387515</v>
      </c>
    </row>
    <row r="29" spans="2:7" ht="15.75">
      <c r="B29" s="50" t="s">
        <v>129</v>
      </c>
      <c r="C29" s="214">
        <f>C5</f>
        <v>0</v>
      </c>
      <c r="D29" s="214">
        <f aca="true" t="shared" si="2" ref="D29:G30">D5</f>
        <v>8313683</v>
      </c>
      <c r="E29" s="214">
        <f t="shared" si="2"/>
        <v>2833693</v>
      </c>
      <c r="F29" s="214">
        <f t="shared" si="2"/>
        <v>0</v>
      </c>
      <c r="G29" s="214">
        <f t="shared" si="2"/>
        <v>11147376</v>
      </c>
    </row>
    <row r="30" spans="2:7" ht="31.5">
      <c r="B30" s="50" t="s">
        <v>130</v>
      </c>
      <c r="C30" s="214">
        <f>C6</f>
        <v>0</v>
      </c>
      <c r="D30" s="214">
        <f t="shared" si="2"/>
        <v>1829010</v>
      </c>
      <c r="E30" s="214">
        <f t="shared" si="2"/>
        <v>623412</v>
      </c>
      <c r="F30" s="214">
        <f t="shared" si="2"/>
        <v>0</v>
      </c>
      <c r="G30" s="214">
        <f t="shared" si="2"/>
        <v>2452422</v>
      </c>
    </row>
    <row r="31" spans="2:7" ht="15.75">
      <c r="B31" s="50" t="s">
        <v>131</v>
      </c>
      <c r="C31" s="214">
        <f>C24</f>
        <v>0</v>
      </c>
      <c r="D31" s="214">
        <f>D24</f>
        <v>0</v>
      </c>
      <c r="E31" s="214">
        <f>E24</f>
        <v>0</v>
      </c>
      <c r="F31" s="214">
        <f>F24</f>
        <v>0</v>
      </c>
      <c r="G31" s="214">
        <f>G24</f>
        <v>0</v>
      </c>
    </row>
    <row r="32" spans="2:7" ht="15.75">
      <c r="B32" s="50" t="s">
        <v>132</v>
      </c>
      <c r="C32" s="214">
        <f>C9+C10+C18+C19+C20+C21</f>
        <v>0</v>
      </c>
      <c r="D32" s="214">
        <f>D9+D10+D18+D19+D20+D21</f>
        <v>260908</v>
      </c>
      <c r="E32" s="214">
        <f>E9+E10+E18+E19+E20+E21</f>
        <v>0</v>
      </c>
      <c r="F32" s="214">
        <f>F9+F10+F18+F19+F20+F21</f>
        <v>0</v>
      </c>
      <c r="G32" s="214">
        <f>G9+G10+G18+G19+G20+G21</f>
        <v>260908</v>
      </c>
    </row>
    <row r="35" spans="2:8" ht="17.25">
      <c r="B35" s="41" t="s">
        <v>18</v>
      </c>
      <c r="C35" s="42"/>
      <c r="D35" s="64"/>
      <c r="E35" s="42"/>
      <c r="F35" s="43"/>
      <c r="G35" s="409" t="s">
        <v>287</v>
      </c>
      <c r="H35" s="409"/>
    </row>
    <row r="36" spans="2:8" ht="17.25">
      <c r="B36" s="46"/>
      <c r="C36" s="66"/>
      <c r="D36" s="63" t="s">
        <v>19</v>
      </c>
      <c r="E36" s="63"/>
      <c r="F36" s="401" t="s">
        <v>20</v>
      </c>
      <c r="G36" s="401"/>
      <c r="H36" s="401"/>
    </row>
    <row r="37" spans="2:8" ht="17.25">
      <c r="B37" s="46" t="s">
        <v>21</v>
      </c>
      <c r="C37" s="66"/>
      <c r="D37" s="65"/>
      <c r="E37" s="66"/>
      <c r="F37" s="66"/>
      <c r="G37" s="410" t="s">
        <v>288</v>
      </c>
      <c r="H37" s="410"/>
    </row>
    <row r="38" spans="2:8" ht="17.25">
      <c r="B38" s="46"/>
      <c r="C38" s="66"/>
      <c r="D38" s="63" t="s">
        <v>19</v>
      </c>
      <c r="E38" s="63"/>
      <c r="F38" s="401" t="s">
        <v>20</v>
      </c>
      <c r="G38" s="401"/>
      <c r="H38" s="401"/>
    </row>
    <row r="41" ht="15">
      <c r="B41" s="202" t="s">
        <v>238</v>
      </c>
    </row>
  </sheetData>
  <sheetProtection/>
  <mergeCells count="7">
    <mergeCell ref="B1:H1"/>
    <mergeCell ref="B2:H2"/>
    <mergeCell ref="G37:H37"/>
    <mergeCell ref="F38:H38"/>
    <mergeCell ref="B27:G27"/>
    <mergeCell ref="F36:H36"/>
    <mergeCell ref="G35:H35"/>
  </mergeCells>
  <printOptions/>
  <pageMargins left="0" right="0" top="0" bottom="0" header="0" footer="0"/>
  <pageSetup horizontalDpi="600" verticalDpi="600" orientation="portrait" paperSize="9" scale="68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B1:M42"/>
  <sheetViews>
    <sheetView view="pageBreakPreview" zoomScaleSheetLayoutView="100" zoomScalePageLayoutView="0" workbookViewId="0" topLeftCell="A1">
      <selection activeCell="B1" sqref="B1:I1"/>
    </sheetView>
  </sheetViews>
  <sheetFormatPr defaultColWidth="9.140625" defaultRowHeight="15"/>
  <cols>
    <col min="1" max="1" width="3.8515625" style="0" customWidth="1"/>
    <col min="2" max="2" width="29.421875" style="0" customWidth="1"/>
    <col min="4" max="4" width="10.28125" style="0" customWidth="1"/>
    <col min="5" max="5" width="14.57421875" style="0" customWidth="1"/>
    <col min="6" max="6" width="14.140625" style="0" customWidth="1"/>
    <col min="7" max="7" width="13.421875" style="0" customWidth="1"/>
    <col min="8" max="8" width="15.140625" style="0" customWidth="1"/>
    <col min="9" max="9" width="45.57421875" style="0" customWidth="1"/>
  </cols>
  <sheetData>
    <row r="1" spans="2:10" ht="33" customHeight="1">
      <c r="B1" s="370" t="s">
        <v>289</v>
      </c>
      <c r="C1" s="370"/>
      <c r="D1" s="370"/>
      <c r="E1" s="370"/>
      <c r="F1" s="370"/>
      <c r="G1" s="370"/>
      <c r="H1" s="370"/>
      <c r="I1" s="370"/>
      <c r="J1" s="336"/>
    </row>
    <row r="2" spans="2:8" ht="15.75">
      <c r="B2" s="433" t="s">
        <v>245</v>
      </c>
      <c r="C2" s="433"/>
      <c r="D2" s="433"/>
      <c r="E2" s="433"/>
      <c r="F2" s="433"/>
      <c r="G2" s="433"/>
      <c r="H2" s="433"/>
    </row>
    <row r="3" spans="2:8" ht="15.75">
      <c r="B3" s="68"/>
      <c r="C3" s="68"/>
      <c r="D3" s="68"/>
      <c r="E3" s="68"/>
      <c r="F3" s="68"/>
      <c r="G3" s="68"/>
      <c r="H3" s="68" t="s">
        <v>98</v>
      </c>
    </row>
    <row r="4" spans="2:13" ht="126">
      <c r="B4" s="26" t="s">
        <v>32</v>
      </c>
      <c r="C4" s="26" t="s">
        <v>7</v>
      </c>
      <c r="D4" s="26" t="s">
        <v>195</v>
      </c>
      <c r="E4" s="26" t="s">
        <v>83</v>
      </c>
      <c r="F4" s="26" t="s">
        <v>172</v>
      </c>
      <c r="G4" s="26" t="s">
        <v>84</v>
      </c>
      <c r="H4" s="106" t="s">
        <v>85</v>
      </c>
      <c r="I4" s="26" t="s">
        <v>156</v>
      </c>
      <c r="J4" s="431" t="s">
        <v>166</v>
      </c>
      <c r="K4" s="432"/>
      <c r="L4" s="432"/>
      <c r="M4" s="432"/>
    </row>
    <row r="5" spans="2:9" ht="15.75">
      <c r="B5" s="38" t="s">
        <v>33</v>
      </c>
      <c r="C5" s="30">
        <v>1040</v>
      </c>
      <c r="D5" s="69"/>
      <c r="E5" s="215">
        <f>39135127+9942019</f>
        <v>49077146</v>
      </c>
      <c r="F5" s="215">
        <v>14681699</v>
      </c>
      <c r="G5" s="215"/>
      <c r="H5" s="216">
        <f aca="true" t="shared" si="0" ref="H5:H24">D5+E5+F5+G5</f>
        <v>63758845</v>
      </c>
      <c r="I5" s="217"/>
    </row>
    <row r="6" spans="2:9" ht="31.5">
      <c r="B6" s="29" t="s">
        <v>34</v>
      </c>
      <c r="C6" s="31">
        <v>1050</v>
      </c>
      <c r="D6" s="71"/>
      <c r="E6" s="218">
        <f>ROUND(E5*0.22,0)+7</f>
        <v>10796979</v>
      </c>
      <c r="F6" s="218">
        <v>3229806</v>
      </c>
      <c r="G6" s="218"/>
      <c r="H6" s="216">
        <f t="shared" si="0"/>
        <v>14026785</v>
      </c>
      <c r="I6" s="217"/>
    </row>
    <row r="7" spans="2:9" ht="15.75">
      <c r="B7" s="29" t="s">
        <v>154</v>
      </c>
      <c r="C7" s="31" t="s">
        <v>155</v>
      </c>
      <c r="D7" s="71"/>
      <c r="E7" s="218"/>
      <c r="F7" s="218"/>
      <c r="G7" s="218"/>
      <c r="H7" s="216">
        <f t="shared" si="0"/>
        <v>0</v>
      </c>
      <c r="I7" s="217"/>
    </row>
    <row r="8" spans="2:9" ht="31.5">
      <c r="B8" s="29" t="s">
        <v>35</v>
      </c>
      <c r="C8" s="31">
        <v>1060</v>
      </c>
      <c r="D8" s="71"/>
      <c r="E8" s="218">
        <v>203400</v>
      </c>
      <c r="F8" s="218">
        <f>27000-21000</f>
        <v>6000</v>
      </c>
      <c r="G8" s="218">
        <f>716626+3464</f>
        <v>720090</v>
      </c>
      <c r="H8" s="216">
        <f t="shared" si="0"/>
        <v>929490</v>
      </c>
      <c r="I8" s="217"/>
    </row>
    <row r="9" spans="2:9" ht="31.5">
      <c r="B9" s="29" t="s">
        <v>36</v>
      </c>
      <c r="C9" s="31">
        <v>1070</v>
      </c>
      <c r="D9" s="71"/>
      <c r="E9" s="218">
        <f>1622500-922900+3900000-450000+47799-424652+420652-2319873+2319873-447806</f>
        <v>3745593</v>
      </c>
      <c r="F9" s="218">
        <f>922900+450000+2319873-2319873+447806</f>
        <v>1820706</v>
      </c>
      <c r="G9" s="218">
        <f>635760+100538+424652-420652+406616-1055290</f>
        <v>91624</v>
      </c>
      <c r="H9" s="216">
        <f t="shared" si="0"/>
        <v>5657923</v>
      </c>
      <c r="I9" s="217"/>
    </row>
    <row r="10" spans="2:9" ht="15.75">
      <c r="B10" s="29" t="s">
        <v>37</v>
      </c>
      <c r="C10" s="31">
        <v>1080</v>
      </c>
      <c r="D10" s="71"/>
      <c r="E10" s="218">
        <f>540000+92300+589284</f>
        <v>1221584</v>
      </c>
      <c r="F10" s="218">
        <f>10700-1700</f>
        <v>9000</v>
      </c>
      <c r="G10" s="218"/>
      <c r="H10" s="216">
        <f t="shared" si="0"/>
        <v>1230584</v>
      </c>
      <c r="I10" s="217"/>
    </row>
    <row r="11" spans="2:9" ht="147">
      <c r="B11" s="29" t="s">
        <v>38</v>
      </c>
      <c r="C11" s="31">
        <v>1090</v>
      </c>
      <c r="D11" s="71"/>
      <c r="E11" s="218">
        <f>1200000+657000+6701</f>
        <v>1863701</v>
      </c>
      <c r="F11" s="218">
        <f>2400000-62793</f>
        <v>2337207</v>
      </c>
      <c r="G11" s="218">
        <f>62793</f>
        <v>62793</v>
      </c>
      <c r="H11" s="216">
        <f t="shared" si="0"/>
        <v>4263701</v>
      </c>
      <c r="I11" s="219" t="s">
        <v>249</v>
      </c>
    </row>
    <row r="12" spans="2:9" ht="15.75">
      <c r="B12" s="29" t="s">
        <v>39</v>
      </c>
      <c r="C12" s="31">
        <v>1100</v>
      </c>
      <c r="D12" s="71"/>
      <c r="E12" s="218"/>
      <c r="F12" s="218"/>
      <c r="G12" s="218"/>
      <c r="H12" s="216">
        <f t="shared" si="0"/>
        <v>0</v>
      </c>
      <c r="I12" s="217"/>
    </row>
    <row r="13" spans="2:9" ht="31.5">
      <c r="B13" s="29" t="s">
        <v>40</v>
      </c>
      <c r="C13" s="31">
        <v>1110</v>
      </c>
      <c r="D13" s="71">
        <f>D14+D15+D16+D17+D18</f>
        <v>0</v>
      </c>
      <c r="E13" s="218">
        <f>E14+E15+E16+E17+E18</f>
        <v>0</v>
      </c>
      <c r="F13" s="218">
        <f>F14+F15+F16+F17+F18</f>
        <v>7049234</v>
      </c>
      <c r="G13" s="218">
        <f>G14+G15+G16+G17+G18</f>
        <v>42554</v>
      </c>
      <c r="H13" s="218">
        <f>H14+H15+H16+H17+H18</f>
        <v>7091788</v>
      </c>
      <c r="I13" s="217"/>
    </row>
    <row r="14" spans="2:9" ht="15.75">
      <c r="B14" s="29" t="s">
        <v>41</v>
      </c>
      <c r="C14" s="31">
        <v>1111</v>
      </c>
      <c r="D14" s="71"/>
      <c r="E14" s="218"/>
      <c r="F14" s="220">
        <f>5010395+826570-826570</f>
        <v>5010395</v>
      </c>
      <c r="G14" s="218">
        <f>8606+826570-826570</f>
        <v>8606</v>
      </c>
      <c r="H14" s="216">
        <f t="shared" si="0"/>
        <v>5019001</v>
      </c>
      <c r="I14" s="217"/>
    </row>
    <row r="15" spans="2:9" ht="31.5">
      <c r="B15" s="32" t="s">
        <v>42</v>
      </c>
      <c r="C15" s="31">
        <v>1112</v>
      </c>
      <c r="D15" s="71"/>
      <c r="E15" s="218"/>
      <c r="F15" s="220">
        <v>408555</v>
      </c>
      <c r="G15" s="218">
        <v>4957</v>
      </c>
      <c r="H15" s="216">
        <f t="shared" si="0"/>
        <v>413512</v>
      </c>
      <c r="I15" s="217"/>
    </row>
    <row r="16" spans="2:9" ht="15.75">
      <c r="B16" s="29" t="s">
        <v>43</v>
      </c>
      <c r="C16" s="31">
        <v>1113</v>
      </c>
      <c r="D16" s="71"/>
      <c r="E16" s="218"/>
      <c r="F16" s="220">
        <f>1635691-42554</f>
        <v>1593137</v>
      </c>
      <c r="G16" s="218">
        <v>28991</v>
      </c>
      <c r="H16" s="216">
        <f t="shared" si="0"/>
        <v>1622128</v>
      </c>
      <c r="I16" s="217"/>
    </row>
    <row r="17" spans="2:9" ht="15.75">
      <c r="B17" s="29" t="s">
        <v>44</v>
      </c>
      <c r="C17" s="31">
        <v>1114</v>
      </c>
      <c r="D17" s="71"/>
      <c r="E17" s="218"/>
      <c r="F17" s="220">
        <v>29488</v>
      </c>
      <c r="G17" s="218"/>
      <c r="H17" s="216">
        <f t="shared" si="0"/>
        <v>29488</v>
      </c>
      <c r="I17" s="217"/>
    </row>
    <row r="18" spans="2:9" ht="15.75">
      <c r="B18" s="29" t="s">
        <v>45</v>
      </c>
      <c r="C18" s="31">
        <v>1115</v>
      </c>
      <c r="D18" s="71"/>
      <c r="E18" s="218"/>
      <c r="F18" s="220">
        <v>7659</v>
      </c>
      <c r="G18" s="218"/>
      <c r="H18" s="216">
        <f t="shared" si="0"/>
        <v>7659</v>
      </c>
      <c r="I18" s="217"/>
    </row>
    <row r="19" spans="2:9" ht="15.75">
      <c r="B19" s="29"/>
      <c r="C19" s="31"/>
      <c r="D19" s="71"/>
      <c r="E19" s="218"/>
      <c r="F19" s="218"/>
      <c r="G19" s="218"/>
      <c r="H19" s="216">
        <f t="shared" si="0"/>
        <v>0</v>
      </c>
      <c r="I19" s="217"/>
    </row>
    <row r="20" spans="2:9" ht="63">
      <c r="B20" s="32" t="s">
        <v>47</v>
      </c>
      <c r="C20" s="31">
        <v>1120</v>
      </c>
      <c r="D20" s="71"/>
      <c r="E20" s="218">
        <f>E21+E22</f>
        <v>0</v>
      </c>
      <c r="F20" s="218">
        <f>F21+F22</f>
        <v>816000</v>
      </c>
      <c r="G20" s="218">
        <f>G21+G22</f>
        <v>0</v>
      </c>
      <c r="H20" s="216">
        <f t="shared" si="0"/>
        <v>816000</v>
      </c>
      <c r="I20" s="217"/>
    </row>
    <row r="21" spans="2:9" ht="31.5">
      <c r="B21" s="32" t="s">
        <v>133</v>
      </c>
      <c r="C21" s="31">
        <v>1130</v>
      </c>
      <c r="D21" s="71">
        <f>D22+D23</f>
        <v>0</v>
      </c>
      <c r="E21" s="218"/>
      <c r="F21" s="218">
        <v>816000</v>
      </c>
      <c r="G21" s="218"/>
      <c r="H21" s="216">
        <f t="shared" si="0"/>
        <v>816000</v>
      </c>
      <c r="I21" s="217"/>
    </row>
    <row r="22" spans="2:9" ht="24" customHeight="1">
      <c r="B22" s="32" t="s">
        <v>134</v>
      </c>
      <c r="C22" s="31">
        <v>1131</v>
      </c>
      <c r="D22" s="71"/>
      <c r="E22" s="218"/>
      <c r="F22" s="218"/>
      <c r="G22" s="218"/>
      <c r="H22" s="216">
        <f t="shared" si="0"/>
        <v>0</v>
      </c>
      <c r="I22" s="217"/>
    </row>
    <row r="23" spans="2:9" ht="31.5">
      <c r="B23" s="32" t="s">
        <v>135</v>
      </c>
      <c r="C23" s="31">
        <v>1132</v>
      </c>
      <c r="D23" s="71"/>
      <c r="E23" s="218"/>
      <c r="F23" s="218"/>
      <c r="G23" s="218"/>
      <c r="H23" s="216">
        <f t="shared" si="0"/>
        <v>0</v>
      </c>
      <c r="I23" s="217"/>
    </row>
    <row r="24" spans="2:9" ht="15.75">
      <c r="B24" s="29" t="s">
        <v>49</v>
      </c>
      <c r="C24" s="31">
        <v>1140</v>
      </c>
      <c r="D24" s="71"/>
      <c r="E24" s="218"/>
      <c r="F24" s="218"/>
      <c r="G24" s="218"/>
      <c r="H24" s="216">
        <f t="shared" si="0"/>
        <v>0</v>
      </c>
      <c r="I24" s="217"/>
    </row>
    <row r="25" spans="2:9" ht="15.75">
      <c r="B25" s="29" t="s">
        <v>75</v>
      </c>
      <c r="C25" s="31">
        <v>1141</v>
      </c>
      <c r="D25" s="71"/>
      <c r="E25" s="218">
        <f>3580900-505111-1390656</f>
        <v>1685133</v>
      </c>
      <c r="F25" s="218"/>
      <c r="G25" s="218">
        <f>505111+1390656</f>
        <v>1895767</v>
      </c>
      <c r="H25" s="216">
        <f>D25+E25+F25+G25</f>
        <v>3580900</v>
      </c>
      <c r="I25" s="217"/>
    </row>
    <row r="26" spans="2:9" ht="15.75">
      <c r="B26" s="73" t="s">
        <v>101</v>
      </c>
      <c r="C26" s="31">
        <v>1150</v>
      </c>
      <c r="D26" s="71"/>
      <c r="E26" s="218">
        <f>950906-950906</f>
        <v>0</v>
      </c>
      <c r="F26" s="218"/>
      <c r="G26" s="218">
        <v>950906</v>
      </c>
      <c r="H26" s="216">
        <f>D26+E26+F26+G26</f>
        <v>950906</v>
      </c>
      <c r="I26" s="109"/>
    </row>
    <row r="27" spans="2:9" ht="15.75">
      <c r="B27" s="33" t="s">
        <v>51</v>
      </c>
      <c r="C27" s="34">
        <v>1170</v>
      </c>
      <c r="D27" s="70">
        <f>D5+D6+D7+D8+D9+D10+D11+D12+D13+D20+D21+D24+D25</f>
        <v>0</v>
      </c>
      <c r="E27" s="221">
        <f>E5+E6+E7+E8+E9+E10+E11+E12+E13+E20+E24+E25+E26</f>
        <v>68593536</v>
      </c>
      <c r="F27" s="221">
        <f>F5+F6+F7+F8+F9+F10+F11+F12+F13+F20+F24+F25+F26</f>
        <v>29949652</v>
      </c>
      <c r="G27" s="221">
        <f>G5+G6+G7+G8+G9+G10+G11+G12+G13+G20+G24+G25+G26</f>
        <v>3763734</v>
      </c>
      <c r="H27" s="221">
        <f>H5+H6+H7+H8+H9+H10+H11+H12+H13+H20+H24+H25+H26</f>
        <v>102306922</v>
      </c>
      <c r="I27" s="109"/>
    </row>
    <row r="29" spans="2:8" ht="18.75">
      <c r="B29" s="430" t="s">
        <v>127</v>
      </c>
      <c r="C29" s="430"/>
      <c r="D29" s="430"/>
      <c r="E29" s="430"/>
      <c r="F29" s="430"/>
      <c r="G29" s="430"/>
      <c r="H29" s="430"/>
    </row>
    <row r="30" spans="2:8" ht="15.75">
      <c r="B30" s="50" t="s">
        <v>128</v>
      </c>
      <c r="C30" s="103" t="s">
        <v>148</v>
      </c>
      <c r="D30" s="98">
        <f>D8+D9+D10+D13</f>
        <v>0</v>
      </c>
      <c r="E30" s="214">
        <f>E8+E9+E10+E13</f>
        <v>5170577</v>
      </c>
      <c r="F30" s="214">
        <f>F8+F9+F10+F13</f>
        <v>8884940</v>
      </c>
      <c r="G30" s="214">
        <f>G8+G9+G10+G13</f>
        <v>854268</v>
      </c>
      <c r="H30" s="214">
        <f>D30+E30+F30+G30</f>
        <v>14909785</v>
      </c>
    </row>
    <row r="31" spans="2:8" ht="15.75">
      <c r="B31" s="50" t="s">
        <v>129</v>
      </c>
      <c r="C31" s="103" t="s">
        <v>149</v>
      </c>
      <c r="D31" s="98">
        <f aca="true" t="shared" si="1" ref="D31:G32">D5</f>
        <v>0</v>
      </c>
      <c r="E31" s="214">
        <f t="shared" si="1"/>
        <v>49077146</v>
      </c>
      <c r="F31" s="214">
        <f t="shared" si="1"/>
        <v>14681699</v>
      </c>
      <c r="G31" s="214">
        <f t="shared" si="1"/>
        <v>0</v>
      </c>
      <c r="H31" s="214">
        <f>D31+E31+F31+G31</f>
        <v>63758845</v>
      </c>
    </row>
    <row r="32" spans="2:8" ht="31.5">
      <c r="B32" s="50" t="s">
        <v>130</v>
      </c>
      <c r="C32" s="103" t="s">
        <v>150</v>
      </c>
      <c r="D32" s="98">
        <f t="shared" si="1"/>
        <v>0</v>
      </c>
      <c r="E32" s="214">
        <f t="shared" si="1"/>
        <v>10796979</v>
      </c>
      <c r="F32" s="214">
        <f t="shared" si="1"/>
        <v>3229806</v>
      </c>
      <c r="G32" s="214">
        <f t="shared" si="1"/>
        <v>0</v>
      </c>
      <c r="H32" s="214">
        <f>D32+E32+F32+G32</f>
        <v>14026785</v>
      </c>
    </row>
    <row r="33" spans="2:8" ht="15.75">
      <c r="B33" s="50" t="s">
        <v>131</v>
      </c>
      <c r="C33" s="103" t="s">
        <v>151</v>
      </c>
      <c r="D33" s="98">
        <f>D26</f>
        <v>0</v>
      </c>
      <c r="E33" s="214">
        <f>E26</f>
        <v>0</v>
      </c>
      <c r="F33" s="214">
        <f>F26</f>
        <v>0</v>
      </c>
      <c r="G33" s="214">
        <f>G26</f>
        <v>950906</v>
      </c>
      <c r="H33" s="214">
        <f>D33+E33+F33+G33</f>
        <v>950906</v>
      </c>
    </row>
    <row r="34" spans="2:8" ht="15.75">
      <c r="B34" s="50" t="s">
        <v>132</v>
      </c>
      <c r="C34" s="103" t="s">
        <v>152</v>
      </c>
      <c r="D34" s="98">
        <f>D11+D12+D20+D21+D24+D25</f>
        <v>0</v>
      </c>
      <c r="E34" s="214">
        <f>E11+E12+E20+E21+E24+E25</f>
        <v>3548834</v>
      </c>
      <c r="F34" s="214">
        <f>F11+F12+F20+F21+F24+F25</f>
        <v>3969207</v>
      </c>
      <c r="G34" s="214">
        <f>G11+G12+G20+G21+G24+G25</f>
        <v>1958560</v>
      </c>
      <c r="H34" s="214">
        <f>D34+E34+F34+G34</f>
        <v>9476601</v>
      </c>
    </row>
    <row r="36" spans="2:8" ht="17.25">
      <c r="B36" s="41" t="s">
        <v>18</v>
      </c>
      <c r="C36" s="42"/>
      <c r="D36" s="64"/>
      <c r="E36" s="42"/>
      <c r="F36" s="43"/>
      <c r="G36" s="409" t="s">
        <v>287</v>
      </c>
      <c r="H36" s="409"/>
    </row>
    <row r="37" spans="2:8" ht="17.25">
      <c r="B37" s="46"/>
      <c r="C37" s="66"/>
      <c r="D37" s="63" t="s">
        <v>19</v>
      </c>
      <c r="E37" s="63"/>
      <c r="F37" s="401" t="s">
        <v>20</v>
      </c>
      <c r="G37" s="401"/>
      <c r="H37" s="401"/>
    </row>
    <row r="38" spans="2:8" ht="17.25">
      <c r="B38" s="46" t="s">
        <v>21</v>
      </c>
      <c r="C38" s="66"/>
      <c r="D38" s="65"/>
      <c r="E38" s="66"/>
      <c r="F38" s="66"/>
      <c r="G38" s="410" t="s">
        <v>288</v>
      </c>
      <c r="H38" s="410"/>
    </row>
    <row r="39" spans="2:8" ht="17.25">
      <c r="B39" s="46"/>
      <c r="C39" s="66"/>
      <c r="D39" s="63" t="s">
        <v>19</v>
      </c>
      <c r="E39" s="63"/>
      <c r="F39" s="401" t="s">
        <v>20</v>
      </c>
      <c r="G39" s="401"/>
      <c r="H39" s="401"/>
    </row>
    <row r="42" ht="15">
      <c r="B42" s="202" t="s">
        <v>238</v>
      </c>
    </row>
  </sheetData>
  <sheetProtection/>
  <mergeCells count="8">
    <mergeCell ref="J4:M4"/>
    <mergeCell ref="B2:H2"/>
    <mergeCell ref="B29:H29"/>
    <mergeCell ref="B1:I1"/>
    <mergeCell ref="F39:H39"/>
    <mergeCell ref="G36:H36"/>
    <mergeCell ref="F37:H37"/>
    <mergeCell ref="G38:H38"/>
  </mergeCells>
  <printOptions/>
  <pageMargins left="0.5118110236220472" right="0" top="0" bottom="0" header="0" footer="0"/>
  <pageSetup horizontalDpi="600" verticalDpi="600" orientation="portrait" paperSize="9" scale="61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P61"/>
  <sheetViews>
    <sheetView view="pageBreakPreview" zoomScaleNormal="89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2.28125" style="3" customWidth="1"/>
    <col min="4" max="4" width="13.00390625" style="3" customWidth="1"/>
    <col min="5" max="5" width="13.8515625" style="3" customWidth="1"/>
    <col min="6" max="6" width="13.28125" style="3" customWidth="1"/>
    <col min="7" max="7" width="12.7109375" style="3" customWidth="1"/>
    <col min="8" max="8" width="13.140625" style="3" customWidth="1"/>
    <col min="9" max="9" width="12.7109375" style="8" customWidth="1"/>
    <col min="10" max="10" width="14.00390625" style="8" customWidth="1"/>
    <col min="11" max="16" width="9.140625" style="8" customWidth="1"/>
    <col min="17" max="16384" width="9.140625" style="7" customWidth="1"/>
  </cols>
  <sheetData>
    <row r="2" spans="1:9" ht="36" customHeight="1">
      <c r="A2" s="370" t="s">
        <v>289</v>
      </c>
      <c r="B2" s="370"/>
      <c r="C2" s="370"/>
      <c r="D2" s="370"/>
      <c r="E2" s="370"/>
      <c r="F2" s="370"/>
      <c r="G2" s="370"/>
      <c r="H2" s="370"/>
      <c r="I2" s="336"/>
    </row>
    <row r="3" spans="1:10" ht="18.75" customHeight="1">
      <c r="A3" s="439" t="s">
        <v>246</v>
      </c>
      <c r="B3" s="439"/>
      <c r="C3" s="439"/>
      <c r="D3" s="439"/>
      <c r="E3" s="439"/>
      <c r="F3" s="439"/>
      <c r="G3" s="439"/>
      <c r="H3" s="102" t="s">
        <v>98</v>
      </c>
      <c r="J3" s="102" t="s">
        <v>98</v>
      </c>
    </row>
    <row r="4" spans="1:10" ht="30.75" customHeight="1">
      <c r="A4" s="434" t="s">
        <v>86</v>
      </c>
      <c r="B4" s="434" t="s">
        <v>87</v>
      </c>
      <c r="C4" s="435" t="s">
        <v>88</v>
      </c>
      <c r="D4" s="435" t="s">
        <v>89</v>
      </c>
      <c r="E4" s="435" t="s">
        <v>91</v>
      </c>
      <c r="F4" s="436"/>
      <c r="G4" s="436"/>
      <c r="H4" s="437" t="s">
        <v>185</v>
      </c>
      <c r="I4" s="222"/>
      <c r="J4" s="223"/>
    </row>
    <row r="5" spans="1:10" ht="47.25">
      <c r="A5" s="434"/>
      <c r="B5" s="434"/>
      <c r="C5" s="435"/>
      <c r="D5" s="435"/>
      <c r="E5" s="27" t="s">
        <v>90</v>
      </c>
      <c r="F5" s="27" t="s">
        <v>251</v>
      </c>
      <c r="G5" s="27" t="s">
        <v>250</v>
      </c>
      <c r="H5" s="438"/>
      <c r="I5" s="27" t="s">
        <v>140</v>
      </c>
      <c r="J5" s="27" t="s">
        <v>140</v>
      </c>
    </row>
    <row r="6" spans="1:10" ht="18">
      <c r="A6" s="25" t="s">
        <v>92</v>
      </c>
      <c r="B6" s="26"/>
      <c r="C6" s="27"/>
      <c r="D6" s="27"/>
      <c r="E6" s="27"/>
      <c r="F6" s="27"/>
      <c r="G6" s="27"/>
      <c r="H6" s="23"/>
      <c r="I6" s="101"/>
      <c r="J6" s="101"/>
    </row>
    <row r="7" spans="1:10" ht="18">
      <c r="A7" s="25"/>
      <c r="B7" s="26"/>
      <c r="C7" s="27"/>
      <c r="D7" s="27"/>
      <c r="E7" s="27"/>
      <c r="F7" s="27"/>
      <c r="G7" s="27"/>
      <c r="H7" s="23"/>
      <c r="I7" s="101"/>
      <c r="J7" s="101"/>
    </row>
    <row r="8" spans="1:10" ht="18">
      <c r="A8" s="224" t="s">
        <v>93</v>
      </c>
      <c r="B8" s="26"/>
      <c r="C8" s="27"/>
      <c r="D8" s="27"/>
      <c r="E8" s="165">
        <f>SUM(E9:E22)</f>
        <v>3557200</v>
      </c>
      <c r="F8" s="165">
        <f>SUM(F9:F22)</f>
        <v>0</v>
      </c>
      <c r="G8" s="165">
        <f>SUM(G9:G22)</f>
        <v>0</v>
      </c>
      <c r="H8" s="165">
        <f>SUM(H9:H22)</f>
        <v>3557200</v>
      </c>
      <c r="I8" s="101"/>
      <c r="J8" s="101"/>
    </row>
    <row r="9" spans="1:10" ht="18">
      <c r="A9" s="25" t="s">
        <v>252</v>
      </c>
      <c r="B9" s="26" t="s">
        <v>253</v>
      </c>
      <c r="C9" s="225">
        <v>1</v>
      </c>
      <c r="D9" s="168">
        <v>50000</v>
      </c>
      <c r="E9" s="168">
        <f>C9*D9</f>
        <v>50000</v>
      </c>
      <c r="F9" s="168"/>
      <c r="G9" s="168"/>
      <c r="H9" s="226">
        <f>SUM(E9:G9)</f>
        <v>50000</v>
      </c>
      <c r="I9" s="101"/>
      <c r="J9" s="101"/>
    </row>
    <row r="10" spans="1:10" ht="18">
      <c r="A10" s="25" t="s">
        <v>254</v>
      </c>
      <c r="B10" s="26" t="s">
        <v>253</v>
      </c>
      <c r="C10" s="225">
        <v>1</v>
      </c>
      <c r="D10" s="168">
        <v>500000</v>
      </c>
      <c r="E10" s="168">
        <f>C10*D10</f>
        <v>500000</v>
      </c>
      <c r="F10" s="168"/>
      <c r="G10" s="168"/>
      <c r="H10" s="226">
        <f>SUM(E10:G10)</f>
        <v>500000</v>
      </c>
      <c r="I10" s="101"/>
      <c r="J10" s="101"/>
    </row>
    <row r="11" spans="1:10" ht="18">
      <c r="A11" s="25" t="s">
        <v>255</v>
      </c>
      <c r="B11" s="26" t="s">
        <v>253</v>
      </c>
      <c r="C11" s="225">
        <v>25</v>
      </c>
      <c r="D11" s="168">
        <v>1600</v>
      </c>
      <c r="E11" s="168">
        <f>C11*D11</f>
        <v>40000</v>
      </c>
      <c r="F11" s="168"/>
      <c r="G11" s="168"/>
      <c r="H11" s="226">
        <f>SUM(E11:G11)</f>
        <v>40000</v>
      </c>
      <c r="I11" s="101"/>
      <c r="J11" s="101"/>
    </row>
    <row r="12" spans="1:10" ht="18">
      <c r="A12" s="25" t="s">
        <v>256</v>
      </c>
      <c r="B12" s="26" t="s">
        <v>253</v>
      </c>
      <c r="C12" s="225">
        <v>50</v>
      </c>
      <c r="D12" s="168">
        <v>6500</v>
      </c>
      <c r="E12" s="168">
        <f>C12*D12</f>
        <v>325000</v>
      </c>
      <c r="F12" s="168"/>
      <c r="G12" s="168"/>
      <c r="H12" s="226">
        <f>SUM(E12:G12)</f>
        <v>325000</v>
      </c>
      <c r="I12" s="101"/>
      <c r="J12" s="101"/>
    </row>
    <row r="13" spans="1:10" ht="18">
      <c r="A13" s="25" t="s">
        <v>257</v>
      </c>
      <c r="B13" s="26" t="s">
        <v>253</v>
      </c>
      <c r="C13" s="225">
        <v>4</v>
      </c>
      <c r="D13" s="168">
        <v>17900</v>
      </c>
      <c r="E13" s="168">
        <f>C13*D13</f>
        <v>71600</v>
      </c>
      <c r="F13" s="168"/>
      <c r="G13" s="168"/>
      <c r="H13" s="226">
        <f>SUM(E13:G13)</f>
        <v>71600</v>
      </c>
      <c r="I13" s="101"/>
      <c r="J13" s="101"/>
    </row>
    <row r="14" spans="1:10" ht="18">
      <c r="A14" s="25" t="s">
        <v>258</v>
      </c>
      <c r="B14" s="26" t="s">
        <v>253</v>
      </c>
      <c r="C14" s="225">
        <v>1</v>
      </c>
      <c r="D14" s="168">
        <f>266000+23700</f>
        <v>289700</v>
      </c>
      <c r="E14" s="168">
        <f aca="true" t="shared" si="0" ref="E14:E19">C14*D14</f>
        <v>289700</v>
      </c>
      <c r="F14" s="168"/>
      <c r="G14" s="168"/>
      <c r="H14" s="226">
        <f aca="true" t="shared" si="1" ref="H14:H19">SUM(E14:G14)</f>
        <v>289700</v>
      </c>
      <c r="I14" s="101"/>
      <c r="J14" s="101"/>
    </row>
    <row r="15" spans="1:10" ht="18">
      <c r="A15" s="25" t="s">
        <v>259</v>
      </c>
      <c r="B15" s="26" t="s">
        <v>253</v>
      </c>
      <c r="C15" s="225">
        <v>1</v>
      </c>
      <c r="D15" s="168">
        <v>30000</v>
      </c>
      <c r="E15" s="168">
        <f t="shared" si="0"/>
        <v>30000</v>
      </c>
      <c r="F15" s="168"/>
      <c r="G15" s="168"/>
      <c r="H15" s="226">
        <f t="shared" si="1"/>
        <v>30000</v>
      </c>
      <c r="I15" s="101"/>
      <c r="J15" s="101"/>
    </row>
    <row r="16" spans="1:10" ht="18">
      <c r="A16" s="25" t="s">
        <v>260</v>
      </c>
      <c r="B16" s="26" t="s">
        <v>253</v>
      </c>
      <c r="C16" s="225">
        <v>1</v>
      </c>
      <c r="D16" s="168">
        <v>1200000</v>
      </c>
      <c r="E16" s="168">
        <f t="shared" si="0"/>
        <v>1200000</v>
      </c>
      <c r="F16" s="168"/>
      <c r="G16" s="168"/>
      <c r="H16" s="226">
        <f t="shared" si="1"/>
        <v>1200000</v>
      </c>
      <c r="I16" s="101"/>
      <c r="J16" s="101"/>
    </row>
    <row r="17" spans="1:10" ht="18">
      <c r="A17" s="25" t="s">
        <v>261</v>
      </c>
      <c r="B17" s="26" t="s">
        <v>253</v>
      </c>
      <c r="C17" s="225">
        <v>1</v>
      </c>
      <c r="D17" s="168">
        <v>225000</v>
      </c>
      <c r="E17" s="168">
        <f t="shared" si="0"/>
        <v>225000</v>
      </c>
      <c r="F17" s="168"/>
      <c r="G17" s="168"/>
      <c r="H17" s="226">
        <f t="shared" si="1"/>
        <v>225000</v>
      </c>
      <c r="I17" s="101"/>
      <c r="J17" s="101"/>
    </row>
    <row r="18" spans="1:10" ht="18">
      <c r="A18" s="25" t="s">
        <v>262</v>
      </c>
      <c r="B18" s="26" t="s">
        <v>253</v>
      </c>
      <c r="C18" s="225">
        <v>25</v>
      </c>
      <c r="D18" s="168">
        <v>1800</v>
      </c>
      <c r="E18" s="168">
        <f t="shared" si="0"/>
        <v>45000</v>
      </c>
      <c r="F18" s="168"/>
      <c r="G18" s="168"/>
      <c r="H18" s="226">
        <f t="shared" si="1"/>
        <v>45000</v>
      </c>
      <c r="I18" s="101"/>
      <c r="J18" s="101"/>
    </row>
    <row r="19" spans="1:10" ht="18">
      <c r="A19" s="25" t="s">
        <v>263</v>
      </c>
      <c r="B19" s="26" t="s">
        <v>253</v>
      </c>
      <c r="C19" s="225">
        <v>25</v>
      </c>
      <c r="D19" s="168">
        <v>21000</v>
      </c>
      <c r="E19" s="168">
        <f t="shared" si="0"/>
        <v>525000</v>
      </c>
      <c r="F19" s="168"/>
      <c r="G19" s="168"/>
      <c r="H19" s="226">
        <f t="shared" si="1"/>
        <v>525000</v>
      </c>
      <c r="I19" s="101"/>
      <c r="J19" s="101"/>
    </row>
    <row r="20" spans="1:10" ht="18">
      <c r="A20" s="25" t="s">
        <v>264</v>
      </c>
      <c r="B20" s="26" t="s">
        <v>265</v>
      </c>
      <c r="C20" s="225">
        <v>5</v>
      </c>
      <c r="D20" s="168">
        <v>23800</v>
      </c>
      <c r="E20" s="168">
        <v>119000</v>
      </c>
      <c r="F20" s="168"/>
      <c r="G20" s="168"/>
      <c r="H20" s="226">
        <f>SUM(E20:G20)</f>
        <v>119000</v>
      </c>
      <c r="I20" s="101"/>
      <c r="J20" s="101"/>
    </row>
    <row r="21" spans="1:10" ht="18">
      <c r="A21" s="25" t="s">
        <v>266</v>
      </c>
      <c r="B21" s="26" t="s">
        <v>265</v>
      </c>
      <c r="C21" s="225">
        <v>1</v>
      </c>
      <c r="D21" s="168">
        <v>77500</v>
      </c>
      <c r="E21" s="168">
        <v>77500</v>
      </c>
      <c r="F21" s="168"/>
      <c r="G21" s="168"/>
      <c r="H21" s="226">
        <f>SUM(E21:G21)</f>
        <v>77500</v>
      </c>
      <c r="I21" s="101"/>
      <c r="J21" s="101"/>
    </row>
    <row r="22" spans="1:10" ht="18">
      <c r="A22" s="25" t="s">
        <v>267</v>
      </c>
      <c r="B22" s="26" t="s">
        <v>265</v>
      </c>
      <c r="C22" s="225">
        <v>6</v>
      </c>
      <c r="D22" s="168">
        <v>9900</v>
      </c>
      <c r="E22" s="168">
        <v>59400</v>
      </c>
      <c r="F22" s="168"/>
      <c r="G22" s="168"/>
      <c r="H22" s="226">
        <f>SUM(E22:G22)</f>
        <v>59400</v>
      </c>
      <c r="I22" s="101"/>
      <c r="J22" s="101"/>
    </row>
    <row r="23" spans="1:10" ht="31.5">
      <c r="A23" s="224" t="s">
        <v>94</v>
      </c>
      <c r="B23" s="26"/>
      <c r="C23" s="27"/>
      <c r="D23" s="27"/>
      <c r="E23" s="165">
        <f>E24</f>
        <v>23700</v>
      </c>
      <c r="F23" s="27"/>
      <c r="G23" s="27"/>
      <c r="H23" s="165">
        <f>H24</f>
        <v>23700</v>
      </c>
      <c r="I23" s="101"/>
      <c r="J23" s="101"/>
    </row>
    <row r="24" spans="1:10" ht="18">
      <c r="A24" s="25" t="s">
        <v>268</v>
      </c>
      <c r="B24" s="26" t="s">
        <v>253</v>
      </c>
      <c r="C24" s="27">
        <v>10</v>
      </c>
      <c r="D24" s="27">
        <v>2370</v>
      </c>
      <c r="E24" s="168">
        <f>C24*D24</f>
        <v>23700</v>
      </c>
      <c r="F24" s="27"/>
      <c r="G24" s="27"/>
      <c r="H24" s="226">
        <f>SUM(E24:G24)</f>
        <v>23700</v>
      </c>
      <c r="I24" s="101"/>
      <c r="J24" s="101"/>
    </row>
    <row r="25" spans="1:10" ht="18">
      <c r="A25" s="25" t="s">
        <v>95</v>
      </c>
      <c r="B25" s="26"/>
      <c r="C25" s="27"/>
      <c r="D25" s="27"/>
      <c r="E25" s="27"/>
      <c r="F25" s="27"/>
      <c r="G25" s="27"/>
      <c r="H25" s="23"/>
      <c r="I25" s="101"/>
      <c r="J25" s="101"/>
    </row>
    <row r="26" spans="1:10" ht="18" hidden="1">
      <c r="A26" s="25"/>
      <c r="B26" s="26"/>
      <c r="C26" s="27"/>
      <c r="D26" s="27"/>
      <c r="E26" s="27"/>
      <c r="F26" s="27"/>
      <c r="G26" s="27"/>
      <c r="H26" s="23"/>
      <c r="I26" s="101"/>
      <c r="J26" s="101"/>
    </row>
    <row r="27" spans="1:10" ht="31.5">
      <c r="A27" s="227" t="s">
        <v>96</v>
      </c>
      <c r="B27" s="26"/>
      <c r="C27" s="27"/>
      <c r="D27" s="27"/>
      <c r="E27" s="27"/>
      <c r="F27" s="27"/>
      <c r="G27" s="27"/>
      <c r="H27" s="23"/>
      <c r="I27" s="101"/>
      <c r="J27" s="101"/>
    </row>
    <row r="28" spans="1:10" ht="18">
      <c r="A28" s="227"/>
      <c r="B28" s="26"/>
      <c r="C28" s="27"/>
      <c r="D28" s="27"/>
      <c r="E28" s="27"/>
      <c r="F28" s="27"/>
      <c r="G28" s="27"/>
      <c r="H28" s="23"/>
      <c r="I28" s="101"/>
      <c r="J28" s="101"/>
    </row>
    <row r="29" spans="1:10" ht="17.25" customHeight="1">
      <c r="A29" s="25" t="s">
        <v>97</v>
      </c>
      <c r="B29" s="26"/>
      <c r="C29" s="27"/>
      <c r="D29" s="27"/>
      <c r="E29" s="27"/>
      <c r="F29" s="27"/>
      <c r="G29" s="27"/>
      <c r="H29" s="23"/>
      <c r="I29" s="101"/>
      <c r="J29" s="101"/>
    </row>
    <row r="30" spans="1:10" ht="18">
      <c r="A30" s="224" t="s">
        <v>269</v>
      </c>
      <c r="B30" s="26"/>
      <c r="C30" s="27"/>
      <c r="D30" s="27"/>
      <c r="E30" s="139">
        <f>E8+E23+E25+E27+E29</f>
        <v>3580900</v>
      </c>
      <c r="F30" s="147"/>
      <c r="G30" s="147"/>
      <c r="H30" s="139">
        <f>H8+H23+H25+H27+H29</f>
        <v>3580900</v>
      </c>
      <c r="I30" s="101"/>
      <c r="J30" s="101"/>
    </row>
    <row r="31" spans="1:8" ht="18">
      <c r="A31" s="51"/>
      <c r="B31" s="48"/>
      <c r="C31" s="49"/>
      <c r="D31" s="49"/>
      <c r="E31" s="49"/>
      <c r="F31" s="49"/>
      <c r="G31" s="49"/>
      <c r="H31" s="52"/>
    </row>
    <row r="32" spans="1:8" ht="18">
      <c r="A32" s="41" t="s">
        <v>18</v>
      </c>
      <c r="B32" s="42"/>
      <c r="C32" s="64"/>
      <c r="D32" s="42"/>
      <c r="E32" s="43"/>
      <c r="F32" s="409" t="s">
        <v>287</v>
      </c>
      <c r="G32" s="409"/>
      <c r="H32" s="44"/>
    </row>
    <row r="33" spans="1:8" s="8" customFormat="1" ht="18">
      <c r="A33" s="46"/>
      <c r="B33" s="66"/>
      <c r="C33" s="63" t="s">
        <v>19</v>
      </c>
      <c r="D33" s="63"/>
      <c r="E33" s="401" t="s">
        <v>20</v>
      </c>
      <c r="F33" s="401"/>
      <c r="G33" s="401"/>
      <c r="H33" s="3"/>
    </row>
    <row r="34" spans="1:8" s="8" customFormat="1" ht="18">
      <c r="A34" s="46" t="s">
        <v>21</v>
      </c>
      <c r="B34" s="66"/>
      <c r="C34" s="65"/>
      <c r="D34" s="66"/>
      <c r="E34" s="66"/>
      <c r="F34" s="410" t="s">
        <v>288</v>
      </c>
      <c r="G34" s="410"/>
      <c r="H34" s="3"/>
    </row>
    <row r="35" spans="1:8" s="8" customFormat="1" ht="13.5" customHeight="1">
      <c r="A35" s="46"/>
      <c r="B35" s="66"/>
      <c r="C35" s="63" t="s">
        <v>19</v>
      </c>
      <c r="D35" s="63"/>
      <c r="E35" s="401" t="s">
        <v>20</v>
      </c>
      <c r="F35" s="401"/>
      <c r="G35" s="401"/>
      <c r="H35" s="3"/>
    </row>
    <row r="36" spans="1:8" s="8" customFormat="1" ht="13.5" customHeight="1">
      <c r="A36" s="12"/>
      <c r="B36" s="12"/>
      <c r="C36" s="3"/>
      <c r="D36" s="3"/>
      <c r="E36" s="3"/>
      <c r="F36" s="3"/>
      <c r="G36" s="3"/>
      <c r="H36" s="3"/>
    </row>
    <row r="37" spans="1:16" s="3" customFormat="1" ht="13.5" customHeight="1">
      <c r="A37" s="443" t="s">
        <v>239</v>
      </c>
      <c r="B37" s="443"/>
      <c r="C37" s="443"/>
      <c r="D37" s="443"/>
      <c r="E37" s="443"/>
      <c r="F37" s="443"/>
      <c r="G37" s="443"/>
      <c r="I37" s="8"/>
      <c r="J37" s="8"/>
      <c r="K37" s="8"/>
      <c r="L37" s="8"/>
      <c r="M37" s="8"/>
      <c r="N37" s="8"/>
      <c r="O37" s="8"/>
      <c r="P37" s="8"/>
    </row>
    <row r="38" spans="1:10" s="8" customFormat="1" ht="18.75">
      <c r="A38" s="439" t="s">
        <v>247</v>
      </c>
      <c r="B38" s="439"/>
      <c r="C38" s="439"/>
      <c r="D38" s="439"/>
      <c r="E38" s="439"/>
      <c r="F38" s="439"/>
      <c r="G38" s="439"/>
      <c r="H38" s="439"/>
      <c r="J38" s="102" t="s">
        <v>98</v>
      </c>
    </row>
    <row r="39" spans="1:10" s="8" customFormat="1" ht="30.75" customHeight="1">
      <c r="A39" s="434" t="s">
        <v>86</v>
      </c>
      <c r="B39" s="434" t="s">
        <v>87</v>
      </c>
      <c r="C39" s="435" t="s">
        <v>88</v>
      </c>
      <c r="D39" s="435" t="s">
        <v>89</v>
      </c>
      <c r="E39" s="440" t="s">
        <v>91</v>
      </c>
      <c r="F39" s="441"/>
      <c r="G39" s="441"/>
      <c r="H39" s="441"/>
      <c r="I39" s="441"/>
      <c r="J39" s="442"/>
    </row>
    <row r="40" spans="1:10" s="8" customFormat="1" ht="47.25">
      <c r="A40" s="434"/>
      <c r="B40" s="434"/>
      <c r="C40" s="435"/>
      <c r="D40" s="435"/>
      <c r="E40" s="27" t="s">
        <v>90</v>
      </c>
      <c r="F40" s="27" t="s">
        <v>200</v>
      </c>
      <c r="G40" s="27" t="s">
        <v>140</v>
      </c>
      <c r="H40" s="27" t="s">
        <v>140</v>
      </c>
      <c r="I40" s="27" t="s">
        <v>140</v>
      </c>
      <c r="J40" s="27" t="s">
        <v>140</v>
      </c>
    </row>
    <row r="41" spans="1:10" s="8" customFormat="1" ht="18">
      <c r="A41" s="25" t="s">
        <v>92</v>
      </c>
      <c r="B41" s="26"/>
      <c r="C41" s="27"/>
      <c r="D41" s="27"/>
      <c r="E41" s="27"/>
      <c r="F41" s="27"/>
      <c r="G41" s="27"/>
      <c r="H41" s="23"/>
      <c r="I41" s="101"/>
      <c r="J41" s="101"/>
    </row>
    <row r="42" spans="1:10" s="8" customFormat="1" ht="18">
      <c r="A42" s="25"/>
      <c r="B42" s="26"/>
      <c r="C42" s="27"/>
      <c r="D42" s="27"/>
      <c r="E42" s="27"/>
      <c r="F42" s="27"/>
      <c r="G42" s="27"/>
      <c r="H42" s="23"/>
      <c r="I42" s="101"/>
      <c r="J42" s="101"/>
    </row>
    <row r="43" spans="1:10" s="8" customFormat="1" ht="18">
      <c r="A43" s="25" t="s">
        <v>93</v>
      </c>
      <c r="B43" s="26"/>
      <c r="C43" s="27"/>
      <c r="D43" s="27"/>
      <c r="E43" s="27"/>
      <c r="F43" s="27"/>
      <c r="G43" s="27"/>
      <c r="H43" s="23"/>
      <c r="I43" s="101"/>
      <c r="J43" s="101"/>
    </row>
    <row r="44" spans="1:10" s="8" customFormat="1" ht="18">
      <c r="A44" s="25"/>
      <c r="B44" s="26"/>
      <c r="C44" s="27"/>
      <c r="D44" s="27"/>
      <c r="E44" s="27"/>
      <c r="F44" s="27"/>
      <c r="G44" s="27"/>
      <c r="H44" s="23"/>
      <c r="I44" s="101"/>
      <c r="J44" s="101"/>
    </row>
    <row r="45" spans="1:10" s="8" customFormat="1" ht="31.5">
      <c r="A45" s="25" t="s">
        <v>94</v>
      </c>
      <c r="B45" s="26"/>
      <c r="C45" s="27"/>
      <c r="D45" s="27"/>
      <c r="E45" s="27"/>
      <c r="F45" s="27"/>
      <c r="G45" s="27"/>
      <c r="H45" s="23"/>
      <c r="I45" s="101"/>
      <c r="J45" s="101"/>
    </row>
    <row r="46" spans="1:10" ht="18">
      <c r="A46" s="25"/>
      <c r="B46" s="26"/>
      <c r="C46" s="27"/>
      <c r="D46" s="27"/>
      <c r="E46" s="27"/>
      <c r="F46" s="27"/>
      <c r="G46" s="27"/>
      <c r="H46" s="23"/>
      <c r="I46" s="101"/>
      <c r="J46" s="101"/>
    </row>
    <row r="47" spans="1:10" ht="18">
      <c r="A47" s="25" t="s">
        <v>95</v>
      </c>
      <c r="B47" s="26"/>
      <c r="C47" s="27"/>
      <c r="D47" s="27"/>
      <c r="E47" s="27"/>
      <c r="F47" s="27"/>
      <c r="G47" s="27"/>
      <c r="H47" s="23"/>
      <c r="I47" s="101"/>
      <c r="J47" s="101"/>
    </row>
    <row r="48" spans="1:10" ht="18">
      <c r="A48" s="25"/>
      <c r="B48" s="26"/>
      <c r="C48" s="27"/>
      <c r="D48" s="27"/>
      <c r="E48" s="27"/>
      <c r="F48" s="27"/>
      <c r="G48" s="27"/>
      <c r="H48" s="23"/>
      <c r="I48" s="101"/>
      <c r="J48" s="101"/>
    </row>
    <row r="49" spans="1:10" ht="31.5">
      <c r="A49" s="25" t="s">
        <v>96</v>
      </c>
      <c r="B49" s="26"/>
      <c r="C49" s="27"/>
      <c r="D49" s="27"/>
      <c r="E49" s="27"/>
      <c r="F49" s="27"/>
      <c r="G49" s="27"/>
      <c r="H49" s="23"/>
      <c r="I49" s="101"/>
      <c r="J49" s="101"/>
    </row>
    <row r="50" spans="1:10" ht="18">
      <c r="A50" s="25"/>
      <c r="B50" s="26"/>
      <c r="C50" s="27"/>
      <c r="D50" s="27"/>
      <c r="E50" s="27"/>
      <c r="F50" s="27"/>
      <c r="G50" s="27"/>
      <c r="H50" s="23"/>
      <c r="I50" s="101"/>
      <c r="J50" s="101"/>
    </row>
    <row r="51" spans="1:10" ht="17.25" customHeight="1">
      <c r="A51" s="25" t="s">
        <v>97</v>
      </c>
      <c r="B51" s="26"/>
      <c r="C51" s="27"/>
      <c r="D51" s="27"/>
      <c r="E51" s="27"/>
      <c r="F51" s="27"/>
      <c r="G51" s="27"/>
      <c r="H51" s="23"/>
      <c r="I51" s="101"/>
      <c r="J51" s="101"/>
    </row>
    <row r="52" spans="1:10" ht="18">
      <c r="A52" s="25"/>
      <c r="B52" s="26"/>
      <c r="C52" s="27"/>
      <c r="D52" s="27"/>
      <c r="E52" s="27"/>
      <c r="F52" s="27"/>
      <c r="G52" s="27"/>
      <c r="H52" s="23"/>
      <c r="I52" s="101"/>
      <c r="J52" s="101"/>
    </row>
    <row r="54" spans="1:7" ht="18">
      <c r="A54" s="41" t="s">
        <v>18</v>
      </c>
      <c r="B54" s="42"/>
      <c r="C54" s="64"/>
      <c r="D54" s="42"/>
      <c r="E54" s="43"/>
      <c r="F54" s="409" t="s">
        <v>287</v>
      </c>
      <c r="G54" s="409"/>
    </row>
    <row r="55" spans="1:7" ht="18">
      <c r="A55" s="46"/>
      <c r="B55" s="66"/>
      <c r="C55" s="63" t="s">
        <v>19</v>
      </c>
      <c r="D55" s="63"/>
      <c r="E55" s="401" t="s">
        <v>20</v>
      </c>
      <c r="F55" s="401"/>
      <c r="G55" s="401"/>
    </row>
    <row r="56" spans="1:7" ht="18">
      <c r="A56" s="46" t="s">
        <v>21</v>
      </c>
      <c r="B56" s="66"/>
      <c r="C56" s="65"/>
      <c r="D56" s="66"/>
      <c r="E56" s="66"/>
      <c r="F56" s="410" t="s">
        <v>288</v>
      </c>
      <c r="G56" s="410"/>
    </row>
    <row r="57" spans="1:7" ht="18">
      <c r="A57" s="46"/>
      <c r="B57" s="66"/>
      <c r="C57" s="63" t="s">
        <v>19</v>
      </c>
      <c r="D57" s="63"/>
      <c r="E57" s="401" t="s">
        <v>20</v>
      </c>
      <c r="F57" s="401"/>
      <c r="G57" s="401"/>
    </row>
    <row r="58" spans="1:7" ht="18">
      <c r="A58"/>
      <c r="B58"/>
      <c r="C58"/>
      <c r="D58"/>
      <c r="E58"/>
      <c r="F58"/>
      <c r="G58"/>
    </row>
    <row r="59" spans="1:7" ht="18">
      <c r="A59"/>
      <c r="B59"/>
      <c r="C59"/>
      <c r="D59"/>
      <c r="E59"/>
      <c r="F59"/>
      <c r="G59"/>
    </row>
    <row r="60" spans="1:7" ht="18">
      <c r="A60" s="87" t="s">
        <v>113</v>
      </c>
      <c r="B60"/>
      <c r="C60"/>
      <c r="D60"/>
      <c r="E60"/>
      <c r="F60"/>
      <c r="G60"/>
    </row>
    <row r="61" spans="1:7" ht="18">
      <c r="A61"/>
      <c r="B61"/>
      <c r="C61"/>
      <c r="D61"/>
      <c r="E61"/>
      <c r="F61"/>
      <c r="G61"/>
    </row>
  </sheetData>
  <sheetProtection/>
  <mergeCells count="23">
    <mergeCell ref="B4:B5"/>
    <mergeCell ref="C4:C5"/>
    <mergeCell ref="D4:D5"/>
    <mergeCell ref="F32:G32"/>
    <mergeCell ref="E4:G4"/>
    <mergeCell ref="H4:H5"/>
    <mergeCell ref="F34:G34"/>
    <mergeCell ref="A38:H38"/>
    <mergeCell ref="E33:G33"/>
    <mergeCell ref="A2:H2"/>
    <mergeCell ref="A3:G3"/>
    <mergeCell ref="A37:G37"/>
    <mergeCell ref="E35:G35"/>
    <mergeCell ref="A4:A5"/>
    <mergeCell ref="F54:G54"/>
    <mergeCell ref="E55:G55"/>
    <mergeCell ref="F56:G56"/>
    <mergeCell ref="E57:G57"/>
    <mergeCell ref="A39:A40"/>
    <mergeCell ref="B39:B40"/>
    <mergeCell ref="C39:C40"/>
    <mergeCell ref="D39:D40"/>
    <mergeCell ref="E39:J39"/>
  </mergeCells>
  <printOptions/>
  <pageMargins left="0.8267716535433072" right="0.2362204724409449" top="0.5511811023622047" bottom="0" header="0" footer="0"/>
  <pageSetup fitToHeight="4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D142"/>
  <sheetViews>
    <sheetView view="pageBreakPreview" zoomScaleNormal="89" zoomScaleSheetLayoutView="100" zoomScalePageLayoutView="0" workbookViewId="0" topLeftCell="A61">
      <selection activeCell="A9" sqref="A9:J83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5.140625" style="3" customWidth="1"/>
    <col min="4" max="4" width="14.57421875" style="3" customWidth="1"/>
    <col min="5" max="5" width="13.421875" style="3" customWidth="1"/>
    <col min="6" max="6" width="10.57421875" style="3" customWidth="1"/>
    <col min="7" max="7" width="14.421875" style="3" customWidth="1"/>
    <col min="8" max="8" width="14.57421875" style="3" customWidth="1"/>
    <col min="9" max="9" width="15.28125" style="3" customWidth="1"/>
    <col min="10" max="10" width="12.57421875" style="3" customWidth="1"/>
    <col min="11" max="11" width="14.28125" style="8" hidden="1" customWidth="1"/>
    <col min="12" max="12" width="14.00390625" style="8" hidden="1" customWidth="1"/>
    <col min="13" max="13" width="13.140625" style="8" hidden="1" customWidth="1"/>
    <col min="14" max="14" width="11.7109375" style="8" hidden="1" customWidth="1"/>
    <col min="15" max="18" width="0" style="8" hidden="1" customWidth="1"/>
    <col min="19" max="20" width="19.7109375" style="8" customWidth="1"/>
    <col min="21" max="21" width="12.57421875" style="8" customWidth="1"/>
    <col min="22" max="22" width="16.00390625" style="7" bestFit="1" customWidth="1"/>
    <col min="23" max="23" width="15.57421875" style="7" customWidth="1"/>
    <col min="24" max="25" width="12.8515625" style="7" customWidth="1"/>
    <col min="26" max="26" width="12.7109375" style="7" customWidth="1"/>
    <col min="27" max="27" width="10.28125" style="7" customWidth="1"/>
    <col min="28" max="28" width="2.8515625" style="7" customWidth="1"/>
    <col min="29" max="29" width="12.140625" style="7" customWidth="1"/>
    <col min="30" max="16384" width="9.140625" style="7" customWidth="1"/>
  </cols>
  <sheetData>
    <row r="1" spans="1:8" ht="13.5" customHeight="1">
      <c r="A1" s="1"/>
      <c r="B1" s="1"/>
      <c r="C1" s="2"/>
      <c r="E1" s="4" t="s">
        <v>76</v>
      </c>
      <c r="F1" s="5"/>
      <c r="G1" s="5"/>
      <c r="H1" s="6"/>
    </row>
    <row r="2" spans="1:10" ht="20.25" customHeight="1">
      <c r="A2" s="1"/>
      <c r="B2" s="1"/>
      <c r="C2" s="2"/>
      <c r="E2" s="380" t="s">
        <v>2</v>
      </c>
      <c r="F2" s="380"/>
      <c r="G2" s="380"/>
      <c r="H2" s="380"/>
      <c r="I2" s="380"/>
      <c r="J2" s="380"/>
    </row>
    <row r="3" spans="1:10" s="8" customFormat="1" ht="8.25" customHeight="1">
      <c r="A3" s="56"/>
      <c r="B3" s="1"/>
      <c r="C3" s="2"/>
      <c r="D3" s="3"/>
      <c r="E3" s="62"/>
      <c r="F3" s="62"/>
      <c r="G3" s="62"/>
      <c r="H3" s="62"/>
      <c r="I3" s="62"/>
      <c r="J3" s="62"/>
    </row>
    <row r="4" spans="1:11" s="8" customFormat="1" ht="16.5" customHeight="1">
      <c r="A4" s="369" t="s">
        <v>77</v>
      </c>
      <c r="B4" s="369"/>
      <c r="C4" s="369"/>
      <c r="D4" s="369"/>
      <c r="E4" s="369"/>
      <c r="F4" s="369"/>
      <c r="G4" s="369"/>
      <c r="H4" s="369"/>
      <c r="I4" s="369"/>
      <c r="J4" s="369"/>
      <c r="K4" s="162"/>
    </row>
    <row r="5" spans="1:30" s="8" customFormat="1" ht="18.75">
      <c r="A5" s="439" t="s">
        <v>289</v>
      </c>
      <c r="B5" s="439"/>
      <c r="C5" s="439"/>
      <c r="D5" s="439"/>
      <c r="E5" s="439"/>
      <c r="F5" s="439"/>
      <c r="G5" s="439"/>
      <c r="H5" s="439"/>
      <c r="I5" s="439"/>
      <c r="J5" s="439"/>
      <c r="U5" s="370"/>
      <c r="V5" s="370"/>
      <c r="W5" s="370"/>
      <c r="X5" s="370"/>
      <c r="Y5" s="370"/>
      <c r="Z5" s="370"/>
      <c r="AA5" s="370"/>
      <c r="AB5" s="370"/>
      <c r="AC5" s="370"/>
      <c r="AD5" s="370"/>
    </row>
    <row r="6" spans="1:10" s="8" customFormat="1" ht="12.75" customHeight="1">
      <c r="A6" s="371" t="s">
        <v>5</v>
      </c>
      <c r="B6" s="371"/>
      <c r="C6" s="371"/>
      <c r="D6" s="371"/>
      <c r="E6" s="371"/>
      <c r="F6" s="371"/>
      <c r="G6" s="371"/>
      <c r="H6" s="371"/>
      <c r="I6" s="371"/>
      <c r="J6" s="371"/>
    </row>
    <row r="7" spans="1:10" s="8" customFormat="1" ht="20.25" customHeight="1">
      <c r="A7" s="372" t="s">
        <v>290</v>
      </c>
      <c r="B7" s="372"/>
      <c r="C7" s="372"/>
      <c r="D7" s="372"/>
      <c r="E7" s="372"/>
      <c r="F7" s="372"/>
      <c r="G7" s="372"/>
      <c r="H7" s="372"/>
      <c r="I7" s="372"/>
      <c r="J7" s="372"/>
    </row>
    <row r="8" spans="1:10" s="8" customFormat="1" ht="39" customHeight="1">
      <c r="A8" s="279"/>
      <c r="B8" s="280"/>
      <c r="C8" s="280"/>
      <c r="D8" s="280"/>
      <c r="E8" s="280"/>
      <c r="F8" s="280"/>
      <c r="G8" s="281"/>
      <c r="H8" s="282"/>
      <c r="I8" s="283"/>
      <c r="J8" s="282" t="s">
        <v>98</v>
      </c>
    </row>
    <row r="9" spans="1:22" s="8" customFormat="1" ht="30" customHeight="1">
      <c r="A9" s="467" t="s">
        <v>6</v>
      </c>
      <c r="B9" s="467" t="s">
        <v>7</v>
      </c>
      <c r="C9" s="445" t="s">
        <v>291</v>
      </c>
      <c r="D9" s="446"/>
      <c r="E9" s="446"/>
      <c r="F9" s="447"/>
      <c r="G9" s="444" t="s">
        <v>82</v>
      </c>
      <c r="H9" s="444"/>
      <c r="I9" s="444"/>
      <c r="J9" s="444"/>
      <c r="U9" s="337" t="s">
        <v>292</v>
      </c>
      <c r="V9" s="337"/>
    </row>
    <row r="10" spans="1:29" s="8" customFormat="1" ht="36" customHeight="1">
      <c r="A10" s="468"/>
      <c r="B10" s="468"/>
      <c r="C10" s="469" t="s">
        <v>79</v>
      </c>
      <c r="D10" s="469" t="s">
        <v>0</v>
      </c>
      <c r="E10" s="469" t="s">
        <v>80</v>
      </c>
      <c r="F10" s="470" t="s">
        <v>81</v>
      </c>
      <c r="G10" s="469" t="s">
        <v>79</v>
      </c>
      <c r="H10" s="469" t="s">
        <v>0</v>
      </c>
      <c r="I10" s="471" t="s">
        <v>80</v>
      </c>
      <c r="J10" s="451" t="s">
        <v>81</v>
      </c>
      <c r="U10" s="338" t="s">
        <v>293</v>
      </c>
      <c r="V10" s="338" t="s">
        <v>300</v>
      </c>
      <c r="W10" s="249" t="s">
        <v>295</v>
      </c>
      <c r="X10" s="249"/>
      <c r="Y10" s="249"/>
      <c r="Z10" s="249" t="s">
        <v>296</v>
      </c>
      <c r="AA10" s="249"/>
      <c r="AB10" s="249"/>
      <c r="AC10" s="249"/>
    </row>
    <row r="11" spans="1:29" s="8" customFormat="1" ht="18">
      <c r="A11" s="284" t="s">
        <v>14</v>
      </c>
      <c r="B11" s="284" t="s">
        <v>15</v>
      </c>
      <c r="C11" s="284">
        <v>3</v>
      </c>
      <c r="D11" s="284">
        <v>4</v>
      </c>
      <c r="E11" s="284">
        <v>5</v>
      </c>
      <c r="F11" s="285">
        <v>6</v>
      </c>
      <c r="G11" s="286">
        <v>7</v>
      </c>
      <c r="H11" s="287">
        <v>8</v>
      </c>
      <c r="I11" s="287">
        <v>9</v>
      </c>
      <c r="J11" s="287">
        <v>10</v>
      </c>
      <c r="W11" s="249"/>
      <c r="X11" s="249"/>
      <c r="Y11" s="249"/>
      <c r="Z11" s="249"/>
      <c r="AA11" s="249"/>
      <c r="AB11" s="249"/>
      <c r="AC11" s="249"/>
    </row>
    <row r="12" spans="1:29" s="8" customFormat="1" ht="13.5" customHeight="1">
      <c r="A12" s="472" t="s">
        <v>26</v>
      </c>
      <c r="B12" s="473"/>
      <c r="C12" s="473"/>
      <c r="D12" s="473"/>
      <c r="E12" s="473"/>
      <c r="F12" s="473"/>
      <c r="G12" s="473"/>
      <c r="H12" s="473"/>
      <c r="I12" s="473"/>
      <c r="J12" s="474"/>
      <c r="W12" s="249"/>
      <c r="X12" s="249"/>
      <c r="Y12" s="249"/>
      <c r="Z12" s="249"/>
      <c r="AA12" s="249"/>
      <c r="AB12" s="249"/>
      <c r="AC12" s="249"/>
    </row>
    <row r="13" spans="1:29" s="8" customFormat="1" ht="18" customHeight="1">
      <c r="A13" s="33" t="s">
        <v>27</v>
      </c>
      <c r="B13" s="267" t="s">
        <v>24</v>
      </c>
      <c r="C13" s="165">
        <f>C14+C15</f>
        <v>15341942</v>
      </c>
      <c r="D13" s="165">
        <f>D14+D15</f>
        <v>11422883.740000002</v>
      </c>
      <c r="E13" s="165">
        <f>D13-C13</f>
        <v>-3919058.259999998</v>
      </c>
      <c r="F13" s="104">
        <f>(D13/C13)*100</f>
        <v>74.45526609343199</v>
      </c>
      <c r="G13" s="139">
        <f>G14+G15</f>
        <v>55954908</v>
      </c>
      <c r="H13" s="139">
        <f>H14+H15</f>
        <v>47013399.27</v>
      </c>
      <c r="I13" s="139">
        <f>H13-G13</f>
        <v>-8941508.729999997</v>
      </c>
      <c r="J13" s="105">
        <f aca="true" t="shared" si="0" ref="J13:J24">(H13/G13)*100</f>
        <v>84.02015292385076</v>
      </c>
      <c r="S13" s="8">
        <v>55954908</v>
      </c>
      <c r="U13" s="101"/>
      <c r="V13" s="101"/>
      <c r="W13" s="249"/>
      <c r="X13" s="249"/>
      <c r="Y13" s="249"/>
      <c r="Z13" s="249"/>
      <c r="AA13" s="249"/>
      <c r="AB13" s="249"/>
      <c r="AC13" s="249"/>
    </row>
    <row r="14" spans="1:29" s="3" customFormat="1" ht="18">
      <c r="A14" s="29" t="s">
        <v>28</v>
      </c>
      <c r="B14" s="268" t="s">
        <v>29</v>
      </c>
      <c r="C14" s="269">
        <v>15341942</v>
      </c>
      <c r="D14" s="269">
        <f>15004090.74+1259797.63-0.37-4841004.26</f>
        <v>11422883.740000002</v>
      </c>
      <c r="E14" s="165">
        <f aca="true" t="shared" si="1" ref="E14:E66">D14-C14</f>
        <v>-3919058.259999998</v>
      </c>
      <c r="F14" s="104">
        <f aca="true" t="shared" si="2" ref="F14:F41">(D14/C14)*100</f>
        <v>74.45526609343199</v>
      </c>
      <c r="G14" s="70">
        <f>18327767+24985123-8196522.47+0.47+6000000-503402+15341942</f>
        <v>55954908</v>
      </c>
      <c r="H14" s="70">
        <f>18801915+16788600.53+16263888.37-0.37-4841004.26</f>
        <v>47013399.27</v>
      </c>
      <c r="I14" s="139">
        <f aca="true" t="shared" si="3" ref="I14:I24">H14-G14</f>
        <v>-8941508.729999997</v>
      </c>
      <c r="J14" s="105">
        <f t="shared" si="0"/>
        <v>84.02015292385076</v>
      </c>
      <c r="K14" s="8"/>
      <c r="L14" s="8"/>
      <c r="M14" s="8"/>
      <c r="N14" s="8"/>
      <c r="O14" s="8"/>
      <c r="P14" s="8"/>
      <c r="Q14" s="8"/>
      <c r="R14" s="8"/>
      <c r="S14" s="8">
        <v>55954908</v>
      </c>
      <c r="T14" s="8"/>
      <c r="U14" s="101"/>
      <c r="V14" s="353" t="s">
        <v>299</v>
      </c>
      <c r="W14" s="348">
        <f>34016112.75+9113197.53+3884088.99</f>
        <v>47013399.27</v>
      </c>
      <c r="X14" s="354">
        <f>H14-W14</f>
        <v>0</v>
      </c>
      <c r="Y14" s="354"/>
      <c r="Z14" s="348">
        <v>51864098.33</v>
      </c>
      <c r="AA14" s="348">
        <f>W14-Z14</f>
        <v>-4850699.059999995</v>
      </c>
      <c r="AB14" s="348"/>
      <c r="AC14" s="349" t="s">
        <v>298</v>
      </c>
    </row>
    <row r="15" spans="1:29" s="3" customFormat="1" ht="18">
      <c r="A15" s="25" t="s">
        <v>222</v>
      </c>
      <c r="B15" s="270" t="s">
        <v>30</v>
      </c>
      <c r="C15" s="271"/>
      <c r="D15" s="271"/>
      <c r="E15" s="165">
        <f t="shared" si="1"/>
        <v>0</v>
      </c>
      <c r="F15" s="104" t="e">
        <f t="shared" si="2"/>
        <v>#DIV/0!</v>
      </c>
      <c r="G15" s="142"/>
      <c r="H15" s="143"/>
      <c r="I15" s="139">
        <f t="shared" si="3"/>
        <v>0</v>
      </c>
      <c r="J15" s="105" t="e">
        <f t="shared" si="0"/>
        <v>#DIV/0!</v>
      </c>
      <c r="K15" s="8"/>
      <c r="L15" s="8"/>
      <c r="M15" s="8"/>
      <c r="N15" s="8"/>
      <c r="O15" s="8"/>
      <c r="P15" s="8"/>
      <c r="Q15" s="8"/>
      <c r="R15" s="8"/>
      <c r="S15" s="8">
        <v>0</v>
      </c>
      <c r="T15" s="8"/>
      <c r="U15" s="101"/>
      <c r="V15" s="339"/>
      <c r="W15" s="348"/>
      <c r="X15" s="348"/>
      <c r="Y15" s="348"/>
      <c r="Z15" s="348"/>
      <c r="AA15" s="348"/>
      <c r="AB15" s="348"/>
      <c r="AC15" s="350">
        <f>38857117.01+9113197.53+3884088.99</f>
        <v>51854403.53</v>
      </c>
    </row>
    <row r="16" spans="1:29" s="3" customFormat="1" ht="18">
      <c r="A16" s="93" t="s">
        <v>138</v>
      </c>
      <c r="B16" s="272" t="s">
        <v>25</v>
      </c>
      <c r="C16" s="273">
        <f>C17</f>
        <v>7348323</v>
      </c>
      <c r="D16" s="273">
        <f>D17</f>
        <v>2184830.81</v>
      </c>
      <c r="E16" s="166">
        <f t="shared" si="1"/>
        <v>-5163492.1899999995</v>
      </c>
      <c r="F16" s="110">
        <f t="shared" si="2"/>
        <v>29.73237308702952</v>
      </c>
      <c r="G16" s="274">
        <f>G17</f>
        <v>15167634</v>
      </c>
      <c r="H16" s="274">
        <f>H17</f>
        <v>10004141.33</v>
      </c>
      <c r="I16" s="171">
        <f t="shared" si="3"/>
        <v>-5163492.67</v>
      </c>
      <c r="J16" s="111">
        <f t="shared" si="0"/>
        <v>65.95716464413633</v>
      </c>
      <c r="K16" s="8" t="s">
        <v>283</v>
      </c>
      <c r="L16" s="8"/>
      <c r="M16" s="8"/>
      <c r="N16" s="8"/>
      <c r="O16" s="8"/>
      <c r="P16" s="8"/>
      <c r="Q16" s="8"/>
      <c r="R16" s="8"/>
      <c r="S16" s="8">
        <v>15167634</v>
      </c>
      <c r="T16" s="8"/>
      <c r="U16" s="101"/>
      <c r="V16" s="339"/>
      <c r="W16" s="348"/>
      <c r="X16" s="348"/>
      <c r="Y16" s="348"/>
      <c r="Z16" s="348"/>
      <c r="AA16" s="348"/>
      <c r="AB16" s="348"/>
      <c r="AC16" s="351"/>
    </row>
    <row r="17" spans="1:27" s="3" customFormat="1" ht="24.75" customHeight="1">
      <c r="A17" s="25" t="s">
        <v>197</v>
      </c>
      <c r="B17" s="275" t="s">
        <v>171</v>
      </c>
      <c r="C17" s="165">
        <f>23804766-12537385-3919058</f>
        <v>7348323</v>
      </c>
      <c r="D17" s="165">
        <f>1298924.81+885906</f>
        <v>2184830.81</v>
      </c>
      <c r="E17" s="166">
        <f>D17-C17</f>
        <v>-5163492.1899999995</v>
      </c>
      <c r="F17" s="110">
        <f>(D17/C17)*100</f>
        <v>29.73237308702952</v>
      </c>
      <c r="G17" s="139">
        <v>15167634</v>
      </c>
      <c r="H17" s="139">
        <f>4894063+3245066.22-319818.7+1298924.81+885906</f>
        <v>10004141.33</v>
      </c>
      <c r="I17" s="139">
        <f>H17-G17</f>
        <v>-5163492.67</v>
      </c>
      <c r="J17" s="105">
        <f>(H17/G17)*100</f>
        <v>65.95716464413633</v>
      </c>
      <c r="K17" s="8"/>
      <c r="L17" s="8"/>
      <c r="M17" s="8"/>
      <c r="N17" s="8"/>
      <c r="O17" s="8"/>
      <c r="P17" s="8"/>
      <c r="Q17" s="8"/>
      <c r="R17" s="8"/>
      <c r="S17" s="8">
        <v>15167634</v>
      </c>
      <c r="T17" s="8"/>
      <c r="U17" s="352">
        <f>33051448.31</f>
        <v>33051448.31</v>
      </c>
      <c r="V17" s="356">
        <f>G17-U17</f>
        <v>-17883814.31</v>
      </c>
      <c r="W17" s="352" t="s">
        <v>302</v>
      </c>
      <c r="Z17" s="348">
        <v>23804766.12</v>
      </c>
      <c r="AA17" s="357">
        <f>C17-Z17</f>
        <v>-16456443.120000001</v>
      </c>
    </row>
    <row r="18" spans="1:22" s="3" customFormat="1" ht="18">
      <c r="A18" s="122" t="s">
        <v>31</v>
      </c>
      <c r="B18" s="123">
        <v>1030</v>
      </c>
      <c r="C18" s="167">
        <f>C19+C20+C21+C22+C23+C24+C25+C26+C27</f>
        <v>1158950</v>
      </c>
      <c r="D18" s="167">
        <f>D19+D20+D21+D22+D23+D24+D25+D26+D27</f>
        <v>1158948.4000000001</v>
      </c>
      <c r="E18" s="165">
        <f t="shared" si="1"/>
        <v>-1.5999999998603016</v>
      </c>
      <c r="F18" s="105">
        <f t="shared" si="2"/>
        <v>99.99986194400104</v>
      </c>
      <c r="G18" s="172">
        <f>G19+G20+G21+G22+G23+G24+G25+G26+G27</f>
        <v>4964987</v>
      </c>
      <c r="H18" s="172">
        <f>H19+H20+H21+H22+H23+H24+H25+H26+H27</f>
        <v>5029970.09</v>
      </c>
      <c r="I18" s="139">
        <f t="shared" si="3"/>
        <v>64983.08999999985</v>
      </c>
      <c r="J18" s="105">
        <f t="shared" si="0"/>
        <v>101.30882699189343</v>
      </c>
      <c r="K18" s="8"/>
      <c r="L18" s="8"/>
      <c r="M18" s="8"/>
      <c r="N18" s="8"/>
      <c r="O18" s="8"/>
      <c r="P18" s="8"/>
      <c r="Q18" s="8"/>
      <c r="R18" s="8"/>
      <c r="S18" s="8">
        <v>4964987</v>
      </c>
      <c r="T18" s="8"/>
      <c r="U18" s="101"/>
      <c r="V18" s="339"/>
    </row>
    <row r="19" spans="1:22" s="3" customFormat="1" ht="32.25">
      <c r="A19" s="89" t="s">
        <v>122</v>
      </c>
      <c r="B19" s="26">
        <v>1031</v>
      </c>
      <c r="C19" s="168"/>
      <c r="D19" s="168"/>
      <c r="E19" s="165">
        <f t="shared" si="1"/>
        <v>0</v>
      </c>
      <c r="F19" s="120" t="e">
        <f t="shared" si="2"/>
        <v>#DIV/0!</v>
      </c>
      <c r="G19" s="147"/>
      <c r="H19" s="148"/>
      <c r="I19" s="139">
        <f t="shared" si="3"/>
        <v>0</v>
      </c>
      <c r="J19" s="105" t="e">
        <f t="shared" si="0"/>
        <v>#DIV/0!</v>
      </c>
      <c r="K19" s="8"/>
      <c r="L19" s="8"/>
      <c r="M19" s="8"/>
      <c r="N19" s="8"/>
      <c r="O19" s="8"/>
      <c r="P19" s="8"/>
      <c r="Q19" s="8"/>
      <c r="R19" s="8"/>
      <c r="S19" s="8">
        <v>0</v>
      </c>
      <c r="T19" s="8"/>
      <c r="U19" s="101"/>
      <c r="V19" s="339"/>
    </row>
    <row r="20" spans="1:22" ht="32.25">
      <c r="A20" s="89" t="s">
        <v>157</v>
      </c>
      <c r="B20" s="26">
        <v>1032</v>
      </c>
      <c r="C20" s="168"/>
      <c r="D20" s="168"/>
      <c r="E20" s="165">
        <f t="shared" si="1"/>
        <v>0</v>
      </c>
      <c r="F20" s="104" t="e">
        <f t="shared" si="2"/>
        <v>#DIV/0!</v>
      </c>
      <c r="G20" s="147"/>
      <c r="H20" s="148"/>
      <c r="I20" s="139">
        <f t="shared" si="3"/>
        <v>0</v>
      </c>
      <c r="J20" s="105" t="e">
        <f t="shared" si="0"/>
        <v>#DIV/0!</v>
      </c>
      <c r="S20" s="8">
        <v>0</v>
      </c>
      <c r="U20" s="101"/>
      <c r="V20" s="340"/>
    </row>
    <row r="21" spans="1:22" ht="18">
      <c r="A21" s="28" t="s">
        <v>16</v>
      </c>
      <c r="B21" s="26">
        <v>1033</v>
      </c>
      <c r="C21" s="168">
        <v>11585</v>
      </c>
      <c r="D21" s="168">
        <v>11585</v>
      </c>
      <c r="E21" s="165">
        <f t="shared" si="1"/>
        <v>0</v>
      </c>
      <c r="F21" s="104">
        <f t="shared" si="2"/>
        <v>100</v>
      </c>
      <c r="G21" s="147">
        <v>464816</v>
      </c>
      <c r="H21" s="148">
        <f>450311+2920+11585</f>
        <v>464816</v>
      </c>
      <c r="I21" s="139">
        <f t="shared" si="3"/>
        <v>0</v>
      </c>
      <c r="J21" s="105">
        <f t="shared" si="0"/>
        <v>100</v>
      </c>
      <c r="S21" s="8">
        <v>464816</v>
      </c>
      <c r="U21" s="101"/>
      <c r="V21" s="340"/>
    </row>
    <row r="22" spans="1:22" ht="18">
      <c r="A22" s="89" t="s">
        <v>161</v>
      </c>
      <c r="B22" s="26">
        <v>1034</v>
      </c>
      <c r="C22" s="168">
        <v>217</v>
      </c>
      <c r="D22" s="168">
        <v>217</v>
      </c>
      <c r="E22" s="165">
        <f t="shared" si="1"/>
        <v>0</v>
      </c>
      <c r="F22" s="104">
        <f t="shared" si="2"/>
        <v>100</v>
      </c>
      <c r="G22" s="149">
        <v>217</v>
      </c>
      <c r="H22" s="148">
        <v>217</v>
      </c>
      <c r="I22" s="139">
        <f t="shared" si="3"/>
        <v>0</v>
      </c>
      <c r="J22" s="105">
        <f t="shared" si="0"/>
        <v>100</v>
      </c>
      <c r="S22" s="8">
        <v>217</v>
      </c>
      <c r="U22" s="101"/>
      <c r="V22" s="340"/>
    </row>
    <row r="23" spans="1:22" ht="18">
      <c r="A23" s="28" t="s">
        <v>193</v>
      </c>
      <c r="B23" s="26">
        <v>1035</v>
      </c>
      <c r="C23" s="168">
        <v>14650</v>
      </c>
      <c r="D23" s="168">
        <v>14649.46</v>
      </c>
      <c r="E23" s="165">
        <f t="shared" si="1"/>
        <v>-0.5400000000008731</v>
      </c>
      <c r="F23" s="104">
        <f t="shared" si="2"/>
        <v>99.99631399317406</v>
      </c>
      <c r="G23" s="149">
        <v>45882</v>
      </c>
      <c r="H23" s="148">
        <f>24085+14476.12+3594.93-4599.46+14649.46</f>
        <v>52206.05</v>
      </c>
      <c r="I23" s="139">
        <f t="shared" si="3"/>
        <v>6324.050000000003</v>
      </c>
      <c r="J23" s="105">
        <f t="shared" si="0"/>
        <v>113.78329192275838</v>
      </c>
      <c r="M23" s="8" t="s">
        <v>270</v>
      </c>
      <c r="S23" s="8">
        <v>45882</v>
      </c>
      <c r="U23" s="101"/>
      <c r="V23" s="341"/>
    </row>
    <row r="24" spans="1:22" ht="18">
      <c r="A24" s="25" t="s">
        <v>121</v>
      </c>
      <c r="B24" s="26">
        <v>1036</v>
      </c>
      <c r="C24" s="169">
        <v>97405</v>
      </c>
      <c r="D24" s="169">
        <v>97404.77</v>
      </c>
      <c r="E24" s="166">
        <f t="shared" si="1"/>
        <v>-0.22999999999592546</v>
      </c>
      <c r="F24" s="110">
        <f t="shared" si="2"/>
        <v>99.99976387249116</v>
      </c>
      <c r="G24" s="173">
        <v>172311</v>
      </c>
      <c r="H24" s="143">
        <f>70840+241970.35-179244.29+97404.77</f>
        <v>230970.82999999996</v>
      </c>
      <c r="I24" s="171">
        <f t="shared" si="3"/>
        <v>58659.82999999996</v>
      </c>
      <c r="J24" s="111">
        <f t="shared" si="0"/>
        <v>134.0429978353094</v>
      </c>
      <c r="S24" s="8">
        <v>172311</v>
      </c>
      <c r="U24" s="101"/>
      <c r="V24" s="341"/>
    </row>
    <row r="25" spans="1:22" ht="18">
      <c r="A25" s="118" t="s">
        <v>164</v>
      </c>
      <c r="B25" s="119">
        <v>1037</v>
      </c>
      <c r="C25" s="169">
        <v>1035093</v>
      </c>
      <c r="D25" s="169">
        <f>71353.28+963738.89</f>
        <v>1035092.17</v>
      </c>
      <c r="E25" s="166">
        <f>D25-C25</f>
        <v>-0.8299999999580905</v>
      </c>
      <c r="F25" s="110">
        <f>(D25/C25)*100</f>
        <v>99.9999198139684</v>
      </c>
      <c r="G25" s="173">
        <v>4281761</v>
      </c>
      <c r="H25" s="143">
        <f>863514+1098714.62+1284439.42+1035092.17</f>
        <v>4281760.21</v>
      </c>
      <c r="I25" s="171">
        <f>H25-G25</f>
        <v>-0.7900000000372529</v>
      </c>
      <c r="J25" s="111">
        <f>(H25/G25)*100</f>
        <v>99.99998154964744</v>
      </c>
      <c r="S25" s="8">
        <v>4281761</v>
      </c>
      <c r="U25" s="449">
        <v>3246668.04</v>
      </c>
      <c r="V25" s="341"/>
    </row>
    <row r="26" spans="1:23" ht="18">
      <c r="A26" s="89" t="s">
        <v>168</v>
      </c>
      <c r="B26" s="26">
        <v>1038</v>
      </c>
      <c r="C26" s="168"/>
      <c r="D26" s="168"/>
      <c r="E26" s="166">
        <f>D26-C26</f>
        <v>0</v>
      </c>
      <c r="F26" s="110" t="e">
        <f>(D26/C26)*100</f>
        <v>#DIV/0!</v>
      </c>
      <c r="G26" s="173"/>
      <c r="H26" s="143"/>
      <c r="I26" s="171">
        <f>H26-G26</f>
        <v>0</v>
      </c>
      <c r="J26" s="111" t="e">
        <f>(H26/G26)*100</f>
        <v>#DIV/0!</v>
      </c>
      <c r="S26" s="8">
        <v>0</v>
      </c>
      <c r="U26" s="101"/>
      <c r="V26" s="340"/>
      <c r="W26" s="355" t="s">
        <v>303</v>
      </c>
    </row>
    <row r="27" spans="1:22" s="160" customFormat="1" ht="18">
      <c r="A27" s="89" t="s">
        <v>192</v>
      </c>
      <c r="B27" s="276">
        <v>1039</v>
      </c>
      <c r="C27" s="168"/>
      <c r="D27" s="170"/>
      <c r="E27" s="166">
        <f>D27-C27</f>
        <v>0</v>
      </c>
      <c r="F27" s="110" t="e">
        <f>(D27/C27)*100</f>
        <v>#DIV/0!</v>
      </c>
      <c r="G27" s="173"/>
      <c r="H27" s="143"/>
      <c r="I27" s="171">
        <f>H27-G27</f>
        <v>0</v>
      </c>
      <c r="J27" s="111" t="e">
        <f>(H27/G27)*100</f>
        <v>#DIV/0!</v>
      </c>
      <c r="S27" s="160">
        <v>0</v>
      </c>
      <c r="U27" s="342"/>
      <c r="V27" s="342"/>
    </row>
    <row r="28" spans="1:22" ht="18">
      <c r="A28" s="434" t="s">
        <v>123</v>
      </c>
      <c r="B28" s="434"/>
      <c r="C28" s="434"/>
      <c r="D28" s="434"/>
      <c r="E28" s="434"/>
      <c r="F28" s="434"/>
      <c r="G28" s="434"/>
      <c r="H28" s="434"/>
      <c r="I28" s="434"/>
      <c r="J28" s="434"/>
      <c r="K28" s="251" t="s">
        <v>278</v>
      </c>
      <c r="L28" s="249"/>
      <c r="S28" s="8">
        <v>0</v>
      </c>
      <c r="U28" s="101"/>
      <c r="V28" s="340"/>
    </row>
    <row r="29" spans="1:25" ht="18">
      <c r="A29" s="38" t="s">
        <v>33</v>
      </c>
      <c r="B29" s="30">
        <v>1040</v>
      </c>
      <c r="C29" s="69">
        <v>14613156</v>
      </c>
      <c r="D29" s="69">
        <f>13680353.84+822597.09+76797+33407.45</f>
        <v>14613155.379999999</v>
      </c>
      <c r="E29" s="172">
        <f t="shared" si="1"/>
        <v>-0.6200000010430813</v>
      </c>
      <c r="F29" s="120">
        <f t="shared" si="2"/>
        <v>99.99999575724777</v>
      </c>
      <c r="G29" s="107">
        <v>47160777</v>
      </c>
      <c r="H29" s="475">
        <f>16285924+16261696.72+14579747.93+33407.45</f>
        <v>47160776.1</v>
      </c>
      <c r="I29" s="172">
        <f aca="true" t="shared" si="4" ref="I29:I41">H29-G29</f>
        <v>-0.8999999985098839</v>
      </c>
      <c r="J29" s="121">
        <f aca="true" t="shared" si="5" ref="J29:J41">(H29/G29)*100</f>
        <v>99.9999980916345</v>
      </c>
      <c r="K29" s="252"/>
      <c r="L29" s="249"/>
      <c r="S29" s="8">
        <v>47160777</v>
      </c>
      <c r="U29" s="101"/>
      <c r="V29" s="341">
        <v>47058086.1</v>
      </c>
      <c r="W29" s="261">
        <f>H29-V29</f>
        <v>102690</v>
      </c>
      <c r="X29" s="358">
        <v>47160776.1</v>
      </c>
      <c r="Y29" s="359">
        <f>H29-X29</f>
        <v>0</v>
      </c>
    </row>
    <row r="30" spans="1:27" ht="18">
      <c r="A30" s="29" t="s">
        <v>34</v>
      </c>
      <c r="B30" s="31">
        <v>1050</v>
      </c>
      <c r="C30" s="71">
        <v>3256497</v>
      </c>
      <c r="D30" s="71">
        <f>3048606.46+182789.81+16896+8204.26</f>
        <v>3256496.53</v>
      </c>
      <c r="E30" s="139">
        <f t="shared" si="1"/>
        <v>-0.47000000020489097</v>
      </c>
      <c r="F30" s="104">
        <f t="shared" si="2"/>
        <v>99.99998556731359</v>
      </c>
      <c r="G30" s="151">
        <v>10500930</v>
      </c>
      <c r="H30" s="151">
        <f>3597275+3647156.86+3248292.27+8204.26</f>
        <v>10500928.389999999</v>
      </c>
      <c r="I30" s="139">
        <f t="shared" si="4"/>
        <v>-1.6100000012665987</v>
      </c>
      <c r="J30" s="105">
        <f t="shared" si="5"/>
        <v>99.99998466802464</v>
      </c>
      <c r="K30" s="252"/>
      <c r="L30" s="249"/>
      <c r="S30" s="8">
        <v>10500930</v>
      </c>
      <c r="U30" s="101"/>
      <c r="V30" s="341">
        <v>10478332.39</v>
      </c>
      <c r="W30" s="261">
        <f>H30-V30</f>
        <v>22595.999999998137</v>
      </c>
      <c r="X30" s="358">
        <v>10500928.39</v>
      </c>
      <c r="Y30" s="359">
        <f>H30-X30</f>
        <v>0</v>
      </c>
      <c r="Z30" s="7">
        <f>D30/D29</f>
        <v>0.22284691056231007</v>
      </c>
      <c r="AA30" s="7">
        <f>H30/H29</f>
        <v>0.2226623320984745</v>
      </c>
    </row>
    <row r="31" spans="1:23" ht="18">
      <c r="A31" s="29" t="s">
        <v>35</v>
      </c>
      <c r="B31" s="31">
        <v>1060</v>
      </c>
      <c r="C31" s="71">
        <v>176477</v>
      </c>
      <c r="D31" s="71">
        <f>176476.45</f>
        <v>176476.45</v>
      </c>
      <c r="E31" s="139">
        <f t="shared" si="1"/>
        <v>-0.5499999999883585</v>
      </c>
      <c r="F31" s="104">
        <f t="shared" si="2"/>
        <v>99.99968834465682</v>
      </c>
      <c r="G31" s="151">
        <v>1086055</v>
      </c>
      <c r="H31" s="148">
        <f>734072+112382.52+63123.24+176476.45</f>
        <v>1086054.21</v>
      </c>
      <c r="I31" s="139">
        <f t="shared" si="4"/>
        <v>-0.7900000000372529</v>
      </c>
      <c r="J31" s="105">
        <f t="shared" si="5"/>
        <v>99.99992725966916</v>
      </c>
      <c r="K31" s="252">
        <v>909577.76</v>
      </c>
      <c r="L31" s="256">
        <f>H31-K31</f>
        <v>176476.44999999995</v>
      </c>
      <c r="S31" s="8">
        <v>1086055</v>
      </c>
      <c r="U31" s="101"/>
      <c r="V31" s="341">
        <v>186514.02</v>
      </c>
      <c r="W31" s="261">
        <f aca="true" t="shared" si="6" ref="W31:W38">H31-V31</f>
        <v>899540.19</v>
      </c>
    </row>
    <row r="32" spans="1:23" ht="18">
      <c r="A32" s="29" t="s">
        <v>36</v>
      </c>
      <c r="B32" s="31">
        <v>1070</v>
      </c>
      <c r="C32" s="71">
        <v>2673458</v>
      </c>
      <c r="D32" s="71">
        <f>2673457.18</f>
        <v>2673457.18</v>
      </c>
      <c r="E32" s="139">
        <f t="shared" si="1"/>
        <v>-0.8199999998323619</v>
      </c>
      <c r="F32" s="104">
        <f t="shared" si="2"/>
        <v>99.99996932811364</v>
      </c>
      <c r="G32" s="151">
        <v>8326367</v>
      </c>
      <c r="H32" s="148">
        <f>1378130+918003.39+3170578.75+2673457.18</f>
        <v>8140169.32</v>
      </c>
      <c r="I32" s="139">
        <f t="shared" si="4"/>
        <v>-186197.6799999997</v>
      </c>
      <c r="J32" s="105">
        <f t="shared" si="5"/>
        <v>97.7637584314984</v>
      </c>
      <c r="K32" s="252">
        <v>5466712.14</v>
      </c>
      <c r="L32" s="256">
        <f>H32-K32</f>
        <v>2673457.1800000006</v>
      </c>
      <c r="S32" s="8">
        <v>8326367</v>
      </c>
      <c r="U32" s="101"/>
      <c r="V32" s="341">
        <v>3497383.53</v>
      </c>
      <c r="W32" s="261">
        <f t="shared" si="6"/>
        <v>4642785.790000001</v>
      </c>
    </row>
    <row r="33" spans="1:23" ht="18">
      <c r="A33" s="29" t="s">
        <v>37</v>
      </c>
      <c r="B33" s="31">
        <v>1080</v>
      </c>
      <c r="C33" s="71">
        <v>246848</v>
      </c>
      <c r="D33" s="71">
        <f>246847.8</f>
        <v>246847.8</v>
      </c>
      <c r="E33" s="139">
        <f t="shared" si="1"/>
        <v>-0.20000000001164153</v>
      </c>
      <c r="F33" s="104">
        <f t="shared" si="2"/>
        <v>99.99991897848068</v>
      </c>
      <c r="G33" s="151">
        <v>664432</v>
      </c>
      <c r="H33" s="148">
        <f>163274+174971.32+78817.26+246847.8</f>
        <v>663910.38</v>
      </c>
      <c r="I33" s="139">
        <f t="shared" si="4"/>
        <v>-521.6199999999953</v>
      </c>
      <c r="J33" s="105">
        <f t="shared" si="5"/>
        <v>99.92149384737641</v>
      </c>
      <c r="K33" s="250">
        <v>417062.58</v>
      </c>
      <c r="L33" s="256">
        <f>H33-K33</f>
        <v>246847.8</v>
      </c>
      <c r="M33" s="249" t="s">
        <v>271</v>
      </c>
      <c r="S33" s="8">
        <v>664432</v>
      </c>
      <c r="U33" s="101"/>
      <c r="V33" s="341">
        <v>487708.99</v>
      </c>
      <c r="W33" s="261">
        <f t="shared" si="6"/>
        <v>176201.39</v>
      </c>
    </row>
    <row r="34" spans="1:23" ht="18">
      <c r="A34" s="29" t="s">
        <v>38</v>
      </c>
      <c r="B34" s="31">
        <v>1090</v>
      </c>
      <c r="C34" s="71">
        <v>983494</v>
      </c>
      <c r="D34" s="71">
        <f>671156.14+227336.7+48000+31803.53+993+4203.69</f>
        <v>983493.06</v>
      </c>
      <c r="E34" s="139">
        <f t="shared" si="1"/>
        <v>-0.9399999999441206</v>
      </c>
      <c r="F34" s="104">
        <f t="shared" si="2"/>
        <v>99.99990442239609</v>
      </c>
      <c r="G34" s="151">
        <v>2260027</v>
      </c>
      <c r="H34" s="148">
        <f>504438+772094.22+946492.84+31803.53+993+4203.69</f>
        <v>2260025.28</v>
      </c>
      <c r="I34" s="139">
        <f t="shared" si="4"/>
        <v>-1.720000000204891</v>
      </c>
      <c r="J34" s="105">
        <f t="shared" si="5"/>
        <v>99.99992389471453</v>
      </c>
      <c r="K34" s="249"/>
      <c r="L34" s="249"/>
      <c r="S34" s="8">
        <v>2260027</v>
      </c>
      <c r="U34" s="101"/>
      <c r="V34" s="340">
        <v>2218923.11</v>
      </c>
      <c r="W34" s="261">
        <f t="shared" si="6"/>
        <v>41102.169999999925</v>
      </c>
    </row>
    <row r="35" spans="1:23" ht="18">
      <c r="A35" s="29" t="s">
        <v>39</v>
      </c>
      <c r="B35" s="31">
        <v>1100</v>
      </c>
      <c r="C35" s="71"/>
      <c r="D35" s="71"/>
      <c r="E35" s="139">
        <f t="shared" si="1"/>
        <v>0</v>
      </c>
      <c r="F35" s="104" t="e">
        <f t="shared" si="2"/>
        <v>#DIV/0!</v>
      </c>
      <c r="G35" s="151"/>
      <c r="H35" s="148"/>
      <c r="I35" s="139">
        <f t="shared" si="4"/>
        <v>0</v>
      </c>
      <c r="J35" s="105" t="e">
        <f t="shared" si="5"/>
        <v>#DIV/0!</v>
      </c>
      <c r="K35" s="249"/>
      <c r="L35" s="249"/>
      <c r="S35" s="8">
        <v>0</v>
      </c>
      <c r="U35" s="101"/>
      <c r="V35" s="340"/>
      <c r="W35" s="261"/>
    </row>
    <row r="36" spans="1:23" ht="18">
      <c r="A36" s="29" t="s">
        <v>99</v>
      </c>
      <c r="B36" s="31">
        <v>1110</v>
      </c>
      <c r="C36" s="71">
        <v>707420</v>
      </c>
      <c r="D36" s="71">
        <f>250358.83+148004.33+307325.97+399.58+1330.67</f>
        <v>707419.3799999999</v>
      </c>
      <c r="E36" s="139">
        <f t="shared" si="1"/>
        <v>-0.6200000001117587</v>
      </c>
      <c r="F36" s="104">
        <f t="shared" si="2"/>
        <v>99.99991235758105</v>
      </c>
      <c r="G36" s="151">
        <v>4077651</v>
      </c>
      <c r="H36" s="148">
        <f>3370230.09+706088.71+1330.67</f>
        <v>4077649.4699999997</v>
      </c>
      <c r="I36" s="139">
        <f t="shared" si="4"/>
        <v>-1.5300000002607703</v>
      </c>
      <c r="J36" s="105">
        <f t="shared" si="5"/>
        <v>99.99996247839749</v>
      </c>
      <c r="K36" s="249" t="s">
        <v>279</v>
      </c>
      <c r="L36" s="249">
        <f>3370230.09</f>
        <v>3370230.09</v>
      </c>
      <c r="M36" s="258">
        <v>1608935</v>
      </c>
      <c r="N36" s="256">
        <f>L36-M36</f>
        <v>1761295.0899999999</v>
      </c>
      <c r="O36" s="249"/>
      <c r="P36" s="249"/>
      <c r="S36" s="8">
        <v>4077651</v>
      </c>
      <c r="U36" s="101"/>
      <c r="V36" s="343">
        <f>2740878.52+378760.59+951053.48+5626.21</f>
        <v>4076318.8</v>
      </c>
      <c r="W36" s="261">
        <f t="shared" si="6"/>
        <v>1330.6699999999255</v>
      </c>
    </row>
    <row r="37" spans="1:23" ht="31.5">
      <c r="A37" s="32" t="s">
        <v>47</v>
      </c>
      <c r="B37" s="31">
        <v>1120</v>
      </c>
      <c r="C37" s="71"/>
      <c r="D37" s="71"/>
      <c r="E37" s="139">
        <f t="shared" si="1"/>
        <v>0</v>
      </c>
      <c r="F37" s="104" t="e">
        <f t="shared" si="2"/>
        <v>#DIV/0!</v>
      </c>
      <c r="G37" s="151"/>
      <c r="H37" s="148">
        <v>0</v>
      </c>
      <c r="I37" s="139">
        <f t="shared" si="4"/>
        <v>0</v>
      </c>
      <c r="J37" s="105" t="e">
        <f t="shared" si="5"/>
        <v>#DIV/0!</v>
      </c>
      <c r="K37" s="249"/>
      <c r="L37" s="249"/>
      <c r="S37" s="8">
        <v>0</v>
      </c>
      <c r="U37" s="101"/>
      <c r="V37" s="340"/>
      <c r="W37" s="261"/>
    </row>
    <row r="38" spans="1:26" ht="18">
      <c r="A38" s="32" t="s">
        <v>48</v>
      </c>
      <c r="B38" s="31">
        <v>1130</v>
      </c>
      <c r="C38" s="71">
        <v>195221</v>
      </c>
      <c r="D38" s="71">
        <f>195220.79-0.09</f>
        <v>195220.7</v>
      </c>
      <c r="E38" s="139">
        <f t="shared" si="1"/>
        <v>-0.29999999998835847</v>
      </c>
      <c r="F38" s="104">
        <f t="shared" si="2"/>
        <v>99.99984632800775</v>
      </c>
      <c r="G38" s="151">
        <v>498284</v>
      </c>
      <c r="H38" s="148">
        <f>113009+190053.74+195220.79-0.09</f>
        <v>498283.44</v>
      </c>
      <c r="I38" s="139">
        <f t="shared" si="4"/>
        <v>-0.5599999999976717</v>
      </c>
      <c r="J38" s="105">
        <f t="shared" si="5"/>
        <v>99.99988761429225</v>
      </c>
      <c r="K38" s="249"/>
      <c r="L38" s="249"/>
      <c r="S38" s="8">
        <v>498284</v>
      </c>
      <c r="U38" s="101"/>
      <c r="V38" s="341">
        <v>498283.44</v>
      </c>
      <c r="W38" s="261">
        <f t="shared" si="6"/>
        <v>0</v>
      </c>
      <c r="Z38" s="263" t="s">
        <v>301</v>
      </c>
    </row>
    <row r="39" spans="1:22" ht="18">
      <c r="A39" s="29" t="s">
        <v>49</v>
      </c>
      <c r="B39" s="31">
        <v>1140</v>
      </c>
      <c r="C39" s="71">
        <v>984611</v>
      </c>
      <c r="D39" s="71">
        <f>277.5+984610.93-277.5</f>
        <v>984610.93</v>
      </c>
      <c r="E39" s="139">
        <f t="shared" si="1"/>
        <v>-0.06999999994877726</v>
      </c>
      <c r="F39" s="104">
        <f t="shared" si="2"/>
        <v>99.99999289059335</v>
      </c>
      <c r="G39" s="151">
        <v>1395551</v>
      </c>
      <c r="H39" s="148">
        <f>277.5+984610.93-277.5</f>
        <v>984610.93</v>
      </c>
      <c r="I39" s="139">
        <f t="shared" si="4"/>
        <v>-410940.06999999995</v>
      </c>
      <c r="J39" s="105">
        <f t="shared" si="5"/>
        <v>70.55356128152967</v>
      </c>
      <c r="K39" s="249" t="s">
        <v>282</v>
      </c>
      <c r="L39" s="249"/>
      <c r="S39" s="8">
        <v>1395551</v>
      </c>
      <c r="U39" s="101"/>
      <c r="V39" s="340"/>
    </row>
    <row r="40" spans="1:25" ht="18">
      <c r="A40" s="33" t="s">
        <v>50</v>
      </c>
      <c r="B40" s="34">
        <v>1170</v>
      </c>
      <c r="C40" s="70">
        <f>C13+C16+C18+C43+C54</f>
        <v>24210667</v>
      </c>
      <c r="D40" s="70">
        <f>D13+D16+D18+D43+D54-D45</f>
        <v>14931735.380000003</v>
      </c>
      <c r="E40" s="139">
        <f t="shared" si="1"/>
        <v>-9278931.619999997</v>
      </c>
      <c r="F40" s="104">
        <f t="shared" si="2"/>
        <v>61.674200797524506</v>
      </c>
      <c r="G40" s="70">
        <f>G13+G16+G18+G43+G54-G45+915000-446021</f>
        <v>77324521</v>
      </c>
      <c r="H40" s="70">
        <f>H13+H16+H18+H43+H54-H45</f>
        <v>62726399.44</v>
      </c>
      <c r="I40" s="262">
        <f t="shared" si="4"/>
        <v>-14598121.560000002</v>
      </c>
      <c r="J40" s="105">
        <f t="shared" si="5"/>
        <v>81.12096735781913</v>
      </c>
      <c r="K40" s="253">
        <v>47794664.06</v>
      </c>
      <c r="L40" s="259">
        <f>H40-K40</f>
        <v>14931735.379999995</v>
      </c>
      <c r="M40" s="254"/>
      <c r="N40" s="241"/>
      <c r="S40" s="8">
        <v>77324521</v>
      </c>
      <c r="T40" s="235">
        <f>G40-S40</f>
        <v>0</v>
      </c>
      <c r="U40" s="344" t="s">
        <v>297</v>
      </c>
      <c r="V40" s="345"/>
      <c r="W40" s="263"/>
      <c r="X40" s="366">
        <v>62726400</v>
      </c>
      <c r="Y40" s="448">
        <f>H40-X40</f>
        <v>-0.5600000023841858</v>
      </c>
    </row>
    <row r="41" spans="1:25" ht="18">
      <c r="A41" s="33" t="s">
        <v>51</v>
      </c>
      <c r="B41" s="34">
        <v>1180</v>
      </c>
      <c r="C41" s="70">
        <f>C29+C30+C31+C32+C33+C34+C35+C36+C37+C38+C39+C46+C59</f>
        <v>24210667</v>
      </c>
      <c r="D41" s="70">
        <f>D29+D30+D31+D32+D33+D34+D35+D36+D37+D38+D39+D46+D59</f>
        <v>24210660.339999996</v>
      </c>
      <c r="E41" s="139">
        <f t="shared" si="1"/>
        <v>-6.660000003874302</v>
      </c>
      <c r="F41" s="104">
        <f t="shared" si="2"/>
        <v>99.99997249146418</v>
      </c>
      <c r="G41" s="70">
        <f>G29+G30+G31+G32+G33+G34+G35+G36+G37+G38+G39+G46+G59</f>
        <v>77324521</v>
      </c>
      <c r="H41" s="70">
        <f>H29+H30+H31+H32+H33+H34+H35+H36+H37+H38+H39+H46+H59</f>
        <v>76209706.77000001</v>
      </c>
      <c r="I41" s="139">
        <f t="shared" si="4"/>
        <v>-1114814.2299999893</v>
      </c>
      <c r="J41" s="105">
        <f t="shared" si="5"/>
        <v>98.55826558563487</v>
      </c>
      <c r="K41" s="255">
        <v>52459986.32</v>
      </c>
      <c r="L41" s="260">
        <f>H41-K41</f>
        <v>23749720.45000001</v>
      </c>
      <c r="M41" s="242"/>
      <c r="N41" s="243"/>
      <c r="S41" s="8">
        <v>77324521</v>
      </c>
      <c r="U41" s="101"/>
      <c r="V41" s="340"/>
      <c r="X41" s="7">
        <v>76209700</v>
      </c>
      <c r="Y41" s="448">
        <f>H41-X41</f>
        <v>6.770000010728836</v>
      </c>
    </row>
    <row r="42" spans="1:22" ht="18">
      <c r="A42" s="402" t="s">
        <v>59</v>
      </c>
      <c r="B42" s="403"/>
      <c r="C42" s="403"/>
      <c r="D42" s="403"/>
      <c r="E42" s="403"/>
      <c r="F42" s="403"/>
      <c r="G42" s="403"/>
      <c r="H42" s="403"/>
      <c r="I42" s="403"/>
      <c r="J42" s="404"/>
      <c r="K42" s="236" t="s">
        <v>273</v>
      </c>
      <c r="S42" s="8">
        <v>0</v>
      </c>
      <c r="U42" s="101"/>
      <c r="V42" s="340"/>
    </row>
    <row r="43" spans="1:22" ht="18">
      <c r="A43" s="72" t="s">
        <v>136</v>
      </c>
      <c r="B43" s="88">
        <v>2010</v>
      </c>
      <c r="C43" s="139">
        <f>C44+C45</f>
        <v>354452</v>
      </c>
      <c r="D43" s="139">
        <f>D44+D45</f>
        <v>354450.93</v>
      </c>
      <c r="E43" s="139">
        <f t="shared" si="1"/>
        <v>-1.070000000006985</v>
      </c>
      <c r="F43" s="104">
        <f aca="true" t="shared" si="7" ref="F43:F52">(D43/C43)*100</f>
        <v>99.9996981255572</v>
      </c>
      <c r="G43" s="139">
        <f>G44+G45</f>
        <v>4040054</v>
      </c>
      <c r="H43" s="139">
        <f>H44+H45</f>
        <v>4123800.25</v>
      </c>
      <c r="I43" s="139">
        <f aca="true" t="shared" si="8" ref="I43:I52">H43-G43</f>
        <v>83746.25</v>
      </c>
      <c r="J43" s="105">
        <f aca="true" t="shared" si="9" ref="J43:J52">(H43/G43)*100</f>
        <v>102.07289927312853</v>
      </c>
      <c r="S43" s="8">
        <v>4040054</v>
      </c>
      <c r="U43" s="101"/>
      <c r="V43" s="340"/>
    </row>
    <row r="44" spans="1:22" ht="31.5">
      <c r="A44" s="50" t="s">
        <v>137</v>
      </c>
      <c r="B44" s="26">
        <v>2011</v>
      </c>
      <c r="C44" s="139">
        <v>165073</v>
      </c>
      <c r="D44" s="139">
        <f>164745.43+327</f>
        <v>165072.43</v>
      </c>
      <c r="E44" s="139">
        <f t="shared" si="1"/>
        <v>-0.5700000000069849</v>
      </c>
      <c r="F44" s="104">
        <f t="shared" si="7"/>
        <v>99.99965469822442</v>
      </c>
      <c r="G44" s="139">
        <v>747013</v>
      </c>
      <c r="H44" s="139">
        <f>513816.32+164745.43+327</f>
        <v>678888.75</v>
      </c>
      <c r="I44" s="139">
        <f t="shared" si="8"/>
        <v>-68124.25</v>
      </c>
      <c r="J44" s="105">
        <f t="shared" si="9"/>
        <v>90.880446525027</v>
      </c>
      <c r="K44" s="57" t="s">
        <v>280</v>
      </c>
      <c r="L44" s="57"/>
      <c r="M44" s="57"/>
      <c r="S44" s="8">
        <v>747013</v>
      </c>
      <c r="U44" s="101"/>
      <c r="V44" s="340"/>
    </row>
    <row r="45" spans="1:22" ht="18">
      <c r="A45" s="50" t="s">
        <v>139</v>
      </c>
      <c r="B45" s="26">
        <v>2012</v>
      </c>
      <c r="C45" s="139">
        <v>189379</v>
      </c>
      <c r="D45" s="139">
        <f>30750+158628.5</f>
        <v>189378.5</v>
      </c>
      <c r="E45" s="139">
        <f t="shared" si="1"/>
        <v>-0.5</v>
      </c>
      <c r="F45" s="104">
        <f t="shared" si="7"/>
        <v>99.99973597917405</v>
      </c>
      <c r="G45" s="139">
        <v>3293041</v>
      </c>
      <c r="H45" s="139">
        <f>1241485+52615.98+179473.98+2014048-(52615.98+179473.98)+30750+158628.5</f>
        <v>3444911.5</v>
      </c>
      <c r="I45" s="139">
        <f t="shared" si="8"/>
        <v>151870.5</v>
      </c>
      <c r="J45" s="105">
        <f t="shared" si="9"/>
        <v>104.61186180190288</v>
      </c>
      <c r="K45" s="8" t="s">
        <v>272</v>
      </c>
      <c r="M45" s="8" t="s">
        <v>275</v>
      </c>
      <c r="S45" s="8">
        <v>3293041</v>
      </c>
      <c r="U45" s="101"/>
      <c r="V45" s="340"/>
    </row>
    <row r="46" spans="1:22" ht="18">
      <c r="A46" s="72" t="s">
        <v>205</v>
      </c>
      <c r="B46" s="97">
        <v>3010</v>
      </c>
      <c r="C46" s="152">
        <f>C47+C48+C49+C50+C51+C52</f>
        <v>373485</v>
      </c>
      <c r="D46" s="152">
        <f>D47+D48+D49+D50+D51+D52</f>
        <v>373482.93</v>
      </c>
      <c r="E46" s="139">
        <f t="shared" si="1"/>
        <v>-2.070000000006985</v>
      </c>
      <c r="F46" s="104">
        <f t="shared" si="7"/>
        <v>99.99944576087393</v>
      </c>
      <c r="G46" s="152">
        <v>1354447</v>
      </c>
      <c r="H46" s="152">
        <f>H47+H48+H49+H50+H51+H52</f>
        <v>837299.2499999999</v>
      </c>
      <c r="I46" s="139">
        <f t="shared" si="8"/>
        <v>-517147.7500000001</v>
      </c>
      <c r="J46" s="105">
        <f t="shared" si="9"/>
        <v>61.81853184362326</v>
      </c>
      <c r="K46" s="235">
        <f>G43-G46</f>
        <v>2685607</v>
      </c>
      <c r="S46" s="8">
        <v>1354447</v>
      </c>
      <c r="U46" s="101"/>
      <c r="V46" s="340"/>
    </row>
    <row r="47" spans="1:27" ht="18">
      <c r="A47" s="29" t="s">
        <v>60</v>
      </c>
      <c r="B47" s="31">
        <v>3011</v>
      </c>
      <c r="C47" s="71"/>
      <c r="D47" s="71"/>
      <c r="E47" s="139">
        <f t="shared" si="1"/>
        <v>0</v>
      </c>
      <c r="F47" s="104" t="e">
        <f t="shared" si="7"/>
        <v>#DIV/0!</v>
      </c>
      <c r="G47" s="151"/>
      <c r="H47" s="148"/>
      <c r="I47" s="139">
        <f t="shared" si="8"/>
        <v>0</v>
      </c>
      <c r="J47" s="105" t="e">
        <f t="shared" si="9"/>
        <v>#DIV/0!</v>
      </c>
      <c r="K47" s="240">
        <f>C43-C46</f>
        <v>-19033</v>
      </c>
      <c r="L47" s="239"/>
      <c r="M47" s="239"/>
      <c r="N47" s="239"/>
      <c r="O47" s="239"/>
      <c r="P47" s="239"/>
      <c r="Q47" s="239"/>
      <c r="R47" s="239"/>
      <c r="S47" s="239">
        <v>0</v>
      </c>
      <c r="T47" s="239"/>
      <c r="U47" s="346"/>
      <c r="V47" s="346"/>
      <c r="W47" s="239"/>
      <c r="X47" s="239"/>
      <c r="Y47" s="239"/>
      <c r="Z47" s="239"/>
      <c r="AA47" s="239"/>
    </row>
    <row r="48" spans="1:27" ht="18">
      <c r="A48" s="29" t="s">
        <v>208</v>
      </c>
      <c r="B48" s="31">
        <v>3012</v>
      </c>
      <c r="C48" s="71">
        <v>304012</v>
      </c>
      <c r="D48" s="71">
        <f>141879+162350.43-218.1</f>
        <v>304011.33</v>
      </c>
      <c r="E48" s="139">
        <f t="shared" si="1"/>
        <v>-0.6699999999837019</v>
      </c>
      <c r="F48" s="104">
        <f t="shared" si="7"/>
        <v>99.99977961396262</v>
      </c>
      <c r="G48" s="151">
        <v>1013747</v>
      </c>
      <c r="H48" s="148">
        <f>453834.22+304229.43-218.1</f>
        <v>757845.5499999999</v>
      </c>
      <c r="I48" s="139">
        <f t="shared" si="8"/>
        <v>-255901.45000000007</v>
      </c>
      <c r="J48" s="105">
        <f t="shared" si="9"/>
        <v>74.75687227681068</v>
      </c>
      <c r="K48" s="238" t="s">
        <v>281</v>
      </c>
      <c r="L48" s="239"/>
      <c r="M48" s="239"/>
      <c r="N48" s="239"/>
      <c r="O48" s="239"/>
      <c r="P48" s="239"/>
      <c r="Q48" s="239"/>
      <c r="R48" s="239"/>
      <c r="S48" s="239">
        <v>1013747</v>
      </c>
      <c r="T48" s="239"/>
      <c r="U48" s="346">
        <v>757845.55</v>
      </c>
      <c r="V48" s="450">
        <f>H48-U48</f>
        <v>0</v>
      </c>
      <c r="W48" s="239"/>
      <c r="X48" s="239"/>
      <c r="Y48" s="239"/>
      <c r="Z48" s="239"/>
      <c r="AA48" s="239"/>
    </row>
    <row r="49" spans="1:27" ht="18">
      <c r="A49" s="29" t="s">
        <v>207</v>
      </c>
      <c r="B49" s="31">
        <v>3013</v>
      </c>
      <c r="C49" s="71">
        <v>69145</v>
      </c>
      <c r="D49" s="71">
        <f>16749.5+2395+50000</f>
        <v>69144.5</v>
      </c>
      <c r="E49" s="139">
        <f t="shared" si="1"/>
        <v>-0.5</v>
      </c>
      <c r="F49" s="104">
        <f t="shared" si="7"/>
        <v>99.99927688191481</v>
      </c>
      <c r="G49" s="151">
        <v>340372</v>
      </c>
      <c r="H49" s="148">
        <f>9982.1+19144.5+50000</f>
        <v>79126.6</v>
      </c>
      <c r="I49" s="139">
        <f t="shared" si="8"/>
        <v>-261245.4</v>
      </c>
      <c r="J49" s="105">
        <f t="shared" si="9"/>
        <v>23.247094355587418</v>
      </c>
      <c r="K49" s="238"/>
      <c r="L49" s="239"/>
      <c r="M49" s="239"/>
      <c r="N49" s="239"/>
      <c r="O49" s="239"/>
      <c r="P49" s="239"/>
      <c r="Q49" s="239"/>
      <c r="R49" s="239"/>
      <c r="S49" s="239">
        <v>340372</v>
      </c>
      <c r="T49" s="239"/>
      <c r="U49" s="346">
        <v>79126.6</v>
      </c>
      <c r="V49" s="450">
        <f>H49-U49</f>
        <v>0</v>
      </c>
      <c r="W49" s="239"/>
      <c r="X49" s="239"/>
      <c r="Y49" s="239"/>
      <c r="Z49" s="239"/>
      <c r="AA49" s="239"/>
    </row>
    <row r="50" spans="1:27" ht="18">
      <c r="A50" s="29" t="s">
        <v>209</v>
      </c>
      <c r="B50" s="31">
        <v>3014</v>
      </c>
      <c r="C50" s="71">
        <v>328</v>
      </c>
      <c r="D50" s="71">
        <v>327.1</v>
      </c>
      <c r="E50" s="139">
        <f t="shared" si="1"/>
        <v>-0.8999999999999773</v>
      </c>
      <c r="F50" s="104">
        <f t="shared" si="7"/>
        <v>99.72560975609757</v>
      </c>
      <c r="G50" s="151">
        <v>328</v>
      </c>
      <c r="H50" s="148">
        <v>327.1</v>
      </c>
      <c r="I50" s="139">
        <f t="shared" si="8"/>
        <v>-0.8999999999999773</v>
      </c>
      <c r="J50" s="105">
        <f t="shared" si="9"/>
        <v>99.72560975609757</v>
      </c>
      <c r="K50" s="238"/>
      <c r="L50" s="239"/>
      <c r="M50" s="239"/>
      <c r="N50" s="239"/>
      <c r="O50" s="239"/>
      <c r="P50" s="239"/>
      <c r="Q50" s="239"/>
      <c r="R50" s="239"/>
      <c r="S50" s="239">
        <v>328</v>
      </c>
      <c r="T50" s="239"/>
      <c r="U50" s="239"/>
      <c r="V50" s="239"/>
      <c r="W50" s="239"/>
      <c r="X50" s="239"/>
      <c r="Y50" s="239"/>
      <c r="Z50" s="239"/>
      <c r="AA50" s="239"/>
    </row>
    <row r="51" spans="1:27" ht="31.5">
      <c r="A51" s="29" t="s">
        <v>61</v>
      </c>
      <c r="B51" s="31">
        <v>3015</v>
      </c>
      <c r="C51" s="71"/>
      <c r="D51" s="71"/>
      <c r="E51" s="139">
        <f t="shared" si="1"/>
        <v>0</v>
      </c>
      <c r="F51" s="104" t="e">
        <f t="shared" si="7"/>
        <v>#DIV/0!</v>
      </c>
      <c r="G51" s="151"/>
      <c r="H51" s="148"/>
      <c r="I51" s="139">
        <f t="shared" si="8"/>
        <v>0</v>
      </c>
      <c r="J51" s="105" t="e">
        <f t="shared" si="9"/>
        <v>#DIV/0!</v>
      </c>
      <c r="K51" s="238"/>
      <c r="L51" s="239"/>
      <c r="M51" s="239"/>
      <c r="N51" s="239"/>
      <c r="O51" s="239"/>
      <c r="P51" s="239"/>
      <c r="Q51" s="239"/>
      <c r="R51" s="239"/>
      <c r="S51" s="239">
        <v>0</v>
      </c>
      <c r="T51" s="239"/>
      <c r="U51" s="239">
        <v>2300000</v>
      </c>
      <c r="V51" s="347"/>
      <c r="W51" s="239" t="s">
        <v>294</v>
      </c>
      <c r="X51" s="239"/>
      <c r="Y51" s="239"/>
      <c r="Z51" s="239"/>
      <c r="AA51" s="239"/>
    </row>
    <row r="52" spans="1:27" ht="18">
      <c r="A52" s="29" t="s">
        <v>17</v>
      </c>
      <c r="B52" s="31">
        <v>3016</v>
      </c>
      <c r="C52" s="71"/>
      <c r="D52" s="71"/>
      <c r="E52" s="139">
        <f t="shared" si="1"/>
        <v>0</v>
      </c>
      <c r="F52" s="104" t="e">
        <f t="shared" si="7"/>
        <v>#DIV/0!</v>
      </c>
      <c r="G52" s="151"/>
      <c r="H52" s="148"/>
      <c r="I52" s="139">
        <f t="shared" si="8"/>
        <v>0</v>
      </c>
      <c r="J52" s="105" t="e">
        <f t="shared" si="9"/>
        <v>#DIV/0!</v>
      </c>
      <c r="K52" s="238"/>
      <c r="L52" s="239"/>
      <c r="M52" s="239"/>
      <c r="N52" s="239"/>
      <c r="O52" s="239"/>
      <c r="P52" s="239"/>
      <c r="Q52" s="239"/>
      <c r="R52" s="239"/>
      <c r="S52" s="239">
        <v>0</v>
      </c>
      <c r="T52" s="239"/>
      <c r="U52" s="239"/>
      <c r="V52" s="239"/>
      <c r="W52" s="239"/>
      <c r="X52" s="239"/>
      <c r="Y52" s="239"/>
      <c r="Z52" s="239"/>
      <c r="AA52" s="239"/>
    </row>
    <row r="53" spans="1:22" ht="18">
      <c r="A53" s="402" t="s">
        <v>63</v>
      </c>
      <c r="B53" s="403"/>
      <c r="C53" s="403"/>
      <c r="D53" s="403"/>
      <c r="E53" s="403"/>
      <c r="F53" s="403"/>
      <c r="G53" s="403"/>
      <c r="H53" s="403"/>
      <c r="I53" s="403"/>
      <c r="J53" s="405"/>
      <c r="S53" s="8">
        <v>0</v>
      </c>
      <c r="V53" s="261">
        <f>SUM(V29:V52)</f>
        <v>68501550.38000001</v>
      </c>
    </row>
    <row r="54" spans="1:19" ht="18">
      <c r="A54" s="36" t="s">
        <v>64</v>
      </c>
      <c r="B54" s="88">
        <v>4010</v>
      </c>
      <c r="C54" s="153">
        <f>C55+C56+C57+C58</f>
        <v>7000</v>
      </c>
      <c r="D54" s="153">
        <f>D55+D56+D57+D58</f>
        <v>0</v>
      </c>
      <c r="E54" s="139">
        <f t="shared" si="1"/>
        <v>-7000</v>
      </c>
      <c r="F54" s="104">
        <f aca="true" t="shared" si="10" ref="F54:F63">(D54/C54)*100</f>
        <v>0</v>
      </c>
      <c r="G54" s="153">
        <f>G55+G56+G57+G58</f>
        <v>21000</v>
      </c>
      <c r="H54" s="153">
        <f>H55+H56+H57+H58</f>
        <v>0</v>
      </c>
      <c r="I54" s="139">
        <f aca="true" t="shared" si="11" ref="I54:I63">H54-G54</f>
        <v>-21000</v>
      </c>
      <c r="J54" s="105">
        <f aca="true" t="shared" si="12" ref="J54:J63">(H54/G54)*100</f>
        <v>0</v>
      </c>
      <c r="S54" s="8">
        <v>21000</v>
      </c>
    </row>
    <row r="55" spans="1:19" ht="18">
      <c r="A55" s="29" t="s">
        <v>65</v>
      </c>
      <c r="B55" s="30">
        <v>4011</v>
      </c>
      <c r="C55" s="71"/>
      <c r="D55" s="71"/>
      <c r="E55" s="139">
        <f t="shared" si="1"/>
        <v>0</v>
      </c>
      <c r="F55" s="104" t="e">
        <f t="shared" si="10"/>
        <v>#DIV/0!</v>
      </c>
      <c r="G55" s="151"/>
      <c r="H55" s="148"/>
      <c r="I55" s="139">
        <f t="shared" si="11"/>
        <v>0</v>
      </c>
      <c r="J55" s="105" t="e">
        <f t="shared" si="12"/>
        <v>#DIV/0!</v>
      </c>
      <c r="S55" s="8">
        <v>0</v>
      </c>
    </row>
    <row r="56" spans="1:19" ht="18">
      <c r="A56" s="29" t="s">
        <v>66</v>
      </c>
      <c r="B56" s="31">
        <v>4012</v>
      </c>
      <c r="C56" s="71"/>
      <c r="D56" s="71"/>
      <c r="E56" s="139">
        <f t="shared" si="1"/>
        <v>0</v>
      </c>
      <c r="F56" s="104" t="e">
        <f t="shared" si="10"/>
        <v>#DIV/0!</v>
      </c>
      <c r="G56" s="151"/>
      <c r="H56" s="148"/>
      <c r="I56" s="139">
        <f t="shared" si="11"/>
        <v>0</v>
      </c>
      <c r="J56" s="105" t="e">
        <f t="shared" si="12"/>
        <v>#DIV/0!</v>
      </c>
      <c r="S56" s="8">
        <v>0</v>
      </c>
    </row>
    <row r="57" spans="1:19" ht="18">
      <c r="A57" s="29" t="s">
        <v>67</v>
      </c>
      <c r="B57" s="31">
        <v>4013</v>
      </c>
      <c r="C57" s="71">
        <v>7000</v>
      </c>
      <c r="D57" s="71"/>
      <c r="E57" s="139">
        <f t="shared" si="1"/>
        <v>-7000</v>
      </c>
      <c r="F57" s="104">
        <f t="shared" si="10"/>
        <v>0</v>
      </c>
      <c r="G57" s="151">
        <f>7000+7000+7000</f>
        <v>21000</v>
      </c>
      <c r="H57" s="148"/>
      <c r="I57" s="139">
        <f t="shared" si="11"/>
        <v>-21000</v>
      </c>
      <c r="J57" s="105">
        <f t="shared" si="12"/>
        <v>0</v>
      </c>
      <c r="S57" s="8">
        <v>21000</v>
      </c>
    </row>
    <row r="58" spans="1:10" ht="18">
      <c r="A58" s="29" t="s">
        <v>68</v>
      </c>
      <c r="B58" s="31">
        <v>4020</v>
      </c>
      <c r="C58" s="71"/>
      <c r="D58" s="71"/>
      <c r="E58" s="139">
        <f t="shared" si="1"/>
        <v>0</v>
      </c>
      <c r="F58" s="104" t="e">
        <f t="shared" si="10"/>
        <v>#DIV/0!</v>
      </c>
      <c r="G58" s="151"/>
      <c r="H58" s="148"/>
      <c r="I58" s="139">
        <f t="shared" si="11"/>
        <v>0</v>
      </c>
      <c r="J58" s="105" t="e">
        <f t="shared" si="12"/>
        <v>#DIV/0!</v>
      </c>
    </row>
    <row r="59" spans="1:10" ht="18">
      <c r="A59" s="33" t="s">
        <v>69</v>
      </c>
      <c r="B59" s="34">
        <v>4030</v>
      </c>
      <c r="C59" s="70">
        <f>C60+C61+C62+C63</f>
        <v>0</v>
      </c>
      <c r="D59" s="70">
        <f>D60+D61+D62+D63</f>
        <v>0</v>
      </c>
      <c r="E59" s="139">
        <f t="shared" si="1"/>
        <v>0</v>
      </c>
      <c r="F59" s="104" t="e">
        <f t="shared" si="10"/>
        <v>#DIV/0!</v>
      </c>
      <c r="G59" s="70">
        <f>G60+G61+G62+G63</f>
        <v>0</v>
      </c>
      <c r="H59" s="70">
        <f>H60+H61+H62+H63</f>
        <v>0</v>
      </c>
      <c r="I59" s="139">
        <f t="shared" si="11"/>
        <v>0</v>
      </c>
      <c r="J59" s="105" t="e">
        <f t="shared" si="12"/>
        <v>#DIV/0!</v>
      </c>
    </row>
    <row r="60" spans="1:10" ht="18">
      <c r="A60" s="29" t="s">
        <v>65</v>
      </c>
      <c r="B60" s="31">
        <v>4031</v>
      </c>
      <c r="C60" s="71"/>
      <c r="D60" s="71"/>
      <c r="E60" s="139">
        <f t="shared" si="1"/>
        <v>0</v>
      </c>
      <c r="F60" s="104" t="e">
        <f t="shared" si="10"/>
        <v>#DIV/0!</v>
      </c>
      <c r="G60" s="151"/>
      <c r="H60" s="148"/>
      <c r="I60" s="139">
        <f t="shared" si="11"/>
        <v>0</v>
      </c>
      <c r="J60" s="105" t="e">
        <f t="shared" si="12"/>
        <v>#DIV/0!</v>
      </c>
    </row>
    <row r="61" spans="1:10" ht="18">
      <c r="A61" s="29" t="s">
        <v>66</v>
      </c>
      <c r="B61" s="31">
        <v>4032</v>
      </c>
      <c r="C61" s="71"/>
      <c r="D61" s="71"/>
      <c r="E61" s="139">
        <f t="shared" si="1"/>
        <v>0</v>
      </c>
      <c r="F61" s="104" t="e">
        <f t="shared" si="10"/>
        <v>#DIV/0!</v>
      </c>
      <c r="G61" s="151"/>
      <c r="H61" s="148"/>
      <c r="I61" s="139">
        <f t="shared" si="11"/>
        <v>0</v>
      </c>
      <c r="J61" s="105" t="e">
        <f t="shared" si="12"/>
        <v>#DIV/0!</v>
      </c>
    </row>
    <row r="62" spans="1:10" ht="18">
      <c r="A62" s="29" t="s">
        <v>67</v>
      </c>
      <c r="B62" s="31">
        <v>4033</v>
      </c>
      <c r="C62" s="71"/>
      <c r="D62" s="71"/>
      <c r="E62" s="139">
        <f t="shared" si="1"/>
        <v>0</v>
      </c>
      <c r="F62" s="104" t="e">
        <f t="shared" si="10"/>
        <v>#DIV/0!</v>
      </c>
      <c r="G62" s="151"/>
      <c r="H62" s="148"/>
      <c r="I62" s="139">
        <f t="shared" si="11"/>
        <v>0</v>
      </c>
      <c r="J62" s="105" t="e">
        <f t="shared" si="12"/>
        <v>#DIV/0!</v>
      </c>
    </row>
    <row r="63" spans="1:10" ht="18">
      <c r="A63" s="32" t="s">
        <v>70</v>
      </c>
      <c r="B63" s="31">
        <v>4040</v>
      </c>
      <c r="C63" s="71"/>
      <c r="D63" s="71"/>
      <c r="E63" s="139">
        <f t="shared" si="1"/>
        <v>0</v>
      </c>
      <c r="F63" s="104" t="e">
        <f t="shared" si="10"/>
        <v>#DIV/0!</v>
      </c>
      <c r="G63" s="151"/>
      <c r="H63" s="148"/>
      <c r="I63" s="139">
        <f t="shared" si="11"/>
        <v>0</v>
      </c>
      <c r="J63" s="105" t="e">
        <f t="shared" si="12"/>
        <v>#DIV/0!</v>
      </c>
    </row>
    <row r="64" spans="1:10" ht="18">
      <c r="A64" s="406" t="s">
        <v>141</v>
      </c>
      <c r="B64" s="407"/>
      <c r="C64" s="407"/>
      <c r="D64" s="407"/>
      <c r="E64" s="407"/>
      <c r="F64" s="407"/>
      <c r="G64" s="407"/>
      <c r="H64" s="407"/>
      <c r="I64" s="407"/>
      <c r="J64" s="408"/>
    </row>
    <row r="65" spans="1:11" ht="18">
      <c r="A65" s="264" t="s">
        <v>124</v>
      </c>
      <c r="B65" s="88">
        <v>5010</v>
      </c>
      <c r="C65" s="139">
        <f>C40-C41</f>
        <v>0</v>
      </c>
      <c r="D65" s="139">
        <f>D40-D41</f>
        <v>-9278924.959999993</v>
      </c>
      <c r="E65" s="139">
        <f t="shared" si="1"/>
        <v>-9278924.959999993</v>
      </c>
      <c r="F65" s="104" t="e">
        <f>(D65/C65)*100</f>
        <v>#DIV/0!</v>
      </c>
      <c r="G65" s="139">
        <f>G40-G41</f>
        <v>0</v>
      </c>
      <c r="H65" s="139">
        <f>H40-H41</f>
        <v>-13483307.330000013</v>
      </c>
      <c r="I65" s="139">
        <f>H65-G65</f>
        <v>-13483307.330000013</v>
      </c>
      <c r="J65" s="105" t="e">
        <f>(H65/G65)*100</f>
        <v>#DIV/0!</v>
      </c>
      <c r="K65" s="162" t="s">
        <v>206</v>
      </c>
    </row>
    <row r="66" spans="1:10" ht="18">
      <c r="A66" s="265" t="s">
        <v>125</v>
      </c>
      <c r="B66" s="26">
        <v>5011</v>
      </c>
      <c r="C66" s="139">
        <f>C65-C67</f>
        <v>0</v>
      </c>
      <c r="D66" s="139">
        <f>D65-D67</f>
        <v>0</v>
      </c>
      <c r="E66" s="139">
        <f t="shared" si="1"/>
        <v>0</v>
      </c>
      <c r="F66" s="104" t="e">
        <f>(D66/C66)*100</f>
        <v>#DIV/0!</v>
      </c>
      <c r="G66" s="139">
        <f>G65-G67</f>
        <v>0</v>
      </c>
      <c r="H66" s="139">
        <f>H65-H67</f>
        <v>0</v>
      </c>
      <c r="I66" s="139">
        <f>H66-G66</f>
        <v>0</v>
      </c>
      <c r="J66" s="105" t="e">
        <f>(H66/G66)*100</f>
        <v>#DIV/0!</v>
      </c>
    </row>
    <row r="67" spans="1:10" ht="18">
      <c r="A67" s="266" t="s">
        <v>126</v>
      </c>
      <c r="B67" s="26">
        <v>5012</v>
      </c>
      <c r="C67" s="139">
        <v>0</v>
      </c>
      <c r="D67" s="139">
        <v>-9278924.96</v>
      </c>
      <c r="E67" s="139"/>
      <c r="F67" s="104" t="e">
        <f>(D67/C67)*100</f>
        <v>#DIV/0!</v>
      </c>
      <c r="G67" s="139">
        <v>0</v>
      </c>
      <c r="H67" s="154">
        <v>-13483307.33</v>
      </c>
      <c r="I67" s="139">
        <f>H67-G67</f>
        <v>-13483307.33</v>
      </c>
      <c r="J67" s="105" t="e">
        <f>(H67/G67)*100</f>
        <v>#DIV/0!</v>
      </c>
    </row>
    <row r="68" spans="1:11" ht="18">
      <c r="A68" s="402" t="s">
        <v>142</v>
      </c>
      <c r="B68" s="403"/>
      <c r="C68" s="403"/>
      <c r="D68" s="403"/>
      <c r="E68" s="403"/>
      <c r="F68" s="403"/>
      <c r="G68" s="403"/>
      <c r="H68" s="403"/>
      <c r="I68" s="403"/>
      <c r="J68" s="404"/>
      <c r="K68" s="244" t="s">
        <v>277</v>
      </c>
    </row>
    <row r="69" spans="1:11" ht="18">
      <c r="A69" s="72" t="s">
        <v>58</v>
      </c>
      <c r="B69" s="88">
        <v>6010</v>
      </c>
      <c r="C69" s="139">
        <f>C70+C71+C72+C73+C74+C75</f>
        <v>6064459</v>
      </c>
      <c r="D69" s="139">
        <f>D70+D71+D72+D73+D74+D75</f>
        <v>6093660.64</v>
      </c>
      <c r="E69" s="139">
        <f aca="true" t="shared" si="13" ref="E69:E75">D69-C69</f>
        <v>29201.639999999665</v>
      </c>
      <c r="F69" s="104">
        <f aca="true" t="shared" si="14" ref="F69:F75">(D69/C69)*100</f>
        <v>100.48152094028502</v>
      </c>
      <c r="G69" s="139">
        <f>G70+G71+G72+G73+G74+G75</f>
        <v>20139925</v>
      </c>
      <c r="H69" s="139">
        <f>H70+H71+H72+H73+H74+H75</f>
        <v>19680421.299999997</v>
      </c>
      <c r="I69" s="139">
        <f aca="true" t="shared" si="15" ref="I69:I75">H69-G69</f>
        <v>-459503.700000003</v>
      </c>
      <c r="J69" s="105">
        <f aca="true" t="shared" si="16" ref="J69:J75">(H69/G69)*100</f>
        <v>97.71844383730325</v>
      </c>
      <c r="K69" s="245"/>
    </row>
    <row r="70" spans="1:11" ht="18">
      <c r="A70" s="47" t="s">
        <v>52</v>
      </c>
      <c r="B70" s="30">
        <v>6011</v>
      </c>
      <c r="C70" s="69"/>
      <c r="D70" s="69"/>
      <c r="E70" s="139">
        <f t="shared" si="13"/>
        <v>0</v>
      </c>
      <c r="F70" s="104" t="e">
        <f t="shared" si="14"/>
        <v>#DIV/0!</v>
      </c>
      <c r="G70" s="107"/>
      <c r="H70" s="107"/>
      <c r="I70" s="139">
        <f t="shared" si="15"/>
        <v>0</v>
      </c>
      <c r="J70" s="105" t="e">
        <f t="shared" si="16"/>
        <v>#DIV/0!</v>
      </c>
      <c r="K70" s="245"/>
    </row>
    <row r="71" spans="1:22" ht="18">
      <c r="A71" s="35" t="s">
        <v>53</v>
      </c>
      <c r="B71" s="30">
        <v>6012</v>
      </c>
      <c r="C71" s="71">
        <f>ROUND(C29*0.015,0)</f>
        <v>219197</v>
      </c>
      <c r="D71" s="71">
        <v>219416.62</v>
      </c>
      <c r="E71" s="139">
        <f t="shared" si="13"/>
        <v>219.61999999999534</v>
      </c>
      <c r="F71" s="104">
        <f t="shared" si="14"/>
        <v>100.10019297709367</v>
      </c>
      <c r="G71" s="71">
        <f>280297+243922+236861</f>
        <v>761080</v>
      </c>
      <c r="H71" s="71">
        <f>280297+243921.39+219416.62</f>
        <v>743635.01</v>
      </c>
      <c r="I71" s="139">
        <f t="shared" si="15"/>
        <v>-17444.98999999999</v>
      </c>
      <c r="J71" s="105">
        <f t="shared" si="16"/>
        <v>97.70786382509066</v>
      </c>
      <c r="K71" s="246">
        <v>243921.39</v>
      </c>
      <c r="L71" s="235">
        <f>C71-K71</f>
        <v>-24724.390000000014</v>
      </c>
      <c r="M71" s="237" t="s">
        <v>274</v>
      </c>
      <c r="U71" s="249">
        <f>ROUND(D29*0.015,2)</f>
        <v>219197.33</v>
      </c>
      <c r="V71" s="366">
        <f>ROUND(H29*0.015,2)</f>
        <v>707411.64</v>
      </c>
    </row>
    <row r="72" spans="1:22" ht="18">
      <c r="A72" s="35" t="s">
        <v>54</v>
      </c>
      <c r="B72" s="30">
        <v>6013</v>
      </c>
      <c r="C72" s="71"/>
      <c r="D72" s="71"/>
      <c r="E72" s="139">
        <f t="shared" si="13"/>
        <v>0</v>
      </c>
      <c r="F72" s="104" t="e">
        <f t="shared" si="14"/>
        <v>#DIV/0!</v>
      </c>
      <c r="G72" s="151"/>
      <c r="H72" s="151"/>
      <c r="I72" s="139">
        <f t="shared" si="15"/>
        <v>0</v>
      </c>
      <c r="J72" s="105" t="e">
        <f t="shared" si="16"/>
        <v>#DIV/0!</v>
      </c>
      <c r="K72" s="247"/>
      <c r="U72" s="249"/>
      <c r="V72" s="366"/>
    </row>
    <row r="73" spans="1:22" ht="18">
      <c r="A73" s="35" t="s">
        <v>55</v>
      </c>
      <c r="B73" s="30">
        <v>6014</v>
      </c>
      <c r="C73" s="71">
        <f>ROUND(C29*0.18,0)</f>
        <v>2630368</v>
      </c>
      <c r="D73" s="71">
        <v>2617747.51</v>
      </c>
      <c r="E73" s="139">
        <f t="shared" si="13"/>
        <v>-12620.490000000224</v>
      </c>
      <c r="F73" s="104">
        <f t="shared" si="14"/>
        <v>99.52020059550601</v>
      </c>
      <c r="G73" s="71">
        <f>2911753+2906358+2842336</f>
        <v>8660447</v>
      </c>
      <c r="H73" s="71">
        <f>2911753+2906357.41+2617747.51</f>
        <v>8435857.92</v>
      </c>
      <c r="I73" s="139">
        <f t="shared" si="15"/>
        <v>-224589.08000000007</v>
      </c>
      <c r="J73" s="105">
        <f t="shared" si="16"/>
        <v>97.40672646573555</v>
      </c>
      <c r="K73" s="246">
        <v>2906357.41</v>
      </c>
      <c r="L73" s="235">
        <f>C73-K73</f>
        <v>-275989.41000000015</v>
      </c>
      <c r="M73" s="237" t="s">
        <v>274</v>
      </c>
      <c r="U73" s="249">
        <f>ROUND(D29*0.18,2)</f>
        <v>2630367.97</v>
      </c>
      <c r="V73" s="366">
        <f>ROUND(H29*0.18,2)</f>
        <v>8488939.7</v>
      </c>
    </row>
    <row r="74" spans="1:22" ht="31.5">
      <c r="A74" s="99" t="s">
        <v>56</v>
      </c>
      <c r="B74" s="30">
        <v>6015</v>
      </c>
      <c r="C74" s="157">
        <f>ROUND(C29*0.22,0)</f>
        <v>3214894</v>
      </c>
      <c r="D74" s="157">
        <v>3256496.51</v>
      </c>
      <c r="E74" s="139">
        <f t="shared" si="13"/>
        <v>41602.50999999978</v>
      </c>
      <c r="F74" s="104">
        <f t="shared" si="14"/>
        <v>101.29405541831238</v>
      </c>
      <c r="G74" s="157">
        <f>3597275+3647157+3473966</f>
        <v>10718398</v>
      </c>
      <c r="H74" s="157">
        <f>3597275+3647156.86+3256496.51</f>
        <v>10500928.37</v>
      </c>
      <c r="I74" s="139">
        <f t="shared" si="15"/>
        <v>-217469.63000000082</v>
      </c>
      <c r="J74" s="105">
        <f t="shared" si="16"/>
        <v>97.97106218671857</v>
      </c>
      <c r="K74" s="246">
        <v>3647156.86</v>
      </c>
      <c r="L74" s="235">
        <f>C74-K74</f>
        <v>-432262.85999999987</v>
      </c>
      <c r="M74" s="237" t="s">
        <v>274</v>
      </c>
      <c r="U74" s="249">
        <f>ROUND(D29*0.22,2)</f>
        <v>3214894.18</v>
      </c>
      <c r="V74" s="366">
        <f>ROUND(H29*0.22,2)</f>
        <v>10375370.74</v>
      </c>
    </row>
    <row r="75" spans="1:21" ht="18">
      <c r="A75" s="37" t="s">
        <v>57</v>
      </c>
      <c r="B75" s="30">
        <v>6016</v>
      </c>
      <c r="C75" s="147"/>
      <c r="D75" s="147"/>
      <c r="E75" s="139">
        <f t="shared" si="13"/>
        <v>0</v>
      </c>
      <c r="F75" s="104" t="e">
        <f t="shared" si="14"/>
        <v>#DIV/0!</v>
      </c>
      <c r="G75" s="147"/>
      <c r="H75" s="148"/>
      <c r="I75" s="139">
        <f t="shared" si="15"/>
        <v>0</v>
      </c>
      <c r="J75" s="105" t="e">
        <f t="shared" si="16"/>
        <v>#DIV/0!</v>
      </c>
      <c r="K75" s="248"/>
      <c r="U75" s="249"/>
    </row>
    <row r="76" spans="1:21" ht="18">
      <c r="A76" s="398" t="s">
        <v>143</v>
      </c>
      <c r="B76" s="399"/>
      <c r="C76" s="399"/>
      <c r="D76" s="399"/>
      <c r="E76" s="399"/>
      <c r="F76" s="399"/>
      <c r="G76" s="399"/>
      <c r="H76" s="399"/>
      <c r="I76" s="399"/>
      <c r="J76" s="400"/>
      <c r="U76" s="249"/>
    </row>
    <row r="77" spans="1:10" ht="18">
      <c r="A77" s="50" t="s">
        <v>114</v>
      </c>
      <c r="B77" s="30">
        <v>7010</v>
      </c>
      <c r="C77" s="39">
        <v>645</v>
      </c>
      <c r="D77" s="39">
        <v>645</v>
      </c>
      <c r="E77" s="39"/>
      <c r="F77" s="39"/>
      <c r="G77" s="39">
        <v>645</v>
      </c>
      <c r="H77" s="39">
        <v>645</v>
      </c>
      <c r="I77" s="39"/>
      <c r="J77" s="39"/>
    </row>
    <row r="78" spans="1:11" ht="18">
      <c r="A78" s="50"/>
      <c r="B78" s="30"/>
      <c r="C78" s="39"/>
      <c r="D78" s="39"/>
      <c r="E78" s="39"/>
      <c r="F78" s="39"/>
      <c r="G78" s="39" t="s">
        <v>147</v>
      </c>
      <c r="H78" s="39" t="s">
        <v>147</v>
      </c>
      <c r="I78" s="39"/>
      <c r="J78" s="39"/>
      <c r="K78" s="159" t="s">
        <v>211</v>
      </c>
    </row>
    <row r="79" spans="1:14" ht="18">
      <c r="A79" s="50" t="s">
        <v>62</v>
      </c>
      <c r="B79" s="31">
        <v>7011</v>
      </c>
      <c r="C79" s="71">
        <v>65999187</v>
      </c>
      <c r="D79" s="212">
        <v>65999187</v>
      </c>
      <c r="E79" s="71"/>
      <c r="F79" s="71"/>
      <c r="G79" s="71">
        <v>65999187</v>
      </c>
      <c r="H79" s="212">
        <v>65999187</v>
      </c>
      <c r="I79" s="212"/>
      <c r="J79" s="212"/>
      <c r="K79" s="57" t="s">
        <v>224</v>
      </c>
      <c r="L79" s="57"/>
      <c r="M79" s="57"/>
      <c r="N79" s="8" t="s">
        <v>225</v>
      </c>
    </row>
    <row r="80" spans="1:11" ht="18">
      <c r="A80" s="50" t="s">
        <v>115</v>
      </c>
      <c r="B80" s="31">
        <v>7012</v>
      </c>
      <c r="C80" s="71"/>
      <c r="D80" s="71"/>
      <c r="E80" s="71"/>
      <c r="F80" s="71"/>
      <c r="G80" s="151"/>
      <c r="H80" s="148"/>
      <c r="I80" s="148"/>
      <c r="J80" s="148"/>
      <c r="K80" s="8" t="s">
        <v>276</v>
      </c>
    </row>
    <row r="81" spans="1:10" ht="18">
      <c r="A81" s="50" t="s">
        <v>116</v>
      </c>
      <c r="B81" s="31">
        <v>7013</v>
      </c>
      <c r="C81" s="71"/>
      <c r="D81" s="71"/>
      <c r="E81" s="71"/>
      <c r="F81" s="71"/>
      <c r="G81" s="151"/>
      <c r="H81" s="148"/>
      <c r="I81" s="148"/>
      <c r="J81" s="148"/>
    </row>
    <row r="82" spans="1:10" ht="18">
      <c r="A82" s="50" t="s">
        <v>117</v>
      </c>
      <c r="B82" s="53">
        <v>7016</v>
      </c>
      <c r="C82" s="157"/>
      <c r="D82" s="157"/>
      <c r="E82" s="157"/>
      <c r="F82" s="157"/>
      <c r="G82" s="142"/>
      <c r="H82" s="143"/>
      <c r="I82" s="143"/>
      <c r="J82" s="143"/>
    </row>
    <row r="83" spans="1:10" ht="18">
      <c r="A83" s="50" t="s">
        <v>118</v>
      </c>
      <c r="B83" s="26">
        <v>7020</v>
      </c>
      <c r="C83" s="139"/>
      <c r="D83" s="139"/>
      <c r="E83" s="139"/>
      <c r="F83" s="139"/>
      <c r="G83" s="139"/>
      <c r="H83" s="154"/>
      <c r="I83" s="154"/>
      <c r="J83" s="154"/>
    </row>
    <row r="84" spans="1:10" ht="18">
      <c r="A84" s="51"/>
      <c r="B84" s="48"/>
      <c r="C84" s="49"/>
      <c r="D84" s="49"/>
      <c r="E84" s="49"/>
      <c r="F84" s="49"/>
      <c r="G84" s="49"/>
      <c r="H84" s="52"/>
      <c r="I84" s="52"/>
      <c r="J84" s="52"/>
    </row>
    <row r="85" spans="1:10" ht="18">
      <c r="A85" s="41" t="s">
        <v>18</v>
      </c>
      <c r="B85" s="42"/>
      <c r="C85" s="64"/>
      <c r="D85" s="42"/>
      <c r="E85" s="43"/>
      <c r="F85" s="409" t="s">
        <v>287</v>
      </c>
      <c r="G85" s="409"/>
      <c r="H85" s="44"/>
      <c r="I85" s="45"/>
      <c r="J85" s="45"/>
    </row>
    <row r="86" spans="1:10" ht="18">
      <c r="A86" s="41"/>
      <c r="B86" s="42"/>
      <c r="C86" s="257" t="s">
        <v>19</v>
      </c>
      <c r="D86" s="257"/>
      <c r="E86" s="401" t="s">
        <v>20</v>
      </c>
      <c r="F86" s="401"/>
      <c r="G86" s="401"/>
      <c r="H86" s="45"/>
      <c r="I86" s="45"/>
      <c r="J86" s="45"/>
    </row>
    <row r="87" spans="1:10" ht="18">
      <c r="A87" s="41" t="s">
        <v>21</v>
      </c>
      <c r="B87" s="42"/>
      <c r="C87" s="64"/>
      <c r="D87" s="42"/>
      <c r="E87" s="42"/>
      <c r="F87" s="409" t="s">
        <v>305</v>
      </c>
      <c r="G87" s="409"/>
      <c r="H87" s="45"/>
      <c r="I87" s="45"/>
      <c r="J87" s="45"/>
    </row>
    <row r="88" spans="1:10" ht="18">
      <c r="A88" s="41"/>
      <c r="B88" s="42"/>
      <c r="C88" s="257" t="s">
        <v>19</v>
      </c>
      <c r="D88" s="257"/>
      <c r="E88" s="401" t="s">
        <v>20</v>
      </c>
      <c r="F88" s="401"/>
      <c r="G88" s="401"/>
      <c r="H88" s="45"/>
      <c r="I88" s="45"/>
      <c r="J88" s="45"/>
    </row>
    <row r="89" spans="1:10" ht="18">
      <c r="A89" s="277"/>
      <c r="B89" s="277"/>
      <c r="C89" s="277"/>
      <c r="D89" s="277"/>
      <c r="E89" s="277"/>
      <c r="F89" s="277"/>
      <c r="G89" s="277"/>
      <c r="H89" s="45"/>
      <c r="I89" s="45"/>
      <c r="J89" s="45"/>
    </row>
    <row r="90" spans="1:10" ht="18">
      <c r="A90" s="277"/>
      <c r="B90" s="277"/>
      <c r="C90" s="277"/>
      <c r="D90" s="277"/>
      <c r="E90" s="277"/>
      <c r="F90" s="277"/>
      <c r="G90" s="277"/>
      <c r="H90" s="45"/>
      <c r="I90" s="45"/>
      <c r="J90" s="45"/>
    </row>
    <row r="91" spans="1:10" ht="18">
      <c r="A91" s="277"/>
      <c r="B91" s="277"/>
      <c r="C91" s="277"/>
      <c r="D91" s="277"/>
      <c r="E91" s="277"/>
      <c r="F91" s="277"/>
      <c r="G91" s="277"/>
      <c r="H91" s="45"/>
      <c r="I91" s="45"/>
      <c r="J91" s="45"/>
    </row>
    <row r="92" spans="1:10" ht="18">
      <c r="A92" s="278"/>
      <c r="B92" s="278"/>
      <c r="C92" s="45"/>
      <c r="D92" s="45"/>
      <c r="E92" s="45"/>
      <c r="F92" s="45"/>
      <c r="G92" s="45"/>
      <c r="H92" s="45"/>
      <c r="I92" s="45"/>
      <c r="J92" s="45"/>
    </row>
    <row r="93" spans="1:10" ht="18">
      <c r="A93" s="278"/>
      <c r="B93" s="278"/>
      <c r="C93" s="45"/>
      <c r="D93" s="45"/>
      <c r="E93" s="45"/>
      <c r="F93" s="45"/>
      <c r="G93" s="45"/>
      <c r="H93" s="45"/>
      <c r="I93" s="45"/>
      <c r="J93" s="45"/>
    </row>
    <row r="94" spans="1:10" ht="18">
      <c r="A94" s="278"/>
      <c r="B94" s="278"/>
      <c r="C94" s="45"/>
      <c r="D94" s="45"/>
      <c r="E94" s="45"/>
      <c r="F94" s="45"/>
      <c r="G94" s="45"/>
      <c r="H94" s="45"/>
      <c r="I94" s="45"/>
      <c r="J94" s="45"/>
    </row>
    <row r="95" spans="1:10" ht="18">
      <c r="A95" s="278"/>
      <c r="B95" s="278"/>
      <c r="C95" s="45"/>
      <c r="D95" s="45"/>
      <c r="E95" s="45"/>
      <c r="F95" s="45"/>
      <c r="G95" s="45"/>
      <c r="H95" s="45"/>
      <c r="I95" s="45"/>
      <c r="J95" s="45"/>
    </row>
    <row r="96" spans="1:10" ht="18">
      <c r="A96" s="278"/>
      <c r="B96" s="278"/>
      <c r="C96" s="45"/>
      <c r="D96" s="45"/>
      <c r="E96" s="45"/>
      <c r="F96" s="45"/>
      <c r="G96" s="45"/>
      <c r="H96" s="45"/>
      <c r="I96" s="45"/>
      <c r="J96" s="45"/>
    </row>
    <row r="97" spans="1:10" ht="18">
      <c r="A97" s="278"/>
      <c r="B97" s="278"/>
      <c r="C97" s="45"/>
      <c r="D97" s="45"/>
      <c r="E97" s="45"/>
      <c r="F97" s="45"/>
      <c r="G97" s="45"/>
      <c r="H97" s="45"/>
      <c r="I97" s="45"/>
      <c r="J97" s="45"/>
    </row>
    <row r="98" spans="1:10" ht="18">
      <c r="A98" s="278"/>
      <c r="B98" s="278"/>
      <c r="C98" s="45"/>
      <c r="D98" s="45"/>
      <c r="E98" s="45"/>
      <c r="F98" s="45"/>
      <c r="G98" s="45"/>
      <c r="H98" s="45"/>
      <c r="I98" s="45"/>
      <c r="J98" s="45"/>
    </row>
    <row r="99" spans="1:10" ht="18">
      <c r="A99" s="278"/>
      <c r="B99" s="278"/>
      <c r="C99" s="45"/>
      <c r="D99" s="45"/>
      <c r="E99" s="45"/>
      <c r="F99" s="45"/>
      <c r="G99" s="45"/>
      <c r="H99" s="45"/>
      <c r="I99" s="45"/>
      <c r="J99" s="45"/>
    </row>
    <row r="100" spans="1:10" ht="18">
      <c r="A100" s="278"/>
      <c r="B100" s="278"/>
      <c r="C100" s="45"/>
      <c r="D100" s="45"/>
      <c r="E100" s="45"/>
      <c r="F100" s="45"/>
      <c r="G100" s="45"/>
      <c r="H100" s="45"/>
      <c r="I100" s="45"/>
      <c r="J100" s="45"/>
    </row>
    <row r="101" spans="1:10" ht="18">
      <c r="A101" s="278"/>
      <c r="B101" s="278"/>
      <c r="C101" s="45"/>
      <c r="D101" s="45"/>
      <c r="E101" s="45"/>
      <c r="F101" s="45"/>
      <c r="G101" s="45"/>
      <c r="H101" s="45"/>
      <c r="I101" s="45"/>
      <c r="J101" s="45"/>
    </row>
    <row r="102" spans="1:10" ht="18">
      <c r="A102" s="278"/>
      <c r="B102" s="278"/>
      <c r="C102" s="45"/>
      <c r="D102" s="45"/>
      <c r="E102" s="45"/>
      <c r="F102" s="45"/>
      <c r="G102" s="45"/>
      <c r="H102" s="45"/>
      <c r="I102" s="45"/>
      <c r="J102" s="45"/>
    </row>
    <row r="103" spans="1:10" ht="18">
      <c r="A103" s="278"/>
      <c r="B103" s="278"/>
      <c r="C103" s="45"/>
      <c r="D103" s="45"/>
      <c r="E103" s="45"/>
      <c r="F103" s="45"/>
      <c r="G103" s="45"/>
      <c r="H103" s="45"/>
      <c r="I103" s="45"/>
      <c r="J103" s="45"/>
    </row>
    <row r="104" spans="1:10" ht="18">
      <c r="A104" s="278"/>
      <c r="B104" s="278"/>
      <c r="C104" s="45"/>
      <c r="D104" s="45"/>
      <c r="E104" s="45"/>
      <c r="F104" s="45"/>
      <c r="G104" s="45"/>
      <c r="H104" s="45"/>
      <c r="I104" s="45"/>
      <c r="J104" s="45"/>
    </row>
    <row r="105" spans="1:10" ht="18">
      <c r="A105" s="278"/>
      <c r="B105" s="278"/>
      <c r="C105" s="45"/>
      <c r="D105" s="45"/>
      <c r="E105" s="45"/>
      <c r="F105" s="45"/>
      <c r="G105" s="45"/>
      <c r="H105" s="45"/>
      <c r="I105" s="45"/>
      <c r="J105" s="45"/>
    </row>
    <row r="106" spans="1:10" ht="18">
      <c r="A106" s="278"/>
      <c r="B106" s="278"/>
      <c r="C106" s="45"/>
      <c r="D106" s="45"/>
      <c r="E106" s="45"/>
      <c r="F106" s="45"/>
      <c r="G106" s="45"/>
      <c r="H106" s="45"/>
      <c r="I106" s="45"/>
      <c r="J106" s="45"/>
    </row>
    <row r="107" spans="1:10" ht="18">
      <c r="A107" s="278"/>
      <c r="B107" s="278"/>
      <c r="C107" s="45"/>
      <c r="D107" s="45"/>
      <c r="E107" s="45"/>
      <c r="F107" s="45"/>
      <c r="G107" s="45"/>
      <c r="H107" s="45"/>
      <c r="I107" s="45"/>
      <c r="J107" s="45"/>
    </row>
    <row r="108" spans="1:10" ht="18">
      <c r="A108" s="278"/>
      <c r="B108" s="278"/>
      <c r="C108" s="45"/>
      <c r="D108" s="45"/>
      <c r="E108" s="45"/>
      <c r="F108" s="45"/>
      <c r="G108" s="45"/>
      <c r="H108" s="45"/>
      <c r="I108" s="45"/>
      <c r="J108" s="45"/>
    </row>
    <row r="109" spans="1:10" ht="18">
      <c r="A109" s="278"/>
      <c r="B109" s="278"/>
      <c r="C109" s="45"/>
      <c r="D109" s="45"/>
      <c r="E109" s="45"/>
      <c r="F109" s="45"/>
      <c r="G109" s="45"/>
      <c r="H109" s="45"/>
      <c r="I109" s="45"/>
      <c r="J109" s="45"/>
    </row>
    <row r="110" spans="1:10" ht="18">
      <c r="A110" s="278"/>
      <c r="B110" s="278"/>
      <c r="C110" s="45"/>
      <c r="D110" s="45"/>
      <c r="E110" s="45"/>
      <c r="F110" s="45"/>
      <c r="G110" s="45"/>
      <c r="H110" s="45"/>
      <c r="I110" s="45"/>
      <c r="J110" s="45"/>
    </row>
    <row r="111" spans="1:10" ht="18">
      <c r="A111" s="278"/>
      <c r="B111" s="278"/>
      <c r="C111" s="45"/>
      <c r="D111" s="45"/>
      <c r="E111" s="45"/>
      <c r="F111" s="45"/>
      <c r="G111" s="45"/>
      <c r="H111" s="45"/>
      <c r="I111" s="45"/>
      <c r="J111" s="45"/>
    </row>
    <row r="112" spans="1:10" ht="18">
      <c r="A112" s="278"/>
      <c r="B112" s="278"/>
      <c r="C112" s="45"/>
      <c r="D112" s="45"/>
      <c r="E112" s="45"/>
      <c r="F112" s="45"/>
      <c r="G112" s="45"/>
      <c r="H112" s="45"/>
      <c r="I112" s="45"/>
      <c r="J112" s="45"/>
    </row>
    <row r="113" spans="1:10" ht="18">
      <c r="A113" s="278"/>
      <c r="B113" s="278"/>
      <c r="C113" s="45"/>
      <c r="D113" s="45"/>
      <c r="E113" s="45"/>
      <c r="F113" s="45"/>
      <c r="G113" s="45"/>
      <c r="H113" s="45"/>
      <c r="I113" s="45"/>
      <c r="J113" s="45"/>
    </row>
    <row r="114" spans="1:10" ht="18">
      <c r="A114" s="278"/>
      <c r="B114" s="278"/>
      <c r="C114" s="45"/>
      <c r="D114" s="45"/>
      <c r="E114" s="45"/>
      <c r="F114" s="45"/>
      <c r="G114" s="45"/>
      <c r="H114" s="45"/>
      <c r="I114" s="45"/>
      <c r="J114" s="45"/>
    </row>
    <row r="115" spans="1:10" ht="18">
      <c r="A115" s="278"/>
      <c r="B115" s="278"/>
      <c r="C115" s="45"/>
      <c r="D115" s="45"/>
      <c r="E115" s="45"/>
      <c r="F115" s="45"/>
      <c r="G115" s="45"/>
      <c r="H115" s="45"/>
      <c r="I115" s="45"/>
      <c r="J115" s="45"/>
    </row>
    <row r="116" spans="1:10" ht="18">
      <c r="A116" s="278"/>
      <c r="B116" s="278"/>
      <c r="C116" s="45"/>
      <c r="D116" s="45"/>
      <c r="E116" s="45"/>
      <c r="F116" s="45"/>
      <c r="G116" s="45"/>
      <c r="H116" s="45"/>
      <c r="I116" s="45"/>
      <c r="J116" s="45"/>
    </row>
    <row r="117" spans="1:10" ht="18">
      <c r="A117" s="278"/>
      <c r="B117" s="278"/>
      <c r="C117" s="45"/>
      <c r="D117" s="45"/>
      <c r="E117" s="45"/>
      <c r="F117" s="45"/>
      <c r="G117" s="45"/>
      <c r="H117" s="45"/>
      <c r="I117" s="45"/>
      <c r="J117" s="45"/>
    </row>
    <row r="118" spans="1:10" ht="18">
      <c r="A118" s="278"/>
      <c r="B118" s="278"/>
      <c r="C118" s="45"/>
      <c r="D118" s="45"/>
      <c r="E118" s="45"/>
      <c r="F118" s="45"/>
      <c r="G118" s="45"/>
      <c r="H118" s="45"/>
      <c r="I118" s="45"/>
      <c r="J118" s="45"/>
    </row>
    <row r="119" spans="1:10" ht="18">
      <c r="A119" s="278"/>
      <c r="B119" s="278"/>
      <c r="C119" s="45"/>
      <c r="D119" s="45"/>
      <c r="E119" s="45"/>
      <c r="F119" s="45"/>
      <c r="G119" s="45"/>
      <c r="H119" s="45"/>
      <c r="I119" s="45"/>
      <c r="J119" s="45"/>
    </row>
    <row r="120" spans="1:10" ht="18">
      <c r="A120" s="278"/>
      <c r="B120" s="278"/>
      <c r="C120" s="45"/>
      <c r="D120" s="45"/>
      <c r="E120" s="45"/>
      <c r="F120" s="45"/>
      <c r="G120" s="45"/>
      <c r="H120" s="45"/>
      <c r="I120" s="45"/>
      <c r="J120" s="45"/>
    </row>
    <row r="121" spans="1:10" ht="18">
      <c r="A121" s="278"/>
      <c r="B121" s="278"/>
      <c r="C121" s="45"/>
      <c r="D121" s="45"/>
      <c r="E121" s="45"/>
      <c r="F121" s="45"/>
      <c r="G121" s="45"/>
      <c r="H121" s="45"/>
      <c r="I121" s="45"/>
      <c r="J121" s="45"/>
    </row>
    <row r="122" spans="1:10" ht="18">
      <c r="A122" s="278"/>
      <c r="B122" s="278"/>
      <c r="C122" s="45"/>
      <c r="D122" s="45"/>
      <c r="E122" s="45"/>
      <c r="F122" s="45"/>
      <c r="G122" s="45"/>
      <c r="H122" s="45"/>
      <c r="I122" s="45"/>
      <c r="J122" s="45"/>
    </row>
    <row r="123" spans="1:10" ht="18">
      <c r="A123" s="278"/>
      <c r="B123" s="278"/>
      <c r="C123" s="45"/>
      <c r="D123" s="45"/>
      <c r="E123" s="45"/>
      <c r="F123" s="45"/>
      <c r="G123" s="45"/>
      <c r="H123" s="45"/>
      <c r="I123" s="45"/>
      <c r="J123" s="45"/>
    </row>
    <row r="124" spans="1:10" ht="18">
      <c r="A124" s="278"/>
      <c r="B124" s="278"/>
      <c r="C124" s="45"/>
      <c r="D124" s="45"/>
      <c r="E124" s="45"/>
      <c r="F124" s="45"/>
      <c r="G124" s="45"/>
      <c r="H124" s="45"/>
      <c r="I124" s="45"/>
      <c r="J124" s="45"/>
    </row>
    <row r="125" spans="1:10" ht="18">
      <c r="A125" s="278"/>
      <c r="B125" s="278"/>
      <c r="C125" s="45"/>
      <c r="D125" s="45"/>
      <c r="E125" s="45"/>
      <c r="F125" s="45"/>
      <c r="G125" s="45"/>
      <c r="H125" s="45"/>
      <c r="I125" s="45"/>
      <c r="J125" s="45"/>
    </row>
    <row r="126" spans="1:10" ht="18">
      <c r="A126" s="278"/>
      <c r="B126" s="278"/>
      <c r="C126" s="45"/>
      <c r="D126" s="45"/>
      <c r="E126" s="45"/>
      <c r="F126" s="45"/>
      <c r="G126" s="45"/>
      <c r="H126" s="45"/>
      <c r="I126" s="45"/>
      <c r="J126" s="45"/>
    </row>
    <row r="127" spans="1:10" ht="18">
      <c r="A127" s="278"/>
      <c r="B127" s="278"/>
      <c r="C127" s="45"/>
      <c r="D127" s="45"/>
      <c r="E127" s="45"/>
      <c r="F127" s="45"/>
      <c r="G127" s="45"/>
      <c r="H127" s="45"/>
      <c r="I127" s="45"/>
      <c r="J127" s="45"/>
    </row>
    <row r="128" spans="1:10" ht="18">
      <c r="A128" s="278"/>
      <c r="B128" s="278"/>
      <c r="C128" s="45"/>
      <c r="D128" s="45"/>
      <c r="E128" s="45"/>
      <c r="F128" s="45"/>
      <c r="G128" s="45"/>
      <c r="H128" s="45"/>
      <c r="I128" s="45"/>
      <c r="J128" s="45"/>
    </row>
    <row r="129" spans="1:10" ht="18">
      <c r="A129" s="278"/>
      <c r="B129" s="278"/>
      <c r="C129" s="45"/>
      <c r="D129" s="45"/>
      <c r="E129" s="45"/>
      <c r="F129" s="45"/>
      <c r="G129" s="45"/>
      <c r="H129" s="45"/>
      <c r="I129" s="45"/>
      <c r="J129" s="45"/>
    </row>
    <row r="130" spans="1:10" ht="18">
      <c r="A130" s="278"/>
      <c r="B130" s="278"/>
      <c r="C130" s="45"/>
      <c r="D130" s="45"/>
      <c r="E130" s="45"/>
      <c r="F130" s="45"/>
      <c r="G130" s="45"/>
      <c r="H130" s="45"/>
      <c r="I130" s="45"/>
      <c r="J130" s="45"/>
    </row>
    <row r="131" spans="1:10" ht="18">
      <c r="A131" s="278"/>
      <c r="B131" s="278"/>
      <c r="C131" s="45"/>
      <c r="D131" s="45"/>
      <c r="E131" s="45"/>
      <c r="F131" s="45"/>
      <c r="G131" s="45"/>
      <c r="H131" s="45"/>
      <c r="I131" s="45"/>
      <c r="J131" s="45"/>
    </row>
    <row r="132" spans="1:10" ht="18">
      <c r="A132" s="278"/>
      <c r="B132" s="278"/>
      <c r="C132" s="45"/>
      <c r="D132" s="45"/>
      <c r="E132" s="45"/>
      <c r="F132" s="45"/>
      <c r="G132" s="45"/>
      <c r="H132" s="45"/>
      <c r="I132" s="45"/>
      <c r="J132" s="45"/>
    </row>
    <row r="133" spans="1:10" ht="18">
      <c r="A133" s="278"/>
      <c r="B133" s="278"/>
      <c r="C133" s="45"/>
      <c r="D133" s="45"/>
      <c r="E133" s="45"/>
      <c r="F133" s="45"/>
      <c r="G133" s="45"/>
      <c r="H133" s="45"/>
      <c r="I133" s="45"/>
      <c r="J133" s="45"/>
    </row>
    <row r="134" spans="1:10" ht="18">
      <c r="A134" s="278"/>
      <c r="B134" s="278"/>
      <c r="C134" s="45"/>
      <c r="D134" s="45"/>
      <c r="E134" s="45"/>
      <c r="F134" s="45"/>
      <c r="G134" s="45"/>
      <c r="H134" s="45"/>
      <c r="I134" s="45"/>
      <c r="J134" s="45"/>
    </row>
    <row r="135" spans="1:10" ht="18">
      <c r="A135" s="278"/>
      <c r="B135" s="278"/>
      <c r="C135" s="45"/>
      <c r="D135" s="45"/>
      <c r="E135" s="45"/>
      <c r="F135" s="45"/>
      <c r="G135" s="45"/>
      <c r="H135" s="45"/>
      <c r="I135" s="45"/>
      <c r="J135" s="45"/>
    </row>
    <row r="136" spans="1:10" ht="18">
      <c r="A136" s="278"/>
      <c r="B136" s="278"/>
      <c r="C136" s="45"/>
      <c r="D136" s="45"/>
      <c r="E136" s="45"/>
      <c r="F136" s="45"/>
      <c r="G136" s="45"/>
      <c r="H136" s="45"/>
      <c r="I136" s="45"/>
      <c r="J136" s="45"/>
    </row>
    <row r="137" spans="1:10" ht="18">
      <c r="A137" s="278"/>
      <c r="B137" s="278"/>
      <c r="C137" s="45"/>
      <c r="D137" s="45"/>
      <c r="E137" s="45"/>
      <c r="F137" s="45"/>
      <c r="G137" s="45"/>
      <c r="H137" s="45"/>
      <c r="I137" s="45"/>
      <c r="J137" s="45"/>
    </row>
    <row r="138" spans="1:10" ht="18">
      <c r="A138" s="278"/>
      <c r="B138" s="278"/>
      <c r="C138" s="45"/>
      <c r="D138" s="45"/>
      <c r="E138" s="45"/>
      <c r="F138" s="45"/>
      <c r="G138" s="45"/>
      <c r="H138" s="45"/>
      <c r="I138" s="45"/>
      <c r="J138" s="45"/>
    </row>
    <row r="139" spans="1:10" ht="18">
      <c r="A139" s="278"/>
      <c r="B139" s="278"/>
      <c r="C139" s="45"/>
      <c r="D139" s="45"/>
      <c r="E139" s="45"/>
      <c r="F139" s="45"/>
      <c r="G139" s="45"/>
      <c r="H139" s="45"/>
      <c r="I139" s="45"/>
      <c r="J139" s="45"/>
    </row>
    <row r="140" spans="1:10" ht="18">
      <c r="A140" s="278"/>
      <c r="B140" s="278"/>
      <c r="C140" s="45"/>
      <c r="D140" s="45"/>
      <c r="E140" s="45"/>
      <c r="F140" s="45"/>
      <c r="G140" s="45"/>
      <c r="H140" s="45"/>
      <c r="I140" s="45"/>
      <c r="J140" s="45"/>
    </row>
    <row r="141" spans="1:10" ht="18">
      <c r="A141" s="278"/>
      <c r="B141" s="278"/>
      <c r="C141" s="45"/>
      <c r="D141" s="45"/>
      <c r="E141" s="45"/>
      <c r="F141" s="45"/>
      <c r="G141" s="45"/>
      <c r="H141" s="45"/>
      <c r="I141" s="45"/>
      <c r="J141" s="45"/>
    </row>
    <row r="142" spans="1:10" ht="18">
      <c r="A142" s="278"/>
      <c r="B142" s="278"/>
      <c r="C142" s="45"/>
      <c r="D142" s="45"/>
      <c r="E142" s="45"/>
      <c r="F142" s="45"/>
      <c r="G142" s="45"/>
      <c r="H142" s="45"/>
      <c r="I142" s="45"/>
      <c r="J142" s="45"/>
    </row>
  </sheetData>
  <sheetProtection/>
  <mergeCells count="21">
    <mergeCell ref="A42:J42"/>
    <mergeCell ref="E88:G88"/>
    <mergeCell ref="A64:J64"/>
    <mergeCell ref="A68:J68"/>
    <mergeCell ref="A76:J76"/>
    <mergeCell ref="F85:G85"/>
    <mergeCell ref="U5:AD5"/>
    <mergeCell ref="A7:J7"/>
    <mergeCell ref="A53:J53"/>
    <mergeCell ref="A9:A10"/>
    <mergeCell ref="B9:B10"/>
    <mergeCell ref="E86:G86"/>
    <mergeCell ref="E2:J2"/>
    <mergeCell ref="A4:J4"/>
    <mergeCell ref="A5:J5"/>
    <mergeCell ref="A6:J6"/>
    <mergeCell ref="F87:G87"/>
    <mergeCell ref="G9:J9"/>
    <mergeCell ref="C9:F9"/>
    <mergeCell ref="A12:J12"/>
    <mergeCell ref="A28:J28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73" r:id="rId1"/>
  <rowBreaks count="2" manualBreakCount="2">
    <brk id="33" max="12" man="1"/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2021-10-12T08:15:05Z</cp:lastPrinted>
  <dcterms:created xsi:type="dcterms:W3CDTF">2015-06-05T18:19:34Z</dcterms:created>
  <dcterms:modified xsi:type="dcterms:W3CDTF">2021-10-27T08:02:25Z</dcterms:modified>
  <cp:category/>
  <cp:version/>
  <cp:contentType/>
  <cp:contentStatus/>
</cp:coreProperties>
</file>