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45" windowWidth="12000" windowHeight="6420" tabRatio="837" activeTab="9"/>
  </bookViews>
  <sheets>
    <sheet name="Лист1" sheetId="20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штатка" sheetId="22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інфо_1'!$A$1:$O$82</definedName>
    <definedName name="_xlnm.Print_Area" localSheetId="9">'6.2. Інша інфо_2'!$A$1:$AE$59</definedName>
    <definedName name="_xlnm.Print_Area" localSheetId="2">'I. Фін результат'!$A$1:$J$107</definedName>
    <definedName name="_xlnm.Print_Area" localSheetId="5">'IV. Кап. інвестиції'!$A$1:$I$16</definedName>
    <definedName name="_xlnm.Print_Area" localSheetId="3">'ІІ. Розр. з бюджетом'!$A$1:$I$42</definedName>
    <definedName name="_xlnm.Print_Area" localSheetId="4">'ІІІ. Рух грош. коштів'!$A$1:$I$78</definedName>
    <definedName name="_xlnm.Print_Area" localSheetId="1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J71" i="22" l="1"/>
  <c r="J70" i="22"/>
  <c r="L6" i="22"/>
  <c r="L23" i="22"/>
  <c r="C14" i="18"/>
  <c r="I44" i="2" l="1"/>
  <c r="H44" i="2"/>
  <c r="G44" i="2"/>
  <c r="F44" i="2"/>
  <c r="E44" i="2"/>
  <c r="D44" i="2"/>
  <c r="C44" i="2"/>
  <c r="Q7" i="22" l="1"/>
  <c r="Q6" i="22"/>
  <c r="Q5" i="22"/>
  <c r="Q4" i="22"/>
  <c r="O7" i="22"/>
  <c r="O6" i="22"/>
  <c r="O5" i="22"/>
  <c r="O4" i="22"/>
  <c r="M7" i="22"/>
  <c r="M6" i="22"/>
  <c r="M5" i="22"/>
  <c r="M4" i="22"/>
  <c r="K7" i="22"/>
  <c r="K6" i="22"/>
  <c r="K5" i="22"/>
  <c r="K4" i="22"/>
  <c r="H36" i="22" l="1"/>
  <c r="J29" i="10" l="1"/>
  <c r="J28" i="10"/>
  <c r="J69" i="22"/>
  <c r="J27" i="10" s="1"/>
  <c r="P5" i="22"/>
  <c r="P6" i="22"/>
  <c r="P7" i="22"/>
  <c r="P8" i="22"/>
  <c r="P9" i="22"/>
  <c r="P10" i="22"/>
  <c r="P11" i="22"/>
  <c r="Q11" i="22"/>
  <c r="P12" i="22"/>
  <c r="P13" i="22"/>
  <c r="P14" i="22"/>
  <c r="P15" i="22"/>
  <c r="P16" i="22"/>
  <c r="P17" i="22"/>
  <c r="Q17" i="22"/>
  <c r="P18" i="22"/>
  <c r="P19" i="22"/>
  <c r="P20" i="22"/>
  <c r="P21" i="22"/>
  <c r="P22" i="22"/>
  <c r="P23" i="22"/>
  <c r="P24" i="22"/>
  <c r="Q24" i="22"/>
  <c r="P25" i="22"/>
  <c r="P26" i="22"/>
  <c r="P27" i="22"/>
  <c r="P28" i="22"/>
  <c r="P29" i="22"/>
  <c r="P30" i="22"/>
  <c r="Q30" i="22"/>
  <c r="P31" i="22"/>
  <c r="P32" i="22"/>
  <c r="P33" i="22"/>
  <c r="P34" i="22"/>
  <c r="P35" i="22"/>
  <c r="P4" i="22"/>
  <c r="N5" i="22"/>
  <c r="N6" i="22"/>
  <c r="N7" i="22"/>
  <c r="N8" i="22"/>
  <c r="N9" i="22"/>
  <c r="N10" i="22"/>
  <c r="N11" i="22"/>
  <c r="O11" i="22"/>
  <c r="N12" i="22"/>
  <c r="N13" i="22"/>
  <c r="N14" i="22"/>
  <c r="N15" i="22"/>
  <c r="N16" i="22"/>
  <c r="N17" i="22"/>
  <c r="O17" i="22"/>
  <c r="N18" i="22"/>
  <c r="N19" i="22"/>
  <c r="N20" i="22"/>
  <c r="N21" i="22"/>
  <c r="N22" i="22"/>
  <c r="N23" i="22"/>
  <c r="N24" i="22"/>
  <c r="O24" i="22"/>
  <c r="N25" i="22"/>
  <c r="N26" i="22"/>
  <c r="N27" i="22"/>
  <c r="N28" i="22"/>
  <c r="N29" i="22"/>
  <c r="N30" i="22"/>
  <c r="O30" i="22"/>
  <c r="N31" i="22"/>
  <c r="N32" i="22"/>
  <c r="N33" i="22"/>
  <c r="N34" i="22"/>
  <c r="N35" i="22"/>
  <c r="N4" i="22"/>
  <c r="L5" i="22"/>
  <c r="L7" i="22"/>
  <c r="L8" i="22"/>
  <c r="L9" i="22"/>
  <c r="L10" i="22"/>
  <c r="L11" i="22"/>
  <c r="M11" i="22"/>
  <c r="L12" i="22"/>
  <c r="L13" i="22"/>
  <c r="L14" i="22"/>
  <c r="L15" i="22"/>
  <c r="L16" i="22"/>
  <c r="L17" i="22"/>
  <c r="M17" i="22"/>
  <c r="L18" i="22"/>
  <c r="L19" i="22"/>
  <c r="L20" i="22"/>
  <c r="L21" i="22"/>
  <c r="L22" i="22"/>
  <c r="L24" i="22"/>
  <c r="M24" i="22"/>
  <c r="L25" i="22"/>
  <c r="L26" i="22"/>
  <c r="L27" i="22"/>
  <c r="L28" i="22"/>
  <c r="L29" i="22"/>
  <c r="L30" i="22"/>
  <c r="M30" i="22"/>
  <c r="L31" i="22"/>
  <c r="L32" i="22"/>
  <c r="L33" i="22"/>
  <c r="L34" i="22"/>
  <c r="L35" i="22"/>
  <c r="L4" i="22"/>
  <c r="J5" i="22"/>
  <c r="J6" i="22"/>
  <c r="J7" i="22"/>
  <c r="J8" i="22"/>
  <c r="J9" i="22"/>
  <c r="J10" i="22"/>
  <c r="J11" i="22"/>
  <c r="K11" i="22"/>
  <c r="J12" i="22"/>
  <c r="J13" i="22"/>
  <c r="J14" i="22"/>
  <c r="J15" i="22"/>
  <c r="J16" i="22"/>
  <c r="J17" i="22"/>
  <c r="K17" i="22"/>
  <c r="J18" i="22"/>
  <c r="J19" i="22"/>
  <c r="J20" i="22"/>
  <c r="J21" i="22"/>
  <c r="J22" i="22"/>
  <c r="J23" i="22"/>
  <c r="J24" i="22"/>
  <c r="K24" i="22"/>
  <c r="J25" i="22"/>
  <c r="J26" i="22"/>
  <c r="J27" i="22"/>
  <c r="J28" i="22"/>
  <c r="J29" i="22"/>
  <c r="J30" i="22"/>
  <c r="K30" i="22"/>
  <c r="J31" i="22"/>
  <c r="J32" i="22"/>
  <c r="J33" i="22"/>
  <c r="J34" i="22"/>
  <c r="J35" i="22"/>
  <c r="J4" i="22"/>
  <c r="C16" i="18"/>
  <c r="R17" i="22" l="1"/>
  <c r="R30" i="22"/>
  <c r="R6" i="22"/>
  <c r="R24" i="22"/>
  <c r="R11" i="22"/>
  <c r="R5" i="22"/>
  <c r="G36" i="22"/>
  <c r="R4" i="22" l="1"/>
  <c r="D36" i="22"/>
  <c r="E35" i="22"/>
  <c r="E34" i="22"/>
  <c r="E33" i="22"/>
  <c r="E32" i="22"/>
  <c r="E31" i="22"/>
  <c r="E29" i="22"/>
  <c r="E28" i="22"/>
  <c r="E27" i="22"/>
  <c r="E26" i="22"/>
  <c r="E25" i="22"/>
  <c r="E23" i="22"/>
  <c r="E22" i="22"/>
  <c r="E21" i="22"/>
  <c r="E20" i="22"/>
  <c r="E19" i="22"/>
  <c r="E18" i="22"/>
  <c r="E16" i="22"/>
  <c r="E15" i="22"/>
  <c r="E14" i="22"/>
  <c r="E13" i="22"/>
  <c r="E12" i="22"/>
  <c r="E10" i="22"/>
  <c r="E9" i="22"/>
  <c r="E8" i="22"/>
  <c r="F6" i="22"/>
  <c r="F4" i="22"/>
  <c r="K16" i="22" l="1"/>
  <c r="M16" i="22"/>
  <c r="Q16" i="22"/>
  <c r="O16" i="22"/>
  <c r="Q22" i="22"/>
  <c r="O22" i="22"/>
  <c r="K22" i="22"/>
  <c r="M22" i="22"/>
  <c r="Q12" i="22"/>
  <c r="O12" i="22"/>
  <c r="K12" i="22"/>
  <c r="M12" i="22"/>
  <c r="K31" i="22"/>
  <c r="Q31" i="22"/>
  <c r="O31" i="22"/>
  <c r="M31" i="22"/>
  <c r="M8" i="22"/>
  <c r="Q8" i="22"/>
  <c r="O8" i="22"/>
  <c r="K8" i="22"/>
  <c r="J74" i="22"/>
  <c r="J59" i="22"/>
  <c r="J64" i="22" s="1"/>
  <c r="K21" i="22"/>
  <c r="Q21" i="22"/>
  <c r="O21" i="22"/>
  <c r="M21" i="22"/>
  <c r="K26" i="22"/>
  <c r="Q26" i="22"/>
  <c r="O26" i="22"/>
  <c r="M26" i="22"/>
  <c r="K35" i="22"/>
  <c r="Q35" i="22"/>
  <c r="O35" i="22"/>
  <c r="M35" i="22"/>
  <c r="K13" i="22"/>
  <c r="M13" i="22"/>
  <c r="Q13" i="22"/>
  <c r="O13" i="22"/>
  <c r="M18" i="22"/>
  <c r="Q18" i="22"/>
  <c r="O18" i="22"/>
  <c r="K18" i="22"/>
  <c r="Q27" i="22"/>
  <c r="O27" i="22"/>
  <c r="K27" i="22"/>
  <c r="M27" i="22"/>
  <c r="K32" i="22"/>
  <c r="M32" i="22"/>
  <c r="Q32" i="22"/>
  <c r="O32" i="22"/>
  <c r="Q9" i="22"/>
  <c r="O9" i="22"/>
  <c r="M9" i="22"/>
  <c r="K9" i="22"/>
  <c r="M14" i="22"/>
  <c r="Q14" i="22"/>
  <c r="O14" i="22"/>
  <c r="K14" i="22"/>
  <c r="Q19" i="22"/>
  <c r="O19" i="22"/>
  <c r="M19" i="22"/>
  <c r="K19" i="22"/>
  <c r="Q23" i="22"/>
  <c r="O23" i="22"/>
  <c r="M23" i="22"/>
  <c r="K23" i="22"/>
  <c r="Q28" i="22"/>
  <c r="O28" i="22"/>
  <c r="M28" i="22"/>
  <c r="K28" i="22"/>
  <c r="Q33" i="22"/>
  <c r="O33" i="22"/>
  <c r="M33" i="22"/>
  <c r="K33" i="22"/>
  <c r="K10" i="22"/>
  <c r="M10" i="22"/>
  <c r="Q10" i="22"/>
  <c r="O10" i="22"/>
  <c r="K15" i="22"/>
  <c r="Q15" i="22"/>
  <c r="O15" i="22"/>
  <c r="M15" i="22"/>
  <c r="Q20" i="22"/>
  <c r="O20" i="22"/>
  <c r="M20" i="22"/>
  <c r="K20" i="22"/>
  <c r="Q25" i="22"/>
  <c r="R25" i="22" s="1"/>
  <c r="O25" i="22"/>
  <c r="M25" i="22"/>
  <c r="K25" i="22"/>
  <c r="Q29" i="22"/>
  <c r="O29" i="22"/>
  <c r="M29" i="22"/>
  <c r="K29" i="22"/>
  <c r="K34" i="22"/>
  <c r="Q34" i="22"/>
  <c r="R34" i="22" s="1"/>
  <c r="O34" i="22"/>
  <c r="M34" i="22"/>
  <c r="F15" i="22"/>
  <c r="R15" i="22"/>
  <c r="F25" i="22"/>
  <c r="F29" i="22"/>
  <c r="R29" i="22"/>
  <c r="R26" i="22"/>
  <c r="R35" i="22"/>
  <c r="F10" i="22"/>
  <c r="R10" i="22"/>
  <c r="F20" i="22"/>
  <c r="R20" i="22"/>
  <c r="F7" i="22"/>
  <c r="F12" i="22"/>
  <c r="F16" i="22"/>
  <c r="R16" i="22"/>
  <c r="F21" i="22"/>
  <c r="R21" i="22"/>
  <c r="R31" i="22"/>
  <c r="F8" i="22"/>
  <c r="R8" i="22"/>
  <c r="F13" i="22"/>
  <c r="R13" i="22"/>
  <c r="F18" i="22"/>
  <c r="R18" i="22"/>
  <c r="R22" i="22"/>
  <c r="R27" i="22"/>
  <c r="F32" i="22"/>
  <c r="R32" i="22"/>
  <c r="F9" i="22"/>
  <c r="R9" i="22"/>
  <c r="F14" i="22"/>
  <c r="R14" i="22"/>
  <c r="F19" i="22"/>
  <c r="R19" i="22"/>
  <c r="R23" i="22"/>
  <c r="R28" i="22"/>
  <c r="R33" i="22"/>
  <c r="J31" i="10"/>
  <c r="F23" i="22"/>
  <c r="F26" i="22"/>
  <c r="F28" i="22"/>
  <c r="F31" i="22"/>
  <c r="F33" i="22"/>
  <c r="F35" i="22"/>
  <c r="E36" i="22"/>
  <c r="F22" i="22"/>
  <c r="F27" i="22"/>
  <c r="F34" i="22"/>
  <c r="J36" i="22"/>
  <c r="P36" i="22"/>
  <c r="N36" i="22"/>
  <c r="L36" i="22"/>
  <c r="F5" i="22"/>
  <c r="L29" i="10"/>
  <c r="N13" i="10"/>
  <c r="C22" i="2"/>
  <c r="D22" i="2"/>
  <c r="E22" i="2"/>
  <c r="F22" i="2"/>
  <c r="G22" i="2"/>
  <c r="H22" i="2"/>
  <c r="D9" i="2"/>
  <c r="F9" i="2"/>
  <c r="F18" i="2" s="1"/>
  <c r="G9" i="2"/>
  <c r="G18" i="2" s="1"/>
  <c r="H9" i="2"/>
  <c r="H18" i="2" s="1"/>
  <c r="J45" i="22" l="1"/>
  <c r="K42" i="22"/>
  <c r="L45" i="22"/>
  <c r="J42" i="22"/>
  <c r="M45" i="22"/>
  <c r="L42" i="22"/>
  <c r="K45" i="22"/>
  <c r="M42" i="22"/>
  <c r="K43" i="22"/>
  <c r="L14" i="2" s="1"/>
  <c r="R12" i="22"/>
  <c r="L46" i="22"/>
  <c r="J19" i="10"/>
  <c r="J23" i="10"/>
  <c r="K13" i="2"/>
  <c r="R7" i="22"/>
  <c r="L43" i="22"/>
  <c r="M14" i="2" s="1"/>
  <c r="K46" i="22"/>
  <c r="K36" i="22"/>
  <c r="M36" i="22"/>
  <c r="Q36" i="22"/>
  <c r="O36" i="22"/>
  <c r="F36" i="22"/>
  <c r="J61" i="22" l="1"/>
  <c r="M43" i="22"/>
  <c r="J66" i="22" s="1"/>
  <c r="J32" i="10"/>
  <c r="J75" i="22"/>
  <c r="J76" i="22"/>
  <c r="J33" i="10" s="1"/>
  <c r="J60" i="22"/>
  <c r="J20" i="10" s="1"/>
  <c r="R36" i="22"/>
  <c r="J51" i="22"/>
  <c r="J43" i="22"/>
  <c r="K14" i="2" s="1"/>
  <c r="J21" i="10"/>
  <c r="L21" i="10" s="1"/>
  <c r="K51" i="22"/>
  <c r="L13" i="2"/>
  <c r="L51" i="22"/>
  <c r="M30" i="2"/>
  <c r="M13" i="2"/>
  <c r="N14" i="2"/>
  <c r="N13" i="2"/>
  <c r="M51" i="22"/>
  <c r="L52" i="22"/>
  <c r="M31" i="2"/>
  <c r="L30" i="2"/>
  <c r="N30" i="2"/>
  <c r="M46" i="22"/>
  <c r="K30" i="2"/>
  <c r="J46" i="22"/>
  <c r="N28" i="10"/>
  <c r="N27" i="10"/>
  <c r="I9" i="2"/>
  <c r="E39" i="14" s="1"/>
  <c r="G39" i="14" s="1"/>
  <c r="I83" i="2"/>
  <c r="E47" i="14" s="1"/>
  <c r="G47" i="14" s="1"/>
  <c r="H47" i="14" s="1"/>
  <c r="I47" i="14" s="1"/>
  <c r="J47" i="14" s="1"/>
  <c r="C18" i="2"/>
  <c r="C51" i="2"/>
  <c r="C59" i="2"/>
  <c r="C82" i="2" s="1"/>
  <c r="C43" i="14" s="1"/>
  <c r="C100" i="2"/>
  <c r="C9" i="18" s="1"/>
  <c r="C19" i="18"/>
  <c r="C57" i="18"/>
  <c r="C58" i="18"/>
  <c r="F41" i="14"/>
  <c r="E51" i="2"/>
  <c r="F42" i="14" s="1"/>
  <c r="E59" i="2"/>
  <c r="E82" i="2" s="1"/>
  <c r="F43" i="14" s="1"/>
  <c r="E100" i="2"/>
  <c r="E9" i="18" s="1"/>
  <c r="E19" i="18"/>
  <c r="E57" i="18"/>
  <c r="E58" i="18"/>
  <c r="I22" i="2"/>
  <c r="E41" i="14" s="1"/>
  <c r="G41" i="14" s="1"/>
  <c r="H41" i="14" s="1"/>
  <c r="I41" i="14" s="1"/>
  <c r="J41" i="14" s="1"/>
  <c r="I51" i="2"/>
  <c r="I59" i="2"/>
  <c r="I100" i="2"/>
  <c r="I89" i="2" s="1"/>
  <c r="D100" i="2"/>
  <c r="D89" i="2" s="1"/>
  <c r="F100" i="2"/>
  <c r="F89" i="2" s="1"/>
  <c r="G100" i="2"/>
  <c r="H100" i="2"/>
  <c r="H9" i="18" s="1"/>
  <c r="C99" i="2"/>
  <c r="D99" i="2"/>
  <c r="E99" i="2"/>
  <c r="F99" i="2"/>
  <c r="G99" i="2"/>
  <c r="H99" i="2"/>
  <c r="I99" i="2"/>
  <c r="D98" i="2"/>
  <c r="E98" i="2"/>
  <c r="F98" i="2"/>
  <c r="C11" i="20" s="1"/>
  <c r="G98" i="2"/>
  <c r="D11" i="20" s="1"/>
  <c r="D18" i="20" s="1"/>
  <c r="G29" i="19" s="1"/>
  <c r="G25" i="19" s="1"/>
  <c r="H98" i="2"/>
  <c r="E11" i="20" s="1"/>
  <c r="E18" i="20" s="1"/>
  <c r="H29" i="19" s="1"/>
  <c r="H25" i="19" s="1"/>
  <c r="I98" i="2"/>
  <c r="F11" i="20" s="1"/>
  <c r="C98" i="2"/>
  <c r="I85" i="2"/>
  <c r="E65" i="14"/>
  <c r="G65" i="14" s="1"/>
  <c r="H65" i="14" s="1"/>
  <c r="I65" i="14" s="1"/>
  <c r="J65" i="14" s="1"/>
  <c r="E42" i="14"/>
  <c r="G42" i="14" s="1"/>
  <c r="H42" i="14" s="1"/>
  <c r="I42" i="14" s="1"/>
  <c r="J42" i="14" s="1"/>
  <c r="I82" i="2"/>
  <c r="E43" i="14" s="1"/>
  <c r="G43" i="14" s="1"/>
  <c r="I84" i="2"/>
  <c r="E48" i="14" s="1"/>
  <c r="G48" i="14" s="1"/>
  <c r="H48" i="14" s="1"/>
  <c r="I48" i="14" s="1"/>
  <c r="J48" i="14" s="1"/>
  <c r="E56" i="14"/>
  <c r="G56" i="14" s="1"/>
  <c r="H56" i="14" s="1"/>
  <c r="I56" i="14" s="1"/>
  <c r="J56" i="14" s="1"/>
  <c r="I90" i="2"/>
  <c r="I91" i="2"/>
  <c r="F51" i="2"/>
  <c r="F59" i="2"/>
  <c r="G51" i="2"/>
  <c r="G59" i="2"/>
  <c r="G82" i="2" s="1"/>
  <c r="H51" i="2"/>
  <c r="H59" i="2"/>
  <c r="F85" i="2"/>
  <c r="N14" i="10"/>
  <c r="N19" i="10"/>
  <c r="N23" i="10"/>
  <c r="N29" i="10"/>
  <c r="N12" i="10"/>
  <c r="L13" i="10"/>
  <c r="L14" i="10"/>
  <c r="L19" i="10"/>
  <c r="L23" i="10"/>
  <c r="L27" i="10"/>
  <c r="L12" i="10"/>
  <c r="V22" i="9"/>
  <c r="D77" i="14"/>
  <c r="F77" i="14"/>
  <c r="C77" i="14"/>
  <c r="V20" i="9"/>
  <c r="V21" i="9"/>
  <c r="V19" i="9"/>
  <c r="D85" i="2"/>
  <c r="D51" i="2"/>
  <c r="D59" i="2"/>
  <c r="D82" i="2" s="1"/>
  <c r="D43" i="14" s="1"/>
  <c r="E85" i="2"/>
  <c r="M7" i="9"/>
  <c r="F90" i="2"/>
  <c r="F91" i="2"/>
  <c r="G89" i="2"/>
  <c r="G90" i="2"/>
  <c r="G91" i="2"/>
  <c r="H89" i="2"/>
  <c r="H90" i="2"/>
  <c r="H91" i="2"/>
  <c r="D90" i="2"/>
  <c r="E90" i="2"/>
  <c r="D91" i="2"/>
  <c r="E91" i="2"/>
  <c r="D84" i="2"/>
  <c r="D48" i="14" s="1"/>
  <c r="E84" i="2"/>
  <c r="F48" i="14" s="1"/>
  <c r="F84" i="2"/>
  <c r="G84" i="2"/>
  <c r="H84" i="2"/>
  <c r="D83" i="2"/>
  <c r="E83" i="2"/>
  <c r="F47" i="14" s="1"/>
  <c r="F83" i="2"/>
  <c r="G83" i="2"/>
  <c r="H83" i="2"/>
  <c r="F82" i="2"/>
  <c r="C41" i="18"/>
  <c r="E41" i="18"/>
  <c r="I41" i="18"/>
  <c r="E63" i="14" s="1"/>
  <c r="G63" i="14" s="1"/>
  <c r="H63" i="14" s="1"/>
  <c r="I63" i="14" s="1"/>
  <c r="J63" i="14" s="1"/>
  <c r="C21" i="19"/>
  <c r="C20" i="19"/>
  <c r="E8" i="19"/>
  <c r="C80" i="14"/>
  <c r="K53" i="9"/>
  <c r="O53" i="9"/>
  <c r="M47" i="9"/>
  <c r="M48" i="9"/>
  <c r="M49" i="9"/>
  <c r="Z35" i="9"/>
  <c r="Y32" i="9"/>
  <c r="X32" i="9"/>
  <c r="W32" i="9"/>
  <c r="G36" i="9"/>
  <c r="D58" i="10"/>
  <c r="F38" i="14"/>
  <c r="F15" i="11"/>
  <c r="D15" i="11"/>
  <c r="F14" i="11"/>
  <c r="D14" i="11"/>
  <c r="C72" i="14" s="1"/>
  <c r="C89" i="2"/>
  <c r="C90" i="2"/>
  <c r="C91" i="2"/>
  <c r="D38" i="14"/>
  <c r="C6" i="3"/>
  <c r="C68" i="14" s="1"/>
  <c r="D19" i="18"/>
  <c r="D57" i="18"/>
  <c r="D58" i="18"/>
  <c r="D41" i="18"/>
  <c r="D63" i="14" s="1"/>
  <c r="F9" i="18"/>
  <c r="F19" i="18"/>
  <c r="F41" i="18"/>
  <c r="G9" i="18"/>
  <c r="G19" i="18"/>
  <c r="G41" i="18"/>
  <c r="H19" i="18"/>
  <c r="H41" i="18"/>
  <c r="D72" i="14"/>
  <c r="C22" i="19"/>
  <c r="C55" i="14" s="1"/>
  <c r="C25" i="19"/>
  <c r="C57" i="14" s="1"/>
  <c r="D22" i="19"/>
  <c r="D55" i="14" s="1"/>
  <c r="E22" i="19"/>
  <c r="F55" i="14" s="1"/>
  <c r="F22" i="19"/>
  <c r="G22" i="19"/>
  <c r="H22" i="19"/>
  <c r="D21" i="19"/>
  <c r="E21" i="19"/>
  <c r="D20" i="19"/>
  <c r="E20" i="19"/>
  <c r="D8" i="19"/>
  <c r="C8" i="19"/>
  <c r="C84" i="2"/>
  <c r="C83" i="2"/>
  <c r="C47" i="14" s="1"/>
  <c r="F80" i="14"/>
  <c r="E80" i="14"/>
  <c r="D80" i="14"/>
  <c r="D25" i="19"/>
  <c r="D57" i="14" s="1"/>
  <c r="E25" i="19"/>
  <c r="F57" i="14" s="1"/>
  <c r="M58" i="10"/>
  <c r="J58" i="10"/>
  <c r="G58" i="10"/>
  <c r="E53" i="9"/>
  <c r="AC11" i="9"/>
  <c r="Z11" i="9"/>
  <c r="W11" i="9"/>
  <c r="T11" i="9"/>
  <c r="Q11" i="9"/>
  <c r="I6" i="3"/>
  <c r="E68" i="14" s="1"/>
  <c r="H6" i="3"/>
  <c r="G6" i="3"/>
  <c r="F6" i="3"/>
  <c r="F56" i="14"/>
  <c r="D56" i="14"/>
  <c r="C56" i="14"/>
  <c r="C39" i="14"/>
  <c r="M52" i="9"/>
  <c r="M51" i="9"/>
  <c r="M50" i="9"/>
  <c r="M46" i="9"/>
  <c r="S53" i="9"/>
  <c r="Q53" i="9"/>
  <c r="I53" i="9"/>
  <c r="G53" i="9"/>
  <c r="Y35" i="9"/>
  <c r="X35" i="9"/>
  <c r="W35" i="9"/>
  <c r="Z34" i="9"/>
  <c r="Y34" i="9"/>
  <c r="X34" i="9"/>
  <c r="W34" i="9"/>
  <c r="Z33" i="9"/>
  <c r="Z32" i="9"/>
  <c r="Y33" i="9"/>
  <c r="X33" i="9"/>
  <c r="W33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D23" i="9"/>
  <c r="V23" i="9" s="1"/>
  <c r="AB23" i="9"/>
  <c r="Z23" i="9"/>
  <c r="X23" i="9"/>
  <c r="M10" i="9"/>
  <c r="M9" i="9"/>
  <c r="M8" i="9"/>
  <c r="K67" i="10"/>
  <c r="E6" i="3"/>
  <c r="F68" i="14" s="1"/>
  <c r="D6" i="3"/>
  <c r="D68" i="14" s="1"/>
  <c r="C63" i="14"/>
  <c r="C48" i="14"/>
  <c r="D42" i="14"/>
  <c r="C42" i="14"/>
  <c r="D41" i="14"/>
  <c r="F39" i="14"/>
  <c r="F65" i="14"/>
  <c r="D65" i="14"/>
  <c r="C65" i="14"/>
  <c r="F63" i="14"/>
  <c r="D61" i="14"/>
  <c r="C61" i="14"/>
  <c r="F58" i="14"/>
  <c r="D58" i="14"/>
  <c r="C58" i="14"/>
  <c r="F50" i="14"/>
  <c r="D50" i="14"/>
  <c r="C50" i="14"/>
  <c r="D47" i="14"/>
  <c r="B48" i="14"/>
  <c r="B72" i="14"/>
  <c r="B71" i="14"/>
  <c r="B70" i="14"/>
  <c r="B68" i="14"/>
  <c r="B65" i="14"/>
  <c r="B64" i="14"/>
  <c r="B63" i="14"/>
  <c r="B62" i="14"/>
  <c r="B66" i="14"/>
  <c r="B61" i="14"/>
  <c r="B59" i="14"/>
  <c r="B58" i="14"/>
  <c r="B57" i="14"/>
  <c r="B55" i="14"/>
  <c r="B54" i="14"/>
  <c r="B52" i="14"/>
  <c r="B51" i="14"/>
  <c r="B50" i="14"/>
  <c r="B49" i="14"/>
  <c r="B47" i="14"/>
  <c r="B46" i="14"/>
  <c r="B45" i="14"/>
  <c r="B44" i="14"/>
  <c r="B43" i="14"/>
  <c r="B41" i="14"/>
  <c r="B42" i="14"/>
  <c r="B40" i="14"/>
  <c r="B39" i="14"/>
  <c r="B38" i="14"/>
  <c r="C41" i="14"/>
  <c r="C19" i="19"/>
  <c r="C54" i="14" s="1"/>
  <c r="C86" i="2"/>
  <c r="H82" i="2"/>
  <c r="L31" i="10"/>
  <c r="N31" i="10"/>
  <c r="L28" i="10"/>
  <c r="N32" i="10"/>
  <c r="L32" i="10"/>
  <c r="H85" i="2"/>
  <c r="L20" i="10" l="1"/>
  <c r="N20" i="10"/>
  <c r="L33" i="10"/>
  <c r="N33" i="10"/>
  <c r="E68" i="18"/>
  <c r="F64" i="14" s="1"/>
  <c r="J65" i="22"/>
  <c r="J24" i="10" s="1"/>
  <c r="N21" i="10"/>
  <c r="D68" i="18"/>
  <c r="D64" i="14" s="1"/>
  <c r="X36" i="9"/>
  <c r="H102" i="2"/>
  <c r="M52" i="22"/>
  <c r="N31" i="2"/>
  <c r="W36" i="9"/>
  <c r="M53" i="9"/>
  <c r="J52" i="22"/>
  <c r="K31" i="2"/>
  <c r="K52" i="22"/>
  <c r="L31" i="2"/>
  <c r="Z36" i="9"/>
  <c r="F72" i="14"/>
  <c r="I9" i="18"/>
  <c r="Y36" i="9"/>
  <c r="M11" i="9"/>
  <c r="C68" i="18"/>
  <c r="C64" i="14" s="1"/>
  <c r="E19" i="19"/>
  <c r="F54" i="14" s="1"/>
  <c r="D19" i="19"/>
  <c r="E38" i="14"/>
  <c r="G18" i="11" s="1"/>
  <c r="G102" i="2"/>
  <c r="E102" i="2"/>
  <c r="I102" i="2"/>
  <c r="D9" i="18"/>
  <c r="C38" i="14"/>
  <c r="D18" i="11" s="1"/>
  <c r="E86" i="2"/>
  <c r="C102" i="2"/>
  <c r="C85" i="2"/>
  <c r="D102" i="2"/>
  <c r="G86" i="2"/>
  <c r="D54" i="14"/>
  <c r="D38" i="19"/>
  <c r="D59" i="14" s="1"/>
  <c r="E18" i="2"/>
  <c r="E38" i="19"/>
  <c r="F59" i="14" s="1"/>
  <c r="F17" i="11"/>
  <c r="E17" i="11" s="1"/>
  <c r="F18" i="11"/>
  <c r="E18" i="11" s="1"/>
  <c r="C38" i="19"/>
  <c r="C59" i="14" s="1"/>
  <c r="D17" i="11"/>
  <c r="D18" i="2"/>
  <c r="D40" i="14" s="1"/>
  <c r="H65" i="2"/>
  <c r="H86" i="2"/>
  <c r="C18" i="20"/>
  <c r="F29" i="19" s="1"/>
  <c r="F25" i="19" s="1"/>
  <c r="C17" i="20"/>
  <c r="C19" i="20"/>
  <c r="F36" i="19" s="1"/>
  <c r="F102" i="2"/>
  <c r="G65" i="2"/>
  <c r="G74" i="2" s="1"/>
  <c r="H39" i="14"/>
  <c r="I18" i="2"/>
  <c r="I65" i="2" s="1"/>
  <c r="F65" i="2"/>
  <c r="F86" i="2"/>
  <c r="G68" i="14"/>
  <c r="H68" i="14" s="1"/>
  <c r="I68" i="14" s="1"/>
  <c r="J68" i="14" s="1"/>
  <c r="E74" i="14"/>
  <c r="E77" i="14" s="1"/>
  <c r="G17" i="11"/>
  <c r="H43" i="14"/>
  <c r="I43" i="14" s="1"/>
  <c r="J43" i="14" s="1"/>
  <c r="F17" i="20"/>
  <c r="F18" i="20"/>
  <c r="I29" i="19" s="1"/>
  <c r="I25" i="19" s="1"/>
  <c r="E57" i="14" s="1"/>
  <c r="G57" i="14" s="1"/>
  <c r="H57" i="14" s="1"/>
  <c r="I57" i="14" s="1"/>
  <c r="J57" i="14" s="1"/>
  <c r="F19" i="20"/>
  <c r="I36" i="19" s="1"/>
  <c r="C40" i="14"/>
  <c r="C65" i="2"/>
  <c r="D19" i="20"/>
  <c r="G36" i="19" s="1"/>
  <c r="E19" i="20"/>
  <c r="H36" i="19" s="1"/>
  <c r="D39" i="14"/>
  <c r="G85" i="2"/>
  <c r="D17" i="20"/>
  <c r="E17" i="20"/>
  <c r="D86" i="2"/>
  <c r="N24" i="10" l="1"/>
  <c r="L24" i="10"/>
  <c r="L25" i="10"/>
  <c r="N25" i="10"/>
  <c r="G38" i="14"/>
  <c r="I39" i="14"/>
  <c r="J39" i="14" s="1"/>
  <c r="E40" i="14"/>
  <c r="G7" i="11" s="1"/>
  <c r="D7" i="11"/>
  <c r="E65" i="2"/>
  <c r="F40" i="14"/>
  <c r="F7" i="11" s="1"/>
  <c r="D65" i="2"/>
  <c r="D88" i="2" s="1"/>
  <c r="D93" i="2" s="1"/>
  <c r="D45" i="14" s="1"/>
  <c r="D46" i="14" s="1"/>
  <c r="F37" i="19"/>
  <c r="K99" i="2"/>
  <c r="K100" i="2" s="1"/>
  <c r="F88" i="2"/>
  <c r="F93" i="2" s="1"/>
  <c r="F74" i="2"/>
  <c r="F77" i="2" s="1"/>
  <c r="G88" i="2"/>
  <c r="G93" i="2" s="1"/>
  <c r="H88" i="2"/>
  <c r="H93" i="2" s="1"/>
  <c r="H74" i="2"/>
  <c r="N99" i="2"/>
  <c r="N100" i="2" s="1"/>
  <c r="I37" i="19"/>
  <c r="E58" i="14" s="1"/>
  <c r="G58" i="14" s="1"/>
  <c r="H58" i="14" s="1"/>
  <c r="I58" i="14" s="1"/>
  <c r="J58" i="14" s="1"/>
  <c r="L99" i="2"/>
  <c r="L100" i="2" s="1"/>
  <c r="G37" i="19"/>
  <c r="C74" i="2"/>
  <c r="C88" i="2"/>
  <c r="C93" i="2" s="1"/>
  <c r="C45" i="14" s="1"/>
  <c r="C44" i="14"/>
  <c r="G77" i="2"/>
  <c r="G7" i="18"/>
  <c r="G13" i="18" s="1"/>
  <c r="G18" i="18" s="1"/>
  <c r="G20" i="18" s="1"/>
  <c r="M99" i="2"/>
  <c r="M100" i="2" s="1"/>
  <c r="H37" i="19"/>
  <c r="E44" i="14"/>
  <c r="I88" i="2"/>
  <c r="I93" i="2" s="1"/>
  <c r="E45" i="14" s="1"/>
  <c r="I74" i="2"/>
  <c r="H38" i="14" l="1"/>
  <c r="G40" i="14"/>
  <c r="G44" i="14" s="1"/>
  <c r="G49" i="14" s="1"/>
  <c r="G50" i="14" s="1"/>
  <c r="G55" i="14" s="1"/>
  <c r="E88" i="2"/>
  <c r="E93" i="2" s="1"/>
  <c r="F45" i="14" s="1"/>
  <c r="F44" i="14"/>
  <c r="E74" i="2"/>
  <c r="D74" i="2"/>
  <c r="D49" i="14" s="1"/>
  <c r="D44" i="14"/>
  <c r="F7" i="18"/>
  <c r="F13" i="18" s="1"/>
  <c r="F18" i="18" s="1"/>
  <c r="F20" i="18" s="1"/>
  <c r="H7" i="18"/>
  <c r="H13" i="18" s="1"/>
  <c r="H18" i="18" s="1"/>
  <c r="H20" i="18" s="1"/>
  <c r="H77" i="2"/>
  <c r="D8" i="11"/>
  <c r="D13" i="11"/>
  <c r="I7" i="18"/>
  <c r="I13" i="18" s="1"/>
  <c r="I18" i="18" s="1"/>
  <c r="I75" i="2"/>
  <c r="I77" i="2" s="1"/>
  <c r="E49" i="14"/>
  <c r="C49" i="14"/>
  <c r="C7" i="18"/>
  <c r="C13" i="18" s="1"/>
  <c r="C18" i="18" s="1"/>
  <c r="C20" i="18" s="1"/>
  <c r="C77" i="2"/>
  <c r="C17" i="19" s="1"/>
  <c r="G45" i="14"/>
  <c r="G8" i="11"/>
  <c r="E46" i="14" s="1"/>
  <c r="G13" i="11"/>
  <c r="G78" i="2"/>
  <c r="G79" i="2"/>
  <c r="D77" i="2" l="1"/>
  <c r="D51" i="14" s="1"/>
  <c r="G51" i="14"/>
  <c r="G52" i="14" s="1"/>
  <c r="I38" i="14"/>
  <c r="H40" i="14"/>
  <c r="H44" i="14" s="1"/>
  <c r="H49" i="14" s="1"/>
  <c r="D7" i="18"/>
  <c r="D13" i="18" s="1"/>
  <c r="D18" i="18" s="1"/>
  <c r="D20" i="18" s="1"/>
  <c r="D72" i="18" s="1"/>
  <c r="E7" i="18"/>
  <c r="E13" i="18" s="1"/>
  <c r="E18" i="18" s="1"/>
  <c r="E20" i="18" s="1"/>
  <c r="F49" i="14"/>
  <c r="E77" i="2"/>
  <c r="F8" i="11"/>
  <c r="F13" i="11"/>
  <c r="E13" i="11" s="1"/>
  <c r="F78" i="2"/>
  <c r="F9" i="19" s="1"/>
  <c r="F57" i="18" s="1"/>
  <c r="F79" i="2"/>
  <c r="H79" i="2"/>
  <c r="H78" i="2"/>
  <c r="C72" i="18"/>
  <c r="C62" i="14"/>
  <c r="C73" i="18"/>
  <c r="G54" i="14"/>
  <c r="G59" i="14" s="1"/>
  <c r="G9" i="19"/>
  <c r="H45" i="14"/>
  <c r="G46" i="14"/>
  <c r="I79" i="2"/>
  <c r="I78" i="2"/>
  <c r="E51" i="14"/>
  <c r="D79" i="2"/>
  <c r="D78" i="2"/>
  <c r="C78" i="2"/>
  <c r="C51" i="14"/>
  <c r="C79" i="2"/>
  <c r="I19" i="18"/>
  <c r="I20" i="18" s="1"/>
  <c r="I22" i="19"/>
  <c r="E55" i="14" s="1"/>
  <c r="I86" i="2"/>
  <c r="E50" i="14"/>
  <c r="D17" i="19" l="1"/>
  <c r="H50" i="14"/>
  <c r="H55" i="14" s="1"/>
  <c r="J38" i="14"/>
  <c r="J40" i="14" s="1"/>
  <c r="J44" i="14" s="1"/>
  <c r="J49" i="14" s="1"/>
  <c r="I40" i="14"/>
  <c r="I44" i="14" s="1"/>
  <c r="I49" i="14" s="1"/>
  <c r="D73" i="18"/>
  <c r="D62" i="14"/>
  <c r="E78" i="2"/>
  <c r="E79" i="2"/>
  <c r="F51" i="14"/>
  <c r="E17" i="19"/>
  <c r="F62" i="14"/>
  <c r="E73" i="18"/>
  <c r="F20" i="19"/>
  <c r="F10" i="19"/>
  <c r="F8" i="19" s="1"/>
  <c r="H9" i="19"/>
  <c r="H10" i="19" s="1"/>
  <c r="G11" i="11"/>
  <c r="E52" i="14" s="1"/>
  <c r="D70" i="14"/>
  <c r="D71" i="14"/>
  <c r="D52" i="14"/>
  <c r="I9" i="19"/>
  <c r="E62" i="14"/>
  <c r="G62" i="14" s="1"/>
  <c r="H62" i="14" s="1"/>
  <c r="I62" i="14" s="1"/>
  <c r="J62" i="14" s="1"/>
  <c r="G20" i="19"/>
  <c r="G57" i="18"/>
  <c r="H46" i="14"/>
  <c r="I45" i="14"/>
  <c r="G10" i="19"/>
  <c r="G8" i="19" s="1"/>
  <c r="D11" i="11"/>
  <c r="D10" i="11"/>
  <c r="C71" i="14" s="1"/>
  <c r="D9" i="11"/>
  <c r="C70" i="14" s="1"/>
  <c r="D66" i="14"/>
  <c r="E70" i="18"/>
  <c r="C66" i="14"/>
  <c r="H51" i="14" l="1"/>
  <c r="H52" i="14" s="1"/>
  <c r="J50" i="14"/>
  <c r="J55" i="14" s="1"/>
  <c r="I50" i="14"/>
  <c r="I55" i="14" s="1"/>
  <c r="G7" i="19"/>
  <c r="G17" i="19" s="1"/>
  <c r="F7" i="19"/>
  <c r="F17" i="19" s="1"/>
  <c r="H7" i="19"/>
  <c r="I7" i="19"/>
  <c r="F11" i="11"/>
  <c r="F10" i="11"/>
  <c r="F9" i="11"/>
  <c r="F21" i="19"/>
  <c r="F19" i="19" s="1"/>
  <c r="F38" i="19" s="1"/>
  <c r="F58" i="18"/>
  <c r="F68" i="18" s="1"/>
  <c r="F73" i="18" s="1"/>
  <c r="H21" i="19"/>
  <c r="H58" i="18"/>
  <c r="H8" i="19"/>
  <c r="H20" i="19"/>
  <c r="H57" i="18"/>
  <c r="J45" i="14"/>
  <c r="J46" i="14" s="1"/>
  <c r="I46" i="14"/>
  <c r="I57" i="18"/>
  <c r="I20" i="19"/>
  <c r="E72" i="18"/>
  <c r="F61" i="14"/>
  <c r="I10" i="19"/>
  <c r="I8" i="19" s="1"/>
  <c r="G58" i="18"/>
  <c r="G68" i="18" s="1"/>
  <c r="G73" i="18" s="1"/>
  <c r="G21" i="19"/>
  <c r="G19" i="19" s="1"/>
  <c r="G38" i="19" s="1"/>
  <c r="I51" i="14" l="1"/>
  <c r="I54" i="14" s="1"/>
  <c r="I59" i="14" s="1"/>
  <c r="H54" i="14"/>
  <c r="H59" i="14" s="1"/>
  <c r="J51" i="14"/>
  <c r="J52" i="14" s="1"/>
  <c r="F70" i="14"/>
  <c r="F71" i="14"/>
  <c r="I17" i="19"/>
  <c r="H17" i="19"/>
  <c r="H19" i="19"/>
  <c r="H38" i="19" s="1"/>
  <c r="H68" i="18"/>
  <c r="H73" i="18" s="1"/>
  <c r="H70" i="18"/>
  <c r="F70" i="18"/>
  <c r="F72" i="18" s="1"/>
  <c r="G70" i="18"/>
  <c r="G72" i="18" s="1"/>
  <c r="F66" i="14"/>
  <c r="I70" i="18"/>
  <c r="I58" i="18"/>
  <c r="I68" i="18" s="1"/>
  <c r="I21" i="19"/>
  <c r="I19" i="19" s="1"/>
  <c r="I52" i="14" l="1"/>
  <c r="J54" i="14"/>
  <c r="J59" i="14" s="1"/>
  <c r="H72" i="18"/>
  <c r="E64" i="14"/>
  <c r="G64" i="14" s="1"/>
  <c r="H64" i="14" s="1"/>
  <c r="I64" i="14" s="1"/>
  <c r="J64" i="14" s="1"/>
  <c r="I73" i="18"/>
  <c r="E54" i="14"/>
  <c r="E83" i="14" s="1"/>
  <c r="I38" i="19"/>
  <c r="E59" i="14" s="1"/>
  <c r="I72" i="18"/>
  <c r="E76" i="14" s="1"/>
  <c r="E61" i="14"/>
  <c r="G14" i="11" l="1"/>
  <c r="E72" i="14" s="1"/>
  <c r="G10" i="11"/>
  <c r="E71" i="14" s="1"/>
  <c r="E66" i="14"/>
  <c r="G61" i="14" s="1"/>
  <c r="G66" i="14" s="1"/>
  <c r="H61" i="14" s="1"/>
  <c r="H66" i="14" s="1"/>
  <c r="I61" i="14" s="1"/>
  <c r="I66" i="14" s="1"/>
  <c r="J61" i="14" s="1"/>
  <c r="J66" i="14" s="1"/>
  <c r="G15" i="11" l="1"/>
  <c r="G9" i="11"/>
  <c r="E70" i="14" s="1"/>
</calcChain>
</file>

<file path=xl/sharedStrings.xml><?xml version="1.0" encoding="utf-8"?>
<sst xmlns="http://schemas.openxmlformats.org/spreadsheetml/2006/main" count="786" uniqueCount="527">
  <si>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</si>
  <si>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</si>
  <si>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</si>
  <si>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</si>
  <si>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</si>
  <si>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</si>
  <si>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</si>
  <si>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</si>
  <si>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</si>
  <si>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</si>
  <si>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</si>
  <si>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</si>
  <si>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</si>
  <si>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</si>
  <si>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</si>
  <si>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</si>
  <si>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</si>
  <si>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</si>
  <si>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</si>
  <si>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</si>
  <si>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</si>
  <si>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</si>
  <si>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</si>
  <si>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</si>
  <si>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</si>
  <si>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</si>
  <si>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</si>
  <si>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</si>
  <si>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</si>
  <si>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</si>
  <si>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</si>
  <si>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</si>
  <si>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</si>
  <si>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</si>
  <si>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</si>
  <si>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</si>
  <si>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</si>
  <si>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</si>
  <si>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</si>
  <si>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</si>
  <si>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</si>
  <si>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</si>
  <si>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</si>
  <si>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</si>
  <si>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</si>
  <si>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</si>
  <si>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</si>
  <si>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</si>
  <si>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</si>
  <si>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</si>
  <si>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</si>
  <si>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</si>
  <si>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</si>
  <si>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</si>
  <si>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</si>
  <si>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</si>
  <si>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</si>
  <si>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</si>
  <si>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</si>
  <si>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</si>
  <si>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</si>
  <si>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</si>
  <si>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</si>
  <si>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</si>
  <si>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</si>
  <si>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</si>
  <si>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</si>
  <si>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</si>
  <si>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</si>
  <si>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</si>
  <si>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</si>
  <si>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</si>
  <si>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</si>
  <si>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</si>
  <si>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</si>
  <si>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</si>
  <si>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</si>
  <si>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</si>
  <si>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</si>
  <si>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</si>
  <si>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</si>
  <si>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</si>
  <si>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</si>
  <si>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</si>
  <si>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</si>
  <si>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</si>
  <si>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</si>
  <si>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</si>
  <si>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</si>
  <si>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</si>
  <si>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</si>
  <si>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</si>
  <si>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</si>
  <si>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</si>
  <si>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</si>
  <si>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</si>
  <si>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</si>
  <si>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</si>
  <si>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</si>
  <si>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</si>
  <si>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</si>
  <si>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</si>
  <si>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</si>
  <si>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</si>
  <si>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</si>
  <si>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</si>
  <si>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</si>
  <si>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</si>
  <si>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</si>
  <si>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</si>
  <si>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</si>
  <si>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</si>
  <si>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</si>
  <si>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</si>
  <si>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</si>
  <si>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</si>
  <si>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</si>
  <si>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</si>
  <si>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</si>
  <si>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</si>
  <si>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</si>
  <si>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</si>
  <si>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</si>
  <si>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</si>
  <si>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</si>
  <si>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</si>
  <si>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</si>
  <si>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</si>
  <si>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</si>
  <si>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</si>
  <si>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</si>
  <si>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</si>
  <si>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</si>
  <si>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</si>
  <si>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</si>
  <si>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</si>
  <si>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</si>
  <si>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</si>
  <si>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</si>
  <si>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</si>
  <si>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</si>
  <si>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</si>
  <si>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</si>
  <si>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</si>
  <si>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</si>
  <si>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</si>
  <si>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</si>
  <si>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</si>
  <si>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</si>
  <si>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</si>
  <si>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</si>
  <si>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</si>
  <si>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</si>
  <si>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</si>
  <si>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</si>
  <si>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</si>
  <si>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</si>
  <si>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</si>
  <si>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</si>
  <si>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</si>
  <si>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</si>
  <si>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</si>
  <si>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</si>
  <si>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</si>
  <si>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</si>
  <si>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</si>
  <si>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</si>
  <si>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</si>
  <si>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</si>
  <si>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</si>
  <si>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</si>
  <si>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</si>
  <si>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</si>
  <si>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</si>
  <si>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</si>
  <si>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</si>
  <si>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</si>
  <si>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</si>
  <si>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</si>
  <si>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</si>
  <si>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</si>
  <si>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</si>
  <si>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</si>
  <si>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</si>
  <si>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</si>
  <si>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</si>
  <si>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</si>
  <si>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</si>
  <si>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</si>
  <si>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</si>
  <si>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</si>
  <si>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</si>
  <si>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</si>
  <si>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</si>
  <si>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</si>
  <si>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</si>
  <si>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</si>
  <si>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</si>
  <si>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</si>
  <si>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</si>
  <si>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</si>
  <si>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</si>
  <si>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</si>
  <si>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</si>
  <si>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</si>
  <si>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</si>
  <si>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</si>
  <si>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</si>
  <si>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</si>
  <si>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</si>
  <si>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</si>
  <si>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</si>
  <si>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</si>
  <si>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</si>
  <si>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</si>
  <si>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</si>
  <si>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</si>
  <si>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</si>
  <si>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</si>
  <si>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</si>
  <si>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</si>
  <si>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</si>
  <si>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</si>
  <si>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</si>
  <si>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</si>
  <si>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</si>
  <si>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</si>
  <si>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</si>
  <si>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</si>
  <si>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</si>
  <si>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</si>
  <si>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</si>
  <si>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</si>
  <si>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</si>
  <si>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</si>
  <si>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</si>
  <si>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</si>
  <si>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</si>
  <si>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</si>
  <si>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</si>
  <si>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</si>
  <si>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</si>
  <si>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</si>
  <si>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</si>
  <si>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</si>
  <si>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</si>
  <si>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</si>
  <si>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</si>
  <si>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</si>
  <si>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</si>
  <si>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</si>
  <si>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</si>
  <si>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</si>
  <si>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</si>
  <si>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</si>
  <si>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</si>
  <si>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</si>
  <si>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</si>
  <si>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</si>
  <si>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</si>
  <si>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</si>
  <si>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</si>
  <si>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</si>
  <si>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</si>
  <si>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</si>
  <si>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</si>
  <si>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</si>
  <si>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</si>
  <si>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</si>
  <si>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</si>
  <si>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</si>
  <si>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</si>
  <si>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</si>
  <si>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</si>
  <si>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</si>
  <si>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</si>
  <si>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</si>
  <si>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</si>
  <si>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</si>
  <si>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</si>
  <si>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</si>
  <si>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</si>
  <si>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</si>
  <si>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</si>
  <si>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</si>
  <si>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</si>
  <si>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</si>
  <si>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</si>
  <si>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</si>
  <si>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</si>
  <si>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</si>
  <si>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</si>
  <si>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</si>
  <si>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</si>
  <si>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</si>
  <si>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</si>
  <si>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</si>
  <si>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</si>
  <si>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</si>
  <si>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</si>
  <si>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</si>
  <si>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</si>
  <si>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</si>
  <si>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</si>
  <si>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</si>
  <si>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</si>
  <si>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</si>
  <si>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</si>
  <si>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</si>
  <si>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</si>
  <si>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</si>
  <si>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</si>
  <si>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</si>
  <si>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</si>
  <si>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</si>
  <si>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</si>
  <si>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</si>
  <si>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</si>
  <si>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</si>
  <si>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</si>
  <si>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</si>
  <si>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</si>
  <si>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</si>
  <si>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</si>
  <si>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</si>
  <si>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</si>
  <si>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</si>
  <si>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</si>
  <si>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</si>
  <si>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</si>
  <si>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</si>
  <si>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</si>
  <si>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</si>
  <si>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</si>
  <si>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</si>
  <si>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</si>
  <si>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</si>
  <si>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</si>
  <si>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</si>
  <si>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</si>
  <si>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</si>
  <si>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</si>
  <si>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</si>
  <si>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</si>
  <si>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</si>
  <si>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</si>
  <si>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</si>
  <si>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</si>
  <si>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</si>
  <si>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</si>
  <si>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</si>
  <si>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</si>
  <si>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</si>
  <si>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</si>
  <si>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</si>
  <si>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</si>
  <si>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</si>
  <si>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</si>
  <si>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</si>
  <si>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</si>
  <si>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</si>
  <si>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</si>
  <si>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</si>
  <si>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</si>
  <si>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</si>
  <si>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</si>
  <si>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</si>
  <si>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</si>
  <si>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</si>
  <si>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</si>
  <si>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</si>
  <si>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</si>
  <si>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</si>
  <si>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</si>
  <si>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</si>
  <si>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</si>
  <si>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</si>
  <si>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</si>
  <si>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</si>
  <si>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</si>
  <si>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</si>
  <si>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</si>
  <si>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</si>
  <si>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</si>
  <si>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</si>
  <si>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</si>
  <si>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______________________________________________________</t>
  </si>
  <si>
    <t>ЗАТВЕРДЖЕНО ______________________________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</si>
  <si>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</si>
  <si>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</si>
  <si>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</si>
  <si>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</si>
  <si>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</si>
  <si>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</si>
  <si>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</si>
  <si>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</si>
  <si>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</si>
  <si>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</si>
  <si>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</si>
  <si>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</si>
  <si>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</si>
  <si>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</si>
  <si>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</si>
  <si>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</si>
  <si>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КП " Патріот"</t>
  </si>
  <si>
    <t>Інші види освіти, н.в.і.у.</t>
  </si>
  <si>
    <t>Національно - патріотичне виховання</t>
  </si>
  <si>
    <t>І.Є. Куліковський</t>
  </si>
  <si>
    <t xml:space="preserve">                              (посада)</t>
  </si>
  <si>
    <t xml:space="preserve">     (ініціали, прізвище)    </t>
  </si>
  <si>
    <t>1062/1</t>
  </si>
  <si>
    <t>канцелярські товари</t>
  </si>
  <si>
    <t>1062/2</t>
  </si>
  <si>
    <t>1062/3</t>
  </si>
  <si>
    <t>1030/1</t>
  </si>
  <si>
    <t>бюджетне фінансування</t>
  </si>
  <si>
    <t xml:space="preserve">        І.Є. Куліковський</t>
  </si>
  <si>
    <t xml:space="preserve">             І.Є. Куліковський</t>
  </si>
  <si>
    <t>85.59</t>
  </si>
  <si>
    <t>комунальна</t>
  </si>
  <si>
    <t>Куліковський І.Є.</t>
  </si>
  <si>
    <t>макети стрілецької зброї</t>
  </si>
  <si>
    <t>навчальне приладдя</t>
  </si>
  <si>
    <t>комп'ютерна та оргтехніка</t>
  </si>
  <si>
    <t>медтехніка</t>
  </si>
  <si>
    <t>внески органів місцевого самоврядування до статутного капіталу</t>
  </si>
  <si>
    <t>3480/1</t>
  </si>
  <si>
    <t>дебіторська заборгованість</t>
  </si>
  <si>
    <t>судовий збір</t>
  </si>
  <si>
    <t>кредиторська заборгованість</t>
  </si>
  <si>
    <t>3050/1</t>
  </si>
  <si>
    <t>3060/1</t>
  </si>
  <si>
    <t>3270/1</t>
  </si>
  <si>
    <t>3270/2</t>
  </si>
  <si>
    <t>3270/3</t>
  </si>
  <si>
    <t>3270/4</t>
  </si>
  <si>
    <t>комунальні послуги</t>
  </si>
  <si>
    <t>1062/4</t>
  </si>
  <si>
    <t>1 квартал</t>
  </si>
  <si>
    <t>експлуатаційні послуги</t>
  </si>
  <si>
    <t>витрати на товари</t>
  </si>
  <si>
    <t> N/n</t>
  </si>
  <si>
    <t>Назва структурного підрозділу  та посад</t>
  </si>
  <si>
    <t>Кількість штатних посад</t>
  </si>
  <si>
    <t>Посадовий оклад                  на одну штатну одиницю (грн.)</t>
  </si>
  <si>
    <t>Надбавка (до 50%) (грн.)</t>
  </si>
  <si>
    <t>Фонд заробітної плати на місяць (грн.)</t>
  </si>
  <si>
    <t>Адміністративно-господарська частина</t>
  </si>
  <si>
    <t>Директор</t>
  </si>
  <si>
    <t>Заступник директора</t>
  </si>
  <si>
    <t>Заступник директора з організаційних питань</t>
  </si>
  <si>
    <t>Помічник директора</t>
  </si>
  <si>
    <t>Головний бухгалтер</t>
  </si>
  <si>
    <t>Бухгалтер 1 категорії</t>
  </si>
  <si>
    <t>Юрисконсульт</t>
  </si>
  <si>
    <t>Відділ правової освіти та безпеки життєдіяльності</t>
  </si>
  <si>
    <t>Начальник відділу</t>
  </si>
  <si>
    <t>Інструктор з права</t>
  </si>
  <si>
    <t>Інструктор з парамедицини</t>
  </si>
  <si>
    <t>Відділ національно-патріотичного виховання та допризовної підготовки</t>
  </si>
  <si>
    <t>Інспектор з оборонно - масової роботи</t>
  </si>
  <si>
    <t>Інструктор з воєнної історії</t>
  </si>
  <si>
    <t>Інструктор з технічної підготовки</t>
  </si>
  <si>
    <t>Інструктор з єдиноборств</t>
  </si>
  <si>
    <t>Інструктор з командних видів змагань</t>
  </si>
  <si>
    <t>Відділ методично-консультативних робіт з участниками АТО</t>
  </si>
  <si>
    <t>5</t>
  </si>
  <si>
    <t>Консультант з питань здорового способу життя</t>
  </si>
  <si>
    <t>1</t>
  </si>
  <si>
    <t>Відділ з загальних питань</t>
  </si>
  <si>
    <t>Інструктор з організаційно-масової роботи</t>
  </si>
  <si>
    <t>Соціолог</t>
  </si>
  <si>
    <t>28</t>
  </si>
  <si>
    <t>надбавки</t>
  </si>
  <si>
    <t>усього</t>
  </si>
  <si>
    <t>собівартість</t>
  </si>
  <si>
    <t>єсв</t>
  </si>
  <si>
    <t>адмін</t>
  </si>
  <si>
    <t>інваліди с/в</t>
  </si>
  <si>
    <t>інваліди ауп</t>
  </si>
  <si>
    <t>ФОП</t>
  </si>
  <si>
    <t>ЄСВ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</si>
  <si>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</si>
  <si>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</si>
  <si>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</si>
  <si>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</si>
  <si>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</si>
  <si>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</si>
  <si>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Матеріальна помічь</t>
  </si>
  <si>
    <t>типографські послуги</t>
  </si>
  <si>
    <t>витрати на харчування</t>
  </si>
  <si>
    <t>1062/5</t>
  </si>
  <si>
    <t>1062/6</t>
  </si>
  <si>
    <t>138(послуг)</t>
  </si>
  <si>
    <t>формула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</si>
  <si>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</si>
  <si>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Комунальне підприємство</t>
  </si>
  <si>
    <t xml:space="preserve">Заступник міського голови з питань діяльності виконавчих органів, директор департаменту соціальної політики Дніпровської міської ради </t>
  </si>
  <si>
    <t>КОМУНАЛЬНЕ ПІДПРИЄМСТВО "ПАТРІОТ" ДНІПРОВСЬКОЇ МІСЬКОЇ РАДИ</t>
  </si>
  <si>
    <t xml:space="preserve"> м.Дніпро</t>
  </si>
  <si>
    <t xml:space="preserve">                                                       Е.С. Підлубний               </t>
  </si>
  <si>
    <t>____________________________________________ (дата та номер рішення виконавчого                           комітету міської ради)</t>
  </si>
  <si>
    <r>
      <t xml:space="preserve">ПОГОДЖЕНО </t>
    </r>
    <r>
      <rPr>
        <u/>
        <sz val="16"/>
        <rFont val="Times New Roman"/>
        <family val="1"/>
        <charset val="204"/>
      </rPr>
      <t xml:space="preserve">                           Е.С. Підлубний</t>
    </r>
    <r>
      <rPr>
        <sz val="16"/>
        <rFont val="Times New Roman"/>
        <family val="1"/>
        <charset val="204"/>
      </rPr>
      <t xml:space="preserve">   (прізвище, ініціали та підпис заступника міського голови за напрямом діяльності підприємства)</t>
    </r>
  </si>
  <si>
    <t>М.П.</t>
  </si>
  <si>
    <t xml:space="preserve">(прізвище,ініціали та підпис  керівника виконавчого органу міської ради відповідно до підпорядкованості, який розглянув фінансовий план)                                                                                                                                                                                                                               </t>
  </si>
  <si>
    <t>49000, Дніпропетровська обл.,місто Дніпро, проспект Дмитра Яворницького, буд.75</t>
  </si>
  <si>
    <r>
      <t xml:space="preserve">  Керівник        </t>
    </r>
    <r>
      <rPr>
        <b/>
        <u/>
        <sz val="14"/>
        <rFont val="Times New Roman"/>
        <family val="1"/>
        <charset val="204"/>
      </rPr>
      <t>директор</t>
    </r>
  </si>
  <si>
    <r>
      <t>________</t>
    </r>
    <r>
      <rPr>
        <b/>
        <u/>
        <sz val="14"/>
        <rFont val="Times New Roman"/>
        <family val="1"/>
        <charset val="204"/>
      </rPr>
      <t>І.Є.Куліковський</t>
    </r>
    <r>
      <rPr>
        <b/>
        <sz val="14"/>
        <rFont val="Times New Roman"/>
        <family val="1"/>
        <charset val="204"/>
      </rPr>
      <t>______________________________</t>
    </r>
  </si>
  <si>
    <r>
      <t xml:space="preserve">   Керівник             </t>
    </r>
    <r>
      <rPr>
        <b/>
        <u/>
        <sz val="14"/>
        <rFont val="Times New Roman"/>
        <family val="1"/>
        <charset val="204"/>
      </rPr>
      <t>директор</t>
    </r>
  </si>
  <si>
    <r>
      <t xml:space="preserve">   Керівник             </t>
    </r>
    <r>
      <rPr>
        <b/>
        <u/>
        <sz val="14"/>
        <rFont val="Times New Roman"/>
        <family val="1"/>
        <charset val="204"/>
      </rPr>
      <t xml:space="preserve">      директор    </t>
    </r>
  </si>
  <si>
    <r>
      <t xml:space="preserve">  Керівник    </t>
    </r>
    <r>
      <rPr>
        <b/>
        <u/>
        <sz val="14"/>
        <rFont val="Times New Roman"/>
        <family val="1"/>
        <charset val="204"/>
      </rPr>
      <t xml:space="preserve">   директор     </t>
    </r>
  </si>
  <si>
    <r>
      <t xml:space="preserve">         </t>
    </r>
    <r>
      <rPr>
        <b/>
        <u/>
        <sz val="14"/>
        <rFont val="Times New Roman"/>
        <family val="1"/>
        <charset val="204"/>
      </rPr>
      <t>І.Є. Куліковський</t>
    </r>
  </si>
  <si>
    <r>
      <t>___________</t>
    </r>
    <r>
      <rPr>
        <b/>
        <u/>
        <sz val="14"/>
        <rFont val="Times New Roman"/>
        <family val="1"/>
        <charset val="204"/>
      </rPr>
      <t>І.Є. Куліковський</t>
    </r>
    <r>
      <rPr>
        <b/>
        <sz val="14"/>
        <rFont val="Times New Roman"/>
        <family val="1"/>
        <charset val="204"/>
      </rPr>
      <t>___________________________</t>
    </r>
  </si>
  <si>
    <r>
      <t xml:space="preserve">  Керівник         </t>
    </r>
    <r>
      <rPr>
        <b/>
        <u/>
        <sz val="14"/>
        <rFont val="Times New Roman"/>
        <family val="1"/>
        <charset val="204"/>
      </rPr>
      <t xml:space="preserve">   директор     </t>
    </r>
  </si>
  <si>
    <r>
      <t xml:space="preserve">  Керівник                    </t>
    </r>
    <r>
      <rPr>
        <b/>
        <u/>
        <sz val="14"/>
        <rFont val="Times New Roman"/>
        <family val="1"/>
        <charset val="204"/>
      </rPr>
      <t xml:space="preserve">  директор     </t>
    </r>
  </si>
  <si>
    <t>Індексація</t>
  </si>
  <si>
    <t>до фінансового плану на 2020 рік</t>
  </si>
  <si>
    <t>Фактичний показник за 2018 рік</t>
  </si>
  <si>
    <t>Плановий показник поточного 2019 року</t>
  </si>
  <si>
    <t>Фактичний показник поточного року за останній звітний період 2019 року</t>
  </si>
  <si>
    <t>25(послуг)</t>
  </si>
  <si>
    <t>141(послуг)</t>
  </si>
  <si>
    <t>47(послуг)</t>
  </si>
  <si>
    <t>Плановий 2020 рік</t>
  </si>
  <si>
    <t>план використання</t>
  </si>
  <si>
    <r>
      <t xml:space="preserve">ФІНАНСОВИЙ ПЛАН ПІДПРИЄМСТВА НА  </t>
    </r>
    <r>
      <rPr>
        <b/>
        <u/>
        <sz val="14"/>
        <rFont val="Times New Roman"/>
        <family val="1"/>
        <charset val="204"/>
      </rPr>
      <t xml:space="preserve">    2020   </t>
    </r>
    <r>
      <rPr>
        <b/>
        <sz val="14"/>
        <rFont val="Times New Roman"/>
        <family val="1"/>
        <charset val="204"/>
      </rPr>
      <t xml:space="preserve"> рік</t>
    </r>
  </si>
  <si>
    <t>Рік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</si>
</sst>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_-* #,##0_₴_-;\-* #,##0_₴_-;_-* &quot;-&quot;??_₴_-;_-@_-"/>
  </numFmts>
  <fonts count="8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u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u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  <xf numFmtId="164" fontId="2" fillId="0" borderId="0" applyFont="0" applyFill="0" applyBorder="0" applyAlignment="0" applyProtection="0"/>
  </cellStyleXfs>
  <cellXfs count="45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30" borderId="3" xfId="0" applyFont="1" applyFill="1" applyBorder="1" applyAlignment="1">
      <alignment horizontal="left" wrapText="1"/>
    </xf>
    <xf numFmtId="0" fontId="75" fillId="31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7" applyNumberFormat="1" applyFont="1" applyFill="1" applyBorder="1" applyAlignment="1">
      <alignment horizontal="center" vertical="center" wrapText="1"/>
    </xf>
    <xf numFmtId="2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7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3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1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3" xfId="0" quotePrefix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182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center" vertical="center"/>
      <protection locked="0"/>
    </xf>
    <xf numFmtId="0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" xfId="0" applyNumberFormat="1" applyFont="1" applyFill="1" applyBorder="1" applyAlignment="1" applyProtection="1">
      <alignment horizontal="center" vertical="center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170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245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1" fillId="0" borderId="18" xfId="0" applyFont="1" applyBorder="1" applyAlignment="1">
      <alignment horizontal="center" vertical="center" wrapText="1"/>
    </xf>
    <xf numFmtId="0" fontId="81" fillId="0" borderId="18" xfId="0" applyFont="1" applyBorder="1" applyAlignment="1">
      <alignment vertical="center" wrapText="1"/>
    </xf>
    <xf numFmtId="0" fontId="81" fillId="0" borderId="3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1" fillId="0" borderId="3" xfId="0" applyFont="1" applyBorder="1" applyAlignment="1">
      <alignment vertical="center" wrapText="1"/>
    </xf>
    <xf numFmtId="0" fontId="82" fillId="0" borderId="3" xfId="0" applyFont="1" applyBorder="1" applyAlignment="1">
      <alignment vertical="center" wrapText="1"/>
    </xf>
    <xf numFmtId="4" fontId="81" fillId="0" borderId="3" xfId="0" applyNumberFormat="1" applyFont="1" applyBorder="1" applyAlignment="1">
      <alignment horizontal="center" vertical="center" wrapText="1"/>
    </xf>
    <xf numFmtId="4" fontId="82" fillId="0" borderId="3" xfId="0" applyNumberFormat="1" applyFont="1" applyBorder="1" applyAlignment="1">
      <alignment horizontal="center" vertical="center" wrapText="1"/>
    </xf>
    <xf numFmtId="4" fontId="82" fillId="22" borderId="3" xfId="0" applyNumberFormat="1" applyFont="1" applyFill="1" applyBorder="1" applyAlignment="1">
      <alignment horizontal="center" vertical="center" wrapText="1"/>
    </xf>
    <xf numFmtId="0" fontId="81" fillId="22" borderId="3" xfId="0" applyFont="1" applyFill="1" applyBorder="1" applyAlignment="1">
      <alignment vertical="center" wrapText="1"/>
    </xf>
    <xf numFmtId="0" fontId="82" fillId="22" borderId="3" xfId="0" applyFont="1" applyFill="1" applyBorder="1" applyAlignment="1">
      <alignment vertical="center" wrapText="1"/>
    </xf>
    <xf numFmtId="0" fontId="81" fillId="22" borderId="3" xfId="0" applyFont="1" applyFill="1" applyBorder="1" applyAlignment="1">
      <alignment horizontal="center" vertical="center" wrapText="1"/>
    </xf>
    <xf numFmtId="0" fontId="82" fillId="22" borderId="3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/>
    </xf>
    <xf numFmtId="0" fontId="81" fillId="0" borderId="3" xfId="0" applyFont="1" applyBorder="1" applyAlignment="1">
      <alignment wrapText="1"/>
    </xf>
    <xf numFmtId="49" fontId="81" fillId="0" borderId="3" xfId="0" applyNumberFormat="1" applyFont="1" applyBorder="1" applyAlignment="1">
      <alignment horizontal="center" vertical="center" wrapText="1"/>
    </xf>
    <xf numFmtId="4" fontId="82" fillId="0" borderId="3" xfId="0" applyNumberFormat="1" applyFont="1" applyBorder="1" applyAlignment="1">
      <alignment horizontal="center" wrapText="1"/>
    </xf>
    <xf numFmtId="0" fontId="81" fillId="0" borderId="3" xfId="0" applyFont="1" applyBorder="1" applyAlignment="1">
      <alignment horizontal="center" vertical="center"/>
    </xf>
    <xf numFmtId="49" fontId="82" fillId="22" borderId="3" xfId="0" applyNumberFormat="1" applyFont="1" applyFill="1" applyBorder="1" applyAlignment="1">
      <alignment horizontal="center" vertical="center" wrapText="1"/>
    </xf>
    <xf numFmtId="49" fontId="82" fillId="0" borderId="3" xfId="0" applyNumberFormat="1" applyFont="1" applyBorder="1" applyAlignment="1">
      <alignment horizontal="center" vertical="center" wrapText="1"/>
    </xf>
    <xf numFmtId="49" fontId="81" fillId="22" borderId="3" xfId="0" applyNumberFormat="1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/>
    </xf>
    <xf numFmtId="0" fontId="82" fillId="32" borderId="3" xfId="0" applyFont="1" applyFill="1" applyBorder="1" applyAlignment="1">
      <alignment horizontal="center" vertical="center" wrapText="1"/>
    </xf>
    <xf numFmtId="1" fontId="84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 vertical="center" wrapText="1"/>
    </xf>
    <xf numFmtId="0" fontId="5" fillId="32" borderId="3" xfId="0" applyFont="1" applyFill="1" applyBorder="1" applyAlignment="1" applyProtection="1">
      <alignment horizontal="center" vertical="center" wrapText="1"/>
    </xf>
    <xf numFmtId="1" fontId="5" fillId="32" borderId="3" xfId="0" applyNumberFormat="1" applyFont="1" applyFill="1" applyBorder="1" applyAlignment="1">
      <alignment horizontal="center" vertical="center" wrapText="1"/>
    </xf>
    <xf numFmtId="170" fontId="4" fillId="32" borderId="0" xfId="0" quotePrefix="1" applyNumberFormat="1" applyFont="1" applyFill="1" applyBorder="1" applyAlignment="1" applyProtection="1">
      <alignment horizontal="center"/>
      <protection locked="0"/>
    </xf>
    <xf numFmtId="170" fontId="5" fillId="32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4" borderId="3" xfId="0" applyNumberFormat="1" applyFont="1" applyFill="1" applyBorder="1" applyAlignment="1" applyProtection="1">
      <alignment horizontal="center" vertical="center" wrapText="1"/>
    </xf>
    <xf numFmtId="1" fontId="4" fillId="34" borderId="3" xfId="0" applyNumberFormat="1" applyFont="1" applyFill="1" applyBorder="1" applyAlignment="1" applyProtection="1">
      <alignment horizontal="center" vertical="center" wrapText="1"/>
    </xf>
    <xf numFmtId="1" fontId="5" fillId="34" borderId="3" xfId="0" applyNumberFormat="1" applyFont="1" applyFill="1" applyBorder="1" applyAlignment="1">
      <alignment horizontal="center" vertical="center" wrapText="1"/>
    </xf>
    <xf numFmtId="1" fontId="4" fillId="34" borderId="3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right" vertical="center"/>
    </xf>
    <xf numFmtId="0" fontId="5" fillId="32" borderId="3" xfId="0" applyFont="1" applyFill="1" applyBorder="1" applyAlignment="1">
      <alignment horizontal="center" vertical="center" wrapText="1" shrinkToFit="1"/>
    </xf>
    <xf numFmtId="169" fontId="4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0" xfId="245" applyFont="1" applyFill="1" applyBorder="1" applyAlignment="1">
      <alignment horizontal="center" vertical="center" wrapText="1"/>
    </xf>
    <xf numFmtId="0" fontId="5" fillId="32" borderId="3" xfId="245" applyFont="1" applyFill="1" applyBorder="1" applyAlignment="1">
      <alignment horizontal="center" vertical="center" wrapText="1"/>
    </xf>
    <xf numFmtId="1" fontId="5" fillId="34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2" borderId="0" xfId="245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81" fillId="0" borderId="3" xfId="0" applyFont="1" applyFill="1" applyBorder="1" applyAlignment="1">
      <alignment horizontal="center" vertical="center" wrapText="1"/>
    </xf>
    <xf numFmtId="0" fontId="0" fillId="34" borderId="3" xfId="0" applyFill="1" applyBorder="1"/>
    <xf numFmtId="179" fontId="75" fillId="0" borderId="3" xfId="353" applyNumberFormat="1" applyFont="1" applyBorder="1"/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/>
    <xf numFmtId="49" fontId="0" fillId="34" borderId="3" xfId="0" applyNumberFormat="1" applyFill="1" applyBorder="1"/>
    <xf numFmtId="0" fontId="0" fillId="32" borderId="0" xfId="0" applyFill="1"/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8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0" fontId="5" fillId="32" borderId="3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9" fontId="5" fillId="29" borderId="14" xfId="0" applyNumberFormat="1" applyFont="1" applyFill="1" applyBorder="1" applyAlignment="1" applyProtection="1">
      <alignment horizontal="center" vertical="center" wrapText="1"/>
    </xf>
    <xf numFmtId="9" fontId="5" fillId="29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2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8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32" borderId="14" xfId="0" applyFont="1" applyFill="1" applyBorder="1" applyAlignment="1" applyProtection="1">
      <alignment horizontal="center" vertical="center" wrapText="1"/>
    </xf>
    <xf numFmtId="0" fontId="4" fillId="32" borderId="15" xfId="0" applyFont="1" applyFill="1" applyBorder="1" applyAlignment="1" applyProtection="1">
      <alignment horizontal="center" vertical="center" wrapText="1"/>
    </xf>
    <xf numFmtId="0" fontId="4" fillId="32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29" borderId="14" xfId="0" applyNumberFormat="1" applyFont="1" applyFill="1" applyBorder="1" applyAlignment="1">
      <alignment horizontal="center" vertical="center" wrapText="1"/>
    </xf>
    <xf numFmtId="0" fontId="10" fillId="29" borderId="15" xfId="0" applyNumberFormat="1" applyFont="1" applyFill="1" applyBorder="1" applyAlignment="1">
      <alignment horizontal="center" vertical="center" wrapText="1"/>
    </xf>
    <xf numFmtId="0" fontId="10" fillId="29" borderId="16" xfId="0" applyNumberFormat="1" applyFont="1" applyFill="1" applyBorder="1" applyAlignment="1">
      <alignment horizontal="center" vertical="center" wrapText="1"/>
    </xf>
    <xf numFmtId="0" fontId="5" fillId="29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9" fontId="5" fillId="32" borderId="3" xfId="0" applyNumberFormat="1" applyFont="1" applyFill="1" applyBorder="1" applyAlignment="1" applyProtection="1">
      <alignment horizontal="left" vertical="center" wrapText="1"/>
      <protection locked="0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5:F20"/>
  <sheetViews>
    <sheetView workbookViewId="0">
      <selection activeCell="A3" sqref="A3:F32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288" t="s">
        <v>394</v>
      </c>
      <c r="B5" s="288"/>
      <c r="C5" s="289" t="s">
        <v>395</v>
      </c>
      <c r="D5" s="289"/>
      <c r="E5" s="178" t="s">
        <v>396</v>
      </c>
      <c r="F5" s="178" t="s">
        <v>397</v>
      </c>
    </row>
    <row r="6" spans="1:6" ht="18">
      <c r="A6" s="175" t="s">
        <v>392</v>
      </c>
      <c r="B6" s="198">
        <v>0.22</v>
      </c>
      <c r="C6" s="202"/>
      <c r="D6" s="203"/>
      <c r="E6" s="177">
        <v>0.18</v>
      </c>
      <c r="F6" s="176">
        <v>1.4999999999999999E-2</v>
      </c>
    </row>
    <row r="7" spans="1:6" ht="25.5">
      <c r="A7" s="175" t="s">
        <v>393</v>
      </c>
      <c r="B7" s="206">
        <v>8.4099999999999994E-2</v>
      </c>
      <c r="C7" s="202"/>
      <c r="D7" s="181"/>
      <c r="E7" s="181"/>
      <c r="F7" s="181"/>
    </row>
    <row r="8" spans="1:6" ht="72.75" customHeight="1">
      <c r="A8" s="202"/>
      <c r="B8" s="203"/>
      <c r="C8" s="202"/>
      <c r="D8" s="203"/>
      <c r="E8" s="181"/>
      <c r="F8" s="181"/>
    </row>
    <row r="10" spans="1:6" ht="24" customHeight="1">
      <c r="B10" s="173"/>
      <c r="C10" s="174" t="s">
        <v>383</v>
      </c>
      <c r="D10" s="174" t="s">
        <v>375</v>
      </c>
      <c r="E10" s="174" t="s">
        <v>376</v>
      </c>
      <c r="F10" s="174" t="s">
        <v>87</v>
      </c>
    </row>
    <row r="11" spans="1:6" ht="25.5">
      <c r="B11" s="179" t="s">
        <v>399</v>
      </c>
      <c r="C11" s="196">
        <f>'I. Фін результат'!F98</f>
        <v>863</v>
      </c>
      <c r="D11" s="196">
        <f>'I. Фін результат'!G98</f>
        <v>1726</v>
      </c>
      <c r="E11" s="196">
        <f>'I. Фін результат'!H98</f>
        <v>2589</v>
      </c>
      <c r="F11" s="196">
        <f>'I. Фін результат'!I98</f>
        <v>3452</v>
      </c>
    </row>
    <row r="12" spans="1:6" ht="26.25" customHeight="1">
      <c r="B12" s="180" t="s">
        <v>398</v>
      </c>
      <c r="C12" s="197">
        <v>18</v>
      </c>
      <c r="D12" s="197">
        <v>37</v>
      </c>
      <c r="E12" s="197">
        <v>55</v>
      </c>
      <c r="F12" s="197">
        <v>73</v>
      </c>
    </row>
    <row r="13" spans="1:6">
      <c r="B13" s="204"/>
      <c r="C13" s="205"/>
      <c r="D13" s="205"/>
      <c r="E13" s="205"/>
      <c r="F13" s="205"/>
    </row>
    <row r="17" spans="2:6" ht="25.5">
      <c r="B17" s="170" t="s">
        <v>6</v>
      </c>
      <c r="C17" s="172">
        <f>(C11-C12)*$B$6+C12*$B$7</f>
        <v>187.41380000000001</v>
      </c>
      <c r="D17" s="172">
        <f>(D11-D12)*$B$6+D12*$B$7</f>
        <v>374.69169999999997</v>
      </c>
      <c r="E17" s="172">
        <f>(E11-E12)*$B$6+E12*$B$7</f>
        <v>562.10550000000001</v>
      </c>
      <c r="F17" s="172">
        <f>(F11-F12)*$B$6+F12*$B$7</f>
        <v>749.51930000000004</v>
      </c>
    </row>
    <row r="18" spans="2:6" ht="38.25">
      <c r="B18" s="171" t="s">
        <v>400</v>
      </c>
      <c r="C18" s="172">
        <f>C11*$E$6</f>
        <v>155.34</v>
      </c>
      <c r="D18" s="172">
        <f>D11*$E$6</f>
        <v>310.68</v>
      </c>
      <c r="E18" s="172">
        <f>E11*$E$6</f>
        <v>466.02</v>
      </c>
      <c r="F18" s="172">
        <f>F11*$E$6</f>
        <v>621.36</v>
      </c>
    </row>
    <row r="19" spans="2:6">
      <c r="B19" s="175" t="s">
        <v>397</v>
      </c>
      <c r="C19" s="172">
        <f>C11*$F$6</f>
        <v>12.945</v>
      </c>
      <c r="D19" s="172">
        <f>D11*$F$6</f>
        <v>25.89</v>
      </c>
      <c r="E19" s="172">
        <f>E11*$F$6</f>
        <v>38.835000000000001</v>
      </c>
      <c r="F19" s="172">
        <f>F11*$F$6</f>
        <v>51.78</v>
      </c>
    </row>
    <row r="20" spans="2:6">
      <c r="C20" s="169"/>
      <c r="D20" s="169"/>
      <c r="E20" s="169"/>
      <c r="F20" s="169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E71"/>
  <sheetViews>
    <sheetView tabSelected="1" zoomScale="60" zoomScaleNormal="70" zoomScaleSheetLayoutView="50" workbookViewId="0">
      <selection activeCell="V57" sqref="V57:Z57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7"/>
      <c r="R1" s="27"/>
      <c r="S1" s="27"/>
      <c r="T1" s="27"/>
      <c r="U1" s="27"/>
      <c r="AB1" s="440"/>
      <c r="AC1" s="441"/>
      <c r="AD1" s="441"/>
      <c r="AE1" s="441"/>
    </row>
    <row r="2" spans="1:31" ht="18.75" customHeight="1">
      <c r="B2" s="38" t="s">
        <v>258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8.75" customHeight="1">
      <c r="A4" s="353" t="s">
        <v>56</v>
      </c>
      <c r="B4" s="353" t="s">
        <v>213</v>
      </c>
      <c r="C4" s="427" t="s">
        <v>214</v>
      </c>
      <c r="D4" s="428"/>
      <c r="E4" s="428"/>
      <c r="F4" s="429"/>
      <c r="G4" s="427" t="s">
        <v>352</v>
      </c>
      <c r="H4" s="428"/>
      <c r="I4" s="428"/>
      <c r="J4" s="428"/>
      <c r="K4" s="428"/>
      <c r="L4" s="429"/>
      <c r="M4" s="427" t="s">
        <v>215</v>
      </c>
      <c r="N4" s="428"/>
      <c r="O4" s="428"/>
      <c r="P4" s="429"/>
      <c r="Q4" s="359" t="s">
        <v>306</v>
      </c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77"/>
    </row>
    <row r="5" spans="1:31" ht="48.75" customHeight="1">
      <c r="A5" s="354"/>
      <c r="B5" s="354"/>
      <c r="C5" s="430"/>
      <c r="D5" s="431"/>
      <c r="E5" s="431"/>
      <c r="F5" s="432"/>
      <c r="G5" s="430"/>
      <c r="H5" s="431"/>
      <c r="I5" s="431"/>
      <c r="J5" s="431"/>
      <c r="K5" s="431"/>
      <c r="L5" s="432"/>
      <c r="M5" s="430"/>
      <c r="N5" s="431"/>
      <c r="O5" s="431"/>
      <c r="P5" s="432"/>
      <c r="Q5" s="371" t="s">
        <v>216</v>
      </c>
      <c r="R5" s="372"/>
      <c r="S5" s="373"/>
      <c r="T5" s="371" t="s">
        <v>217</v>
      </c>
      <c r="U5" s="372"/>
      <c r="V5" s="373"/>
      <c r="W5" s="371" t="s">
        <v>44</v>
      </c>
      <c r="X5" s="372"/>
      <c r="Y5" s="373"/>
      <c r="Z5" s="359" t="s">
        <v>218</v>
      </c>
      <c r="AA5" s="360"/>
      <c r="AB5" s="377"/>
      <c r="AC5" s="359" t="s">
        <v>219</v>
      </c>
      <c r="AD5" s="360"/>
      <c r="AE5" s="377"/>
    </row>
    <row r="6" spans="1:31" ht="18" customHeight="1">
      <c r="A6" s="62">
        <v>1</v>
      </c>
      <c r="B6" s="63">
        <v>2</v>
      </c>
      <c r="C6" s="434">
        <v>3</v>
      </c>
      <c r="D6" s="435"/>
      <c r="E6" s="435"/>
      <c r="F6" s="436"/>
      <c r="G6" s="434">
        <v>4</v>
      </c>
      <c r="H6" s="435"/>
      <c r="I6" s="435"/>
      <c r="J6" s="435"/>
      <c r="K6" s="435"/>
      <c r="L6" s="436"/>
      <c r="M6" s="434">
        <v>5</v>
      </c>
      <c r="N6" s="435"/>
      <c r="O6" s="435"/>
      <c r="P6" s="436"/>
      <c r="Q6" s="434">
        <v>6</v>
      </c>
      <c r="R6" s="435"/>
      <c r="S6" s="436"/>
      <c r="T6" s="434">
        <v>7</v>
      </c>
      <c r="U6" s="435"/>
      <c r="V6" s="436"/>
      <c r="W6" s="437">
        <v>8</v>
      </c>
      <c r="X6" s="438"/>
      <c r="Y6" s="439"/>
      <c r="Z6" s="437">
        <v>9</v>
      </c>
      <c r="AA6" s="438"/>
      <c r="AB6" s="439"/>
      <c r="AC6" s="437">
        <v>10</v>
      </c>
      <c r="AD6" s="438"/>
      <c r="AE6" s="439"/>
    </row>
    <row r="7" spans="1:31" ht="20.100000000000001" customHeight="1">
      <c r="A7" s="62"/>
      <c r="B7" s="216"/>
      <c r="C7" s="415"/>
      <c r="D7" s="416"/>
      <c r="E7" s="416"/>
      <c r="F7" s="417"/>
      <c r="G7" s="412"/>
      <c r="H7" s="413"/>
      <c r="I7" s="413"/>
      <c r="J7" s="413"/>
      <c r="K7" s="413"/>
      <c r="L7" s="414"/>
      <c r="M7" s="405">
        <f>SUM(Q7,T7,W7,Z7,AC7)</f>
        <v>0</v>
      </c>
      <c r="N7" s="406"/>
      <c r="O7" s="406"/>
      <c r="P7" s="407"/>
      <c r="Q7" s="409"/>
      <c r="R7" s="410"/>
      <c r="S7" s="411"/>
      <c r="T7" s="409"/>
      <c r="U7" s="410"/>
      <c r="V7" s="411"/>
      <c r="W7" s="409"/>
      <c r="X7" s="410"/>
      <c r="Y7" s="411"/>
      <c r="Z7" s="409"/>
      <c r="AA7" s="410"/>
      <c r="AB7" s="411"/>
      <c r="AC7" s="409"/>
      <c r="AD7" s="410"/>
      <c r="AE7" s="411"/>
    </row>
    <row r="8" spans="1:31" ht="20.100000000000001" customHeight="1">
      <c r="A8" s="62"/>
      <c r="B8" s="216"/>
      <c r="C8" s="415"/>
      <c r="D8" s="416"/>
      <c r="E8" s="416"/>
      <c r="F8" s="417"/>
      <c r="G8" s="412"/>
      <c r="H8" s="413"/>
      <c r="I8" s="413"/>
      <c r="J8" s="413"/>
      <c r="K8" s="413"/>
      <c r="L8" s="414"/>
      <c r="M8" s="405">
        <f>SUM(Q8,T8,W8,Z8,AC8)</f>
        <v>0</v>
      </c>
      <c r="N8" s="406"/>
      <c r="O8" s="406"/>
      <c r="P8" s="407"/>
      <c r="Q8" s="409"/>
      <c r="R8" s="410"/>
      <c r="S8" s="411"/>
      <c r="T8" s="409"/>
      <c r="U8" s="410"/>
      <c r="V8" s="411"/>
      <c r="W8" s="409"/>
      <c r="X8" s="410"/>
      <c r="Y8" s="411"/>
      <c r="Z8" s="409"/>
      <c r="AA8" s="410"/>
      <c r="AB8" s="411"/>
      <c r="AC8" s="409"/>
      <c r="AD8" s="410"/>
      <c r="AE8" s="411"/>
    </row>
    <row r="9" spans="1:31" ht="20.100000000000001" customHeight="1">
      <c r="A9" s="62"/>
      <c r="B9" s="216"/>
      <c r="C9" s="415"/>
      <c r="D9" s="416"/>
      <c r="E9" s="416"/>
      <c r="F9" s="417"/>
      <c r="G9" s="412"/>
      <c r="H9" s="413"/>
      <c r="I9" s="413"/>
      <c r="J9" s="413"/>
      <c r="K9" s="413"/>
      <c r="L9" s="414"/>
      <c r="M9" s="405">
        <f>SUM(Q9,T9,W9,Z9,AC9)</f>
        <v>0</v>
      </c>
      <c r="N9" s="406"/>
      <c r="O9" s="406"/>
      <c r="P9" s="407"/>
      <c r="Q9" s="409"/>
      <c r="R9" s="410"/>
      <c r="S9" s="411"/>
      <c r="T9" s="409"/>
      <c r="U9" s="410"/>
      <c r="V9" s="411"/>
      <c r="W9" s="409"/>
      <c r="X9" s="410"/>
      <c r="Y9" s="411"/>
      <c r="Z9" s="409"/>
      <c r="AA9" s="410"/>
      <c r="AB9" s="411"/>
      <c r="AC9" s="409"/>
      <c r="AD9" s="410"/>
      <c r="AE9" s="411"/>
    </row>
    <row r="10" spans="1:31" ht="20.100000000000001" customHeight="1">
      <c r="A10" s="62"/>
      <c r="B10" s="216"/>
      <c r="C10" s="415"/>
      <c r="D10" s="416"/>
      <c r="E10" s="416"/>
      <c r="F10" s="417"/>
      <c r="G10" s="412"/>
      <c r="H10" s="413"/>
      <c r="I10" s="413"/>
      <c r="J10" s="413"/>
      <c r="K10" s="413"/>
      <c r="L10" s="414"/>
      <c r="M10" s="405">
        <f>SUM(Q10,T10,W10,Z10,AC10)</f>
        <v>0</v>
      </c>
      <c r="N10" s="406"/>
      <c r="O10" s="406"/>
      <c r="P10" s="407"/>
      <c r="Q10" s="409"/>
      <c r="R10" s="410"/>
      <c r="S10" s="411"/>
      <c r="T10" s="409"/>
      <c r="U10" s="410"/>
      <c r="V10" s="411"/>
      <c r="W10" s="409"/>
      <c r="X10" s="410"/>
      <c r="Y10" s="411"/>
      <c r="Z10" s="409"/>
      <c r="AA10" s="410"/>
      <c r="AB10" s="411"/>
      <c r="AC10" s="409"/>
      <c r="AD10" s="410"/>
      <c r="AE10" s="411"/>
    </row>
    <row r="11" spans="1:31" ht="20.100000000000001" customHeight="1">
      <c r="A11" s="421" t="s">
        <v>61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3"/>
      <c r="M11" s="385">
        <f>SUM(M7:P10)</f>
        <v>0</v>
      </c>
      <c r="N11" s="408"/>
      <c r="O11" s="408"/>
      <c r="P11" s="386"/>
      <c r="Q11" s="385">
        <f>SUM(Q7:S10)</f>
        <v>0</v>
      </c>
      <c r="R11" s="408"/>
      <c r="S11" s="386"/>
      <c r="T11" s="385">
        <f>SUM(T7:V10)</f>
        <v>0</v>
      </c>
      <c r="U11" s="408"/>
      <c r="V11" s="386"/>
      <c r="W11" s="385">
        <f>SUM(W7:Y10)</f>
        <v>0</v>
      </c>
      <c r="X11" s="408"/>
      <c r="Y11" s="386"/>
      <c r="Z11" s="385">
        <f>SUM(Z7:AB10)</f>
        <v>0</v>
      </c>
      <c r="AA11" s="408"/>
      <c r="AB11" s="386"/>
      <c r="AC11" s="385">
        <f>SUM(AC7:AE10)</f>
        <v>0</v>
      </c>
      <c r="AD11" s="408"/>
      <c r="AE11" s="386"/>
    </row>
    <row r="12" spans="1:3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38" customFormat="1" ht="18.75" customHeight="1">
      <c r="B13" s="38" t="s">
        <v>259</v>
      </c>
    </row>
    <row r="14" spans="1:31" s="38" customFormat="1" ht="18.75" customHeight="1"/>
    <row r="15" spans="1:31" ht="18.75" customHeight="1">
      <c r="A15" s="348" t="s">
        <v>56</v>
      </c>
      <c r="B15" s="348" t="s">
        <v>220</v>
      </c>
      <c r="C15" s="345" t="s">
        <v>213</v>
      </c>
      <c r="D15" s="345"/>
      <c r="E15" s="345"/>
      <c r="F15" s="345"/>
      <c r="G15" s="345" t="s">
        <v>352</v>
      </c>
      <c r="H15" s="345"/>
      <c r="I15" s="345"/>
      <c r="J15" s="345"/>
      <c r="K15" s="345"/>
      <c r="L15" s="345"/>
      <c r="M15" s="345"/>
      <c r="N15" s="345"/>
      <c r="O15" s="345"/>
      <c r="P15" s="345"/>
      <c r="Q15" s="345" t="s">
        <v>221</v>
      </c>
      <c r="R15" s="345"/>
      <c r="S15" s="345"/>
      <c r="T15" s="345"/>
      <c r="U15" s="345"/>
      <c r="V15" s="342" t="s">
        <v>222</v>
      </c>
      <c r="W15" s="342"/>
      <c r="X15" s="342"/>
      <c r="Y15" s="342"/>
      <c r="Z15" s="342"/>
      <c r="AA15" s="342"/>
      <c r="AB15" s="342"/>
      <c r="AC15" s="342"/>
      <c r="AD15" s="342"/>
      <c r="AE15" s="342"/>
    </row>
    <row r="16" spans="1:31" ht="18.75" customHeight="1">
      <c r="A16" s="348"/>
      <c r="B16" s="348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2" t="s">
        <v>223</v>
      </c>
      <c r="W16" s="342"/>
      <c r="X16" s="342" t="s">
        <v>106</v>
      </c>
      <c r="Y16" s="342"/>
      <c r="Z16" s="342"/>
      <c r="AA16" s="342"/>
      <c r="AB16" s="342"/>
      <c r="AC16" s="342"/>
      <c r="AD16" s="342"/>
      <c r="AE16" s="342"/>
    </row>
    <row r="17" spans="1:31" ht="18.75" customHeight="1">
      <c r="A17" s="348"/>
      <c r="B17" s="348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2"/>
      <c r="W17" s="342"/>
      <c r="X17" s="342" t="s">
        <v>383</v>
      </c>
      <c r="Y17" s="342"/>
      <c r="Z17" s="342" t="s">
        <v>375</v>
      </c>
      <c r="AA17" s="342"/>
      <c r="AB17" s="342" t="s">
        <v>376</v>
      </c>
      <c r="AC17" s="342"/>
      <c r="AD17" s="342" t="s">
        <v>87</v>
      </c>
      <c r="AE17" s="342"/>
    </row>
    <row r="18" spans="1:31" ht="18" customHeight="1">
      <c r="A18" s="62">
        <v>1</v>
      </c>
      <c r="B18" s="62">
        <v>2</v>
      </c>
      <c r="C18" s="424">
        <v>3</v>
      </c>
      <c r="D18" s="424"/>
      <c r="E18" s="424"/>
      <c r="F18" s="424"/>
      <c r="G18" s="424">
        <v>4</v>
      </c>
      <c r="H18" s="424"/>
      <c r="I18" s="424"/>
      <c r="J18" s="424"/>
      <c r="K18" s="424"/>
      <c r="L18" s="424"/>
      <c r="M18" s="424"/>
      <c r="N18" s="424"/>
      <c r="O18" s="424"/>
      <c r="P18" s="424"/>
      <c r="Q18" s="424">
        <v>5</v>
      </c>
      <c r="R18" s="424"/>
      <c r="S18" s="424"/>
      <c r="T18" s="424"/>
      <c r="U18" s="424"/>
      <c r="V18" s="424">
        <v>6</v>
      </c>
      <c r="W18" s="424"/>
      <c r="X18" s="426">
        <v>7</v>
      </c>
      <c r="Y18" s="426"/>
      <c r="Z18" s="426">
        <v>8</v>
      </c>
      <c r="AA18" s="426"/>
      <c r="AB18" s="426">
        <v>9</v>
      </c>
      <c r="AC18" s="426"/>
      <c r="AD18" s="426">
        <v>10</v>
      </c>
      <c r="AE18" s="426"/>
    </row>
    <row r="19" spans="1:31" ht="20.100000000000001" customHeight="1">
      <c r="A19" s="86"/>
      <c r="B19" s="81"/>
      <c r="C19" s="419"/>
      <c r="D19" s="419"/>
      <c r="E19" s="419"/>
      <c r="F19" s="419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33"/>
      <c r="R19" s="433"/>
      <c r="S19" s="433"/>
      <c r="T19" s="433"/>
      <c r="U19" s="433"/>
      <c r="V19" s="425">
        <f>AD19</f>
        <v>0</v>
      </c>
      <c r="W19" s="425"/>
      <c r="X19" s="420"/>
      <c r="Y19" s="420"/>
      <c r="Z19" s="420"/>
      <c r="AA19" s="420"/>
      <c r="AB19" s="420"/>
      <c r="AC19" s="420"/>
      <c r="AD19" s="420"/>
      <c r="AE19" s="420"/>
    </row>
    <row r="20" spans="1:31" ht="20.100000000000001" customHeight="1">
      <c r="A20" s="86"/>
      <c r="B20" s="81"/>
      <c r="C20" s="419"/>
      <c r="D20" s="419"/>
      <c r="E20" s="419"/>
      <c r="F20" s="419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33"/>
      <c r="R20" s="433"/>
      <c r="S20" s="433"/>
      <c r="T20" s="433"/>
      <c r="U20" s="433"/>
      <c r="V20" s="425">
        <f>AD20</f>
        <v>0</v>
      </c>
      <c r="W20" s="425"/>
      <c r="X20" s="420"/>
      <c r="Y20" s="420"/>
      <c r="Z20" s="420"/>
      <c r="AA20" s="420"/>
      <c r="AB20" s="420"/>
      <c r="AC20" s="420"/>
      <c r="AD20" s="420"/>
      <c r="AE20" s="420"/>
    </row>
    <row r="21" spans="1:31" ht="20.100000000000001" customHeight="1">
      <c r="A21" s="86"/>
      <c r="B21" s="81"/>
      <c r="C21" s="419"/>
      <c r="D21" s="419"/>
      <c r="E21" s="419"/>
      <c r="F21" s="419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33"/>
      <c r="R21" s="433"/>
      <c r="S21" s="433"/>
      <c r="T21" s="433"/>
      <c r="U21" s="433"/>
      <c r="V21" s="425">
        <f>AD21</f>
        <v>0</v>
      </c>
      <c r="W21" s="425"/>
      <c r="X21" s="420"/>
      <c r="Y21" s="420"/>
      <c r="Z21" s="420"/>
      <c r="AA21" s="420"/>
      <c r="AB21" s="420"/>
      <c r="AC21" s="420"/>
      <c r="AD21" s="420"/>
      <c r="AE21" s="420"/>
    </row>
    <row r="22" spans="1:31" ht="20.100000000000001" customHeight="1">
      <c r="A22" s="86"/>
      <c r="B22" s="81"/>
      <c r="C22" s="419"/>
      <c r="D22" s="419"/>
      <c r="E22" s="419"/>
      <c r="F22" s="419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33"/>
      <c r="R22" s="433"/>
      <c r="S22" s="433"/>
      <c r="T22" s="433"/>
      <c r="U22" s="433"/>
      <c r="V22" s="425">
        <f>AD22</f>
        <v>0</v>
      </c>
      <c r="W22" s="425"/>
      <c r="X22" s="420"/>
      <c r="Y22" s="420"/>
      <c r="Z22" s="420"/>
      <c r="AA22" s="420"/>
      <c r="AB22" s="420"/>
      <c r="AC22" s="420"/>
      <c r="AD22" s="420"/>
      <c r="AE22" s="420"/>
    </row>
    <row r="23" spans="1:31" ht="20.100000000000001" customHeight="1">
      <c r="A23" s="348" t="s">
        <v>61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425">
        <f>AD23</f>
        <v>0</v>
      </c>
      <c r="W23" s="425"/>
      <c r="X23" s="443">
        <f>SUM(X19:Y22)</f>
        <v>0</v>
      </c>
      <c r="Y23" s="443"/>
      <c r="Z23" s="443">
        <f>SUM(Z19:AA22)</f>
        <v>0</v>
      </c>
      <c r="AA23" s="443"/>
      <c r="AB23" s="443">
        <f>SUM(AB19:AC22)</f>
        <v>0</v>
      </c>
      <c r="AC23" s="443"/>
      <c r="AD23" s="443">
        <f>SUM(AD19:AE22)</f>
        <v>0</v>
      </c>
      <c r="AE23" s="443"/>
    </row>
    <row r="24" spans="1:3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7"/>
      <c r="R24" s="27"/>
      <c r="S24" s="27"/>
      <c r="T24" s="27"/>
      <c r="U24" s="27"/>
      <c r="AE24" s="27"/>
    </row>
    <row r="25" spans="1:3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7"/>
      <c r="R25" s="27"/>
      <c r="S25" s="27"/>
      <c r="T25" s="27"/>
      <c r="U25" s="27"/>
      <c r="AE25" s="27"/>
    </row>
    <row r="26" spans="1:31" s="38" customFormat="1" ht="18.75" customHeight="1">
      <c r="B26" s="38" t="s">
        <v>236</v>
      </c>
    </row>
    <row r="27" spans="1:31">
      <c r="A27" s="23"/>
      <c r="B27" s="23"/>
      <c r="C27" s="23"/>
      <c r="D27" s="23"/>
      <c r="E27" s="23"/>
      <c r="F27" s="23"/>
      <c r="G27" s="2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3"/>
      <c r="AD27" s="67" t="s">
        <v>256</v>
      </c>
    </row>
    <row r="28" spans="1:31" ht="30" customHeight="1">
      <c r="A28" s="345" t="s">
        <v>56</v>
      </c>
      <c r="B28" s="345" t="s">
        <v>260</v>
      </c>
      <c r="C28" s="345"/>
      <c r="D28" s="345"/>
      <c r="E28" s="345"/>
      <c r="F28" s="345"/>
      <c r="G28" s="371" t="s">
        <v>60</v>
      </c>
      <c r="H28" s="372"/>
      <c r="I28" s="372"/>
      <c r="J28" s="373"/>
      <c r="K28" s="371" t="s">
        <v>97</v>
      </c>
      <c r="L28" s="372"/>
      <c r="M28" s="372"/>
      <c r="N28" s="373"/>
      <c r="O28" s="371" t="s">
        <v>310</v>
      </c>
      <c r="P28" s="372"/>
      <c r="Q28" s="372"/>
      <c r="R28" s="373"/>
      <c r="S28" s="371" t="s">
        <v>144</v>
      </c>
      <c r="T28" s="372"/>
      <c r="U28" s="372"/>
      <c r="V28" s="373"/>
      <c r="W28" s="371" t="s">
        <v>61</v>
      </c>
      <c r="X28" s="372"/>
      <c r="Y28" s="372"/>
      <c r="Z28" s="373"/>
    </row>
    <row r="29" spans="1:31" ht="30" customHeight="1">
      <c r="A29" s="345"/>
      <c r="B29" s="345"/>
      <c r="C29" s="345"/>
      <c r="D29" s="345"/>
      <c r="E29" s="345"/>
      <c r="F29" s="345"/>
      <c r="G29" s="371" t="s">
        <v>106</v>
      </c>
      <c r="H29" s="372"/>
      <c r="I29" s="372"/>
      <c r="J29" s="373"/>
      <c r="K29" s="371" t="s">
        <v>106</v>
      </c>
      <c r="L29" s="372"/>
      <c r="M29" s="372"/>
      <c r="N29" s="373"/>
      <c r="O29" s="371" t="s">
        <v>106</v>
      </c>
      <c r="P29" s="372"/>
      <c r="Q29" s="372"/>
      <c r="R29" s="373"/>
      <c r="S29" s="371" t="s">
        <v>106</v>
      </c>
      <c r="T29" s="372"/>
      <c r="U29" s="372"/>
      <c r="V29" s="373"/>
      <c r="W29" s="371" t="s">
        <v>106</v>
      </c>
      <c r="X29" s="372"/>
      <c r="Y29" s="372"/>
      <c r="Z29" s="373"/>
    </row>
    <row r="30" spans="1:31" ht="39.950000000000003" customHeight="1">
      <c r="A30" s="345"/>
      <c r="B30" s="345"/>
      <c r="C30" s="345"/>
      <c r="D30" s="345"/>
      <c r="E30" s="345"/>
      <c r="F30" s="345"/>
      <c r="G30" s="7" t="s">
        <v>384</v>
      </c>
      <c r="H30" s="7" t="s">
        <v>375</v>
      </c>
      <c r="I30" s="7" t="s">
        <v>376</v>
      </c>
      <c r="J30" s="7" t="s">
        <v>87</v>
      </c>
      <c r="K30" s="7" t="s">
        <v>384</v>
      </c>
      <c r="L30" s="7" t="s">
        <v>375</v>
      </c>
      <c r="M30" s="7" t="s">
        <v>376</v>
      </c>
      <c r="N30" s="7" t="s">
        <v>87</v>
      </c>
      <c r="O30" s="7" t="s">
        <v>384</v>
      </c>
      <c r="P30" s="7" t="s">
        <v>375</v>
      </c>
      <c r="Q30" s="7" t="s">
        <v>376</v>
      </c>
      <c r="R30" s="7" t="s">
        <v>87</v>
      </c>
      <c r="S30" s="7" t="s">
        <v>384</v>
      </c>
      <c r="T30" s="7" t="s">
        <v>375</v>
      </c>
      <c r="U30" s="7" t="s">
        <v>376</v>
      </c>
      <c r="V30" s="7" t="s">
        <v>87</v>
      </c>
      <c r="W30" s="7" t="s">
        <v>384</v>
      </c>
      <c r="X30" s="7" t="s">
        <v>375</v>
      </c>
      <c r="Y30" s="7" t="s">
        <v>376</v>
      </c>
      <c r="Z30" s="7" t="s">
        <v>87</v>
      </c>
    </row>
    <row r="31" spans="1:31" ht="18" customHeight="1">
      <c r="A31" s="7">
        <v>1</v>
      </c>
      <c r="B31" s="345">
        <v>2</v>
      </c>
      <c r="C31" s="345"/>
      <c r="D31" s="345"/>
      <c r="E31" s="345"/>
      <c r="F31" s="345"/>
      <c r="G31" s="7">
        <v>3</v>
      </c>
      <c r="H31" s="94">
        <v>4</v>
      </c>
      <c r="I31" s="94">
        <v>5</v>
      </c>
      <c r="J31" s="95">
        <v>6</v>
      </c>
      <c r="K31" s="95">
        <v>7</v>
      </c>
      <c r="L31" s="95">
        <v>8</v>
      </c>
      <c r="M31" s="96">
        <v>9</v>
      </c>
      <c r="N31" s="7">
        <v>10</v>
      </c>
      <c r="O31" s="94">
        <v>11</v>
      </c>
      <c r="P31" s="95">
        <v>12</v>
      </c>
      <c r="Q31" s="95">
        <v>13</v>
      </c>
      <c r="R31" s="96">
        <v>14</v>
      </c>
      <c r="S31" s="7">
        <v>15</v>
      </c>
      <c r="T31" s="94">
        <v>16</v>
      </c>
      <c r="U31" s="95">
        <v>17</v>
      </c>
      <c r="V31" s="95">
        <v>18</v>
      </c>
      <c r="W31" s="95">
        <v>19</v>
      </c>
      <c r="X31" s="96">
        <v>20</v>
      </c>
      <c r="Y31" s="7">
        <v>21</v>
      </c>
      <c r="Z31" s="6">
        <v>22</v>
      </c>
    </row>
    <row r="32" spans="1:31" ht="20.100000000000001" customHeight="1">
      <c r="A32" s="85"/>
      <c r="B32" s="442"/>
      <c r="C32" s="442"/>
      <c r="D32" s="442"/>
      <c r="E32" s="442"/>
      <c r="F32" s="442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93">
        <f t="shared" ref="W32:Z35" si="0">SUM(G32,K32,O32,S32)</f>
        <v>0</v>
      </c>
      <c r="X32" s="93">
        <f t="shared" si="0"/>
        <v>0</v>
      </c>
      <c r="Y32" s="93">
        <f t="shared" si="0"/>
        <v>0</v>
      </c>
      <c r="Z32" s="93">
        <f t="shared" si="0"/>
        <v>0</v>
      </c>
    </row>
    <row r="33" spans="1:31" ht="20.100000000000001" customHeight="1">
      <c r="A33" s="85"/>
      <c r="B33" s="442"/>
      <c r="C33" s="442"/>
      <c r="D33" s="442"/>
      <c r="E33" s="442"/>
      <c r="F33" s="44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93">
        <f t="shared" si="0"/>
        <v>0</v>
      </c>
      <c r="X33" s="93">
        <f t="shared" si="0"/>
        <v>0</v>
      </c>
      <c r="Y33" s="93">
        <f t="shared" si="0"/>
        <v>0</v>
      </c>
      <c r="Z33" s="93">
        <f t="shared" si="0"/>
        <v>0</v>
      </c>
    </row>
    <row r="34" spans="1:31" ht="20.100000000000001" customHeight="1">
      <c r="A34" s="85"/>
      <c r="B34" s="442"/>
      <c r="C34" s="442"/>
      <c r="D34" s="442"/>
      <c r="E34" s="442"/>
      <c r="F34" s="44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93">
        <f t="shared" si="0"/>
        <v>0</v>
      </c>
      <c r="X34" s="93">
        <f t="shared" si="0"/>
        <v>0</v>
      </c>
      <c r="Y34" s="93">
        <f t="shared" si="0"/>
        <v>0</v>
      </c>
      <c r="Z34" s="93">
        <f t="shared" si="0"/>
        <v>0</v>
      </c>
    </row>
    <row r="35" spans="1:31" ht="20.100000000000001" customHeight="1">
      <c r="A35" s="85"/>
      <c r="B35" s="442"/>
      <c r="C35" s="442"/>
      <c r="D35" s="442"/>
      <c r="E35" s="442"/>
      <c r="F35" s="44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93">
        <f t="shared" si="0"/>
        <v>0</v>
      </c>
      <c r="X35" s="93">
        <f t="shared" si="0"/>
        <v>0</v>
      </c>
      <c r="Y35" s="93">
        <f t="shared" si="0"/>
        <v>0</v>
      </c>
      <c r="Z35" s="93">
        <f t="shared" si="0"/>
        <v>0</v>
      </c>
    </row>
    <row r="36" spans="1:31" ht="20.100000000000001" customHeight="1">
      <c r="A36" s="445" t="s">
        <v>61</v>
      </c>
      <c r="B36" s="446"/>
      <c r="C36" s="446"/>
      <c r="D36" s="446"/>
      <c r="E36" s="446"/>
      <c r="F36" s="447"/>
      <c r="G36" s="93">
        <f t="shared" ref="G36:Z36" si="1">SUM(G32:G35)</f>
        <v>0</v>
      </c>
      <c r="H36" s="93">
        <f t="shared" si="1"/>
        <v>0</v>
      </c>
      <c r="I36" s="93">
        <f t="shared" si="1"/>
        <v>0</v>
      </c>
      <c r="J36" s="93">
        <f t="shared" si="1"/>
        <v>0</v>
      </c>
      <c r="K36" s="93">
        <f t="shared" si="1"/>
        <v>0</v>
      </c>
      <c r="L36" s="93">
        <f t="shared" si="1"/>
        <v>0</v>
      </c>
      <c r="M36" s="93">
        <f t="shared" si="1"/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  <c r="S36" s="93">
        <f t="shared" si="1"/>
        <v>0</v>
      </c>
      <c r="T36" s="93">
        <f t="shared" si="1"/>
        <v>0</v>
      </c>
      <c r="U36" s="93">
        <f t="shared" si="1"/>
        <v>0</v>
      </c>
      <c r="V36" s="93">
        <f t="shared" si="1"/>
        <v>0</v>
      </c>
      <c r="W36" s="93">
        <f t="shared" si="1"/>
        <v>0</v>
      </c>
      <c r="X36" s="93">
        <f t="shared" si="1"/>
        <v>0</v>
      </c>
      <c r="Y36" s="93">
        <f t="shared" si="1"/>
        <v>0</v>
      </c>
      <c r="Z36" s="93">
        <f t="shared" si="1"/>
        <v>0</v>
      </c>
    </row>
    <row r="37" spans="1:31" ht="20.100000000000001" customHeight="1">
      <c r="A37" s="448" t="s">
        <v>62</v>
      </c>
      <c r="B37" s="449"/>
      <c r="C37" s="449"/>
      <c r="D37" s="449"/>
      <c r="E37" s="449"/>
      <c r="F37" s="450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31" ht="20.100000000000001" customHeight="1">
      <c r="A38" s="51"/>
      <c r="B38" s="5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51"/>
      <c r="T38" s="51"/>
      <c r="U38" s="51"/>
      <c r="V38" s="51"/>
      <c r="W38" s="84"/>
      <c r="X38" s="51"/>
      <c r="Y38" s="51"/>
      <c r="Z38" s="51"/>
      <c r="AA38" s="51"/>
    </row>
    <row r="39" spans="1:31" ht="20.100000000000001" customHeight="1">
      <c r="A39" s="13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31" s="38" customFormat="1" ht="20.100000000000001" customHeight="1">
      <c r="B40" s="38" t="s">
        <v>261</v>
      </c>
    </row>
    <row r="41" spans="1:31" s="68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67" t="s">
        <v>256</v>
      </c>
    </row>
    <row r="42" spans="1:31" s="69" customFormat="1" ht="34.5" customHeight="1">
      <c r="A42" s="342" t="s">
        <v>228</v>
      </c>
      <c r="B42" s="345" t="s">
        <v>309</v>
      </c>
      <c r="C42" s="345" t="s">
        <v>340</v>
      </c>
      <c r="D42" s="345"/>
      <c r="E42" s="345" t="s">
        <v>229</v>
      </c>
      <c r="F42" s="345"/>
      <c r="G42" s="345" t="s">
        <v>230</v>
      </c>
      <c r="H42" s="345"/>
      <c r="I42" s="345" t="s">
        <v>301</v>
      </c>
      <c r="J42" s="345"/>
      <c r="K42" s="345" t="s">
        <v>153</v>
      </c>
      <c r="L42" s="345"/>
      <c r="M42" s="345"/>
      <c r="N42" s="345"/>
      <c r="O42" s="345"/>
      <c r="P42" s="345"/>
      <c r="Q42" s="345"/>
      <c r="R42" s="345"/>
      <c r="S42" s="345"/>
      <c r="T42" s="345"/>
      <c r="U42" s="345" t="s">
        <v>341</v>
      </c>
      <c r="V42" s="345"/>
      <c r="W42" s="345"/>
      <c r="X42" s="345"/>
      <c r="Y42" s="345"/>
      <c r="Z42" s="345" t="s">
        <v>305</v>
      </c>
      <c r="AA42" s="345"/>
      <c r="AB42" s="345"/>
      <c r="AC42" s="345"/>
      <c r="AD42" s="345"/>
      <c r="AE42" s="345"/>
    </row>
    <row r="43" spans="1:31" s="69" customFormat="1" ht="52.5" customHeight="1">
      <c r="A43" s="342"/>
      <c r="B43" s="345"/>
      <c r="C43" s="345"/>
      <c r="D43" s="345"/>
      <c r="E43" s="345"/>
      <c r="F43" s="345"/>
      <c r="G43" s="345"/>
      <c r="H43" s="345"/>
      <c r="I43" s="345"/>
      <c r="J43" s="345"/>
      <c r="K43" s="345" t="s">
        <v>353</v>
      </c>
      <c r="L43" s="345"/>
      <c r="M43" s="345" t="s">
        <v>354</v>
      </c>
      <c r="N43" s="345"/>
      <c r="O43" s="345" t="s">
        <v>339</v>
      </c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</row>
    <row r="44" spans="1:31" s="70" customFormat="1" ht="82.5" customHeight="1">
      <c r="A44" s="342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 t="s">
        <v>302</v>
      </c>
      <c r="P44" s="345"/>
      <c r="Q44" s="345" t="s">
        <v>303</v>
      </c>
      <c r="R44" s="345"/>
      <c r="S44" s="345" t="s">
        <v>304</v>
      </c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</row>
    <row r="45" spans="1:31" s="69" customFormat="1" ht="18" customHeight="1">
      <c r="A45" s="6">
        <v>1</v>
      </c>
      <c r="B45" s="7">
        <v>2</v>
      </c>
      <c r="C45" s="345">
        <v>3</v>
      </c>
      <c r="D45" s="345"/>
      <c r="E45" s="345">
        <v>4</v>
      </c>
      <c r="F45" s="345"/>
      <c r="G45" s="345">
        <v>5</v>
      </c>
      <c r="H45" s="345"/>
      <c r="I45" s="345">
        <v>6</v>
      </c>
      <c r="J45" s="345"/>
      <c r="K45" s="371">
        <v>7</v>
      </c>
      <c r="L45" s="373"/>
      <c r="M45" s="371">
        <v>8</v>
      </c>
      <c r="N45" s="373"/>
      <c r="O45" s="345">
        <v>9</v>
      </c>
      <c r="P45" s="345"/>
      <c r="Q45" s="342">
        <v>10</v>
      </c>
      <c r="R45" s="342"/>
      <c r="S45" s="345">
        <v>11</v>
      </c>
      <c r="T45" s="345"/>
      <c r="U45" s="345">
        <v>12</v>
      </c>
      <c r="V45" s="345"/>
      <c r="W45" s="345"/>
      <c r="X45" s="345"/>
      <c r="Y45" s="345"/>
      <c r="Z45" s="345">
        <v>13</v>
      </c>
      <c r="AA45" s="345"/>
      <c r="AB45" s="345"/>
      <c r="AC45" s="345"/>
      <c r="AD45" s="345"/>
      <c r="AE45" s="345"/>
    </row>
    <row r="46" spans="1:31" s="69" customFormat="1" ht="20.100000000000001" customHeight="1">
      <c r="A46" s="217"/>
      <c r="B46" s="218"/>
      <c r="C46" s="444"/>
      <c r="D46" s="444"/>
      <c r="E46" s="357"/>
      <c r="F46" s="357"/>
      <c r="G46" s="357"/>
      <c r="H46" s="357"/>
      <c r="I46" s="357"/>
      <c r="J46" s="357"/>
      <c r="K46" s="368"/>
      <c r="L46" s="370"/>
      <c r="M46" s="385">
        <f t="shared" ref="M46:M52" si="2">SUM(O46,Q46,S46)</f>
        <v>0</v>
      </c>
      <c r="N46" s="386"/>
      <c r="O46" s="357"/>
      <c r="P46" s="357"/>
      <c r="Q46" s="357"/>
      <c r="R46" s="357"/>
      <c r="S46" s="357"/>
      <c r="T46" s="357"/>
      <c r="U46" s="367"/>
      <c r="V46" s="367"/>
      <c r="W46" s="367"/>
      <c r="X46" s="367"/>
      <c r="Y46" s="367"/>
      <c r="Z46" s="442"/>
      <c r="AA46" s="442"/>
      <c r="AB46" s="442"/>
      <c r="AC46" s="442"/>
      <c r="AD46" s="442"/>
      <c r="AE46" s="442"/>
    </row>
    <row r="47" spans="1:31" s="69" customFormat="1" ht="20.100000000000001" customHeight="1">
      <c r="A47" s="217"/>
      <c r="B47" s="218"/>
      <c r="C47" s="444"/>
      <c r="D47" s="444"/>
      <c r="E47" s="357"/>
      <c r="F47" s="357"/>
      <c r="G47" s="357"/>
      <c r="H47" s="357"/>
      <c r="I47" s="357"/>
      <c r="J47" s="357"/>
      <c r="K47" s="368"/>
      <c r="L47" s="370"/>
      <c r="M47" s="385">
        <f t="shared" si="2"/>
        <v>0</v>
      </c>
      <c r="N47" s="386"/>
      <c r="O47" s="357"/>
      <c r="P47" s="357"/>
      <c r="Q47" s="357"/>
      <c r="R47" s="357"/>
      <c r="S47" s="357"/>
      <c r="T47" s="357"/>
      <c r="U47" s="367"/>
      <c r="V47" s="367"/>
      <c r="W47" s="367"/>
      <c r="X47" s="367"/>
      <c r="Y47" s="367"/>
      <c r="Z47" s="442"/>
      <c r="AA47" s="442"/>
      <c r="AB47" s="442"/>
      <c r="AC47" s="442"/>
      <c r="AD47" s="442"/>
      <c r="AE47" s="442"/>
    </row>
    <row r="48" spans="1:31" s="69" customFormat="1" ht="20.100000000000001" customHeight="1">
      <c r="A48" s="217"/>
      <c r="B48" s="218"/>
      <c r="C48" s="444"/>
      <c r="D48" s="444"/>
      <c r="E48" s="357"/>
      <c r="F48" s="357"/>
      <c r="G48" s="357"/>
      <c r="H48" s="357"/>
      <c r="I48" s="357"/>
      <c r="J48" s="357"/>
      <c r="K48" s="368"/>
      <c r="L48" s="370"/>
      <c r="M48" s="385">
        <f t="shared" si="2"/>
        <v>0</v>
      </c>
      <c r="N48" s="386"/>
      <c r="O48" s="357"/>
      <c r="P48" s="357"/>
      <c r="Q48" s="357"/>
      <c r="R48" s="357"/>
      <c r="S48" s="357"/>
      <c r="T48" s="357"/>
      <c r="U48" s="367"/>
      <c r="V48" s="367"/>
      <c r="W48" s="367"/>
      <c r="X48" s="367"/>
      <c r="Y48" s="367"/>
      <c r="Z48" s="442"/>
      <c r="AA48" s="442"/>
      <c r="AB48" s="442"/>
      <c r="AC48" s="442"/>
      <c r="AD48" s="442"/>
      <c r="AE48" s="442"/>
    </row>
    <row r="49" spans="1:31" s="69" customFormat="1" ht="20.100000000000001" customHeight="1">
      <c r="A49" s="217"/>
      <c r="B49" s="218"/>
      <c r="C49" s="444"/>
      <c r="D49" s="444"/>
      <c r="E49" s="357"/>
      <c r="F49" s="357"/>
      <c r="G49" s="357"/>
      <c r="H49" s="357"/>
      <c r="I49" s="357"/>
      <c r="J49" s="357"/>
      <c r="K49" s="368"/>
      <c r="L49" s="370"/>
      <c r="M49" s="385">
        <f>SUM(O49,Q49,S49)</f>
        <v>0</v>
      </c>
      <c r="N49" s="386"/>
      <c r="O49" s="357"/>
      <c r="P49" s="357"/>
      <c r="Q49" s="357"/>
      <c r="R49" s="357"/>
      <c r="S49" s="357"/>
      <c r="T49" s="357"/>
      <c r="U49" s="367"/>
      <c r="V49" s="367"/>
      <c r="W49" s="367"/>
      <c r="X49" s="367"/>
      <c r="Y49" s="367"/>
      <c r="Z49" s="442"/>
      <c r="AA49" s="442"/>
      <c r="AB49" s="442"/>
      <c r="AC49" s="442"/>
      <c r="AD49" s="442"/>
      <c r="AE49" s="442"/>
    </row>
    <row r="50" spans="1:31" s="69" customFormat="1" ht="20.100000000000001" customHeight="1">
      <c r="A50" s="217"/>
      <c r="B50" s="218"/>
      <c r="C50" s="444"/>
      <c r="D50" s="444"/>
      <c r="E50" s="357"/>
      <c r="F50" s="357"/>
      <c r="G50" s="357"/>
      <c r="H50" s="357"/>
      <c r="I50" s="357"/>
      <c r="J50" s="357"/>
      <c r="K50" s="368"/>
      <c r="L50" s="370"/>
      <c r="M50" s="385">
        <f t="shared" si="2"/>
        <v>0</v>
      </c>
      <c r="N50" s="386"/>
      <c r="O50" s="357"/>
      <c r="P50" s="357"/>
      <c r="Q50" s="357"/>
      <c r="R50" s="357"/>
      <c r="S50" s="357"/>
      <c r="T50" s="357"/>
      <c r="U50" s="367"/>
      <c r="V50" s="367"/>
      <c r="W50" s="367"/>
      <c r="X50" s="367"/>
      <c r="Y50" s="367"/>
      <c r="Z50" s="442"/>
      <c r="AA50" s="442"/>
      <c r="AB50" s="442"/>
      <c r="AC50" s="442"/>
      <c r="AD50" s="442"/>
      <c r="AE50" s="442"/>
    </row>
    <row r="51" spans="1:31" s="69" customFormat="1" ht="20.100000000000001" customHeight="1">
      <c r="A51" s="217"/>
      <c r="B51" s="218"/>
      <c r="C51" s="444"/>
      <c r="D51" s="444"/>
      <c r="E51" s="357"/>
      <c r="F51" s="357"/>
      <c r="G51" s="357"/>
      <c r="H51" s="357"/>
      <c r="I51" s="357"/>
      <c r="J51" s="357"/>
      <c r="K51" s="368"/>
      <c r="L51" s="370"/>
      <c r="M51" s="385">
        <f t="shared" si="2"/>
        <v>0</v>
      </c>
      <c r="N51" s="386"/>
      <c r="O51" s="357"/>
      <c r="P51" s="357"/>
      <c r="Q51" s="357"/>
      <c r="R51" s="357"/>
      <c r="S51" s="357"/>
      <c r="T51" s="357"/>
      <c r="U51" s="367"/>
      <c r="V51" s="367"/>
      <c r="W51" s="367"/>
      <c r="X51" s="367"/>
      <c r="Y51" s="367"/>
      <c r="Z51" s="442"/>
      <c r="AA51" s="442"/>
      <c r="AB51" s="442"/>
      <c r="AC51" s="442"/>
      <c r="AD51" s="442"/>
      <c r="AE51" s="442"/>
    </row>
    <row r="52" spans="1:31" s="69" customFormat="1" ht="20.100000000000001" customHeight="1">
      <c r="A52" s="217"/>
      <c r="B52" s="218"/>
      <c r="C52" s="444"/>
      <c r="D52" s="444"/>
      <c r="E52" s="357"/>
      <c r="F52" s="357"/>
      <c r="G52" s="357"/>
      <c r="H52" s="357"/>
      <c r="I52" s="357"/>
      <c r="J52" s="357"/>
      <c r="K52" s="368"/>
      <c r="L52" s="370"/>
      <c r="M52" s="385">
        <f t="shared" si="2"/>
        <v>0</v>
      </c>
      <c r="N52" s="386"/>
      <c r="O52" s="357"/>
      <c r="P52" s="357"/>
      <c r="Q52" s="357"/>
      <c r="R52" s="357"/>
      <c r="S52" s="357"/>
      <c r="T52" s="357"/>
      <c r="U52" s="367"/>
      <c r="V52" s="367"/>
      <c r="W52" s="367"/>
      <c r="X52" s="367"/>
      <c r="Y52" s="367"/>
      <c r="Z52" s="442"/>
      <c r="AA52" s="442"/>
      <c r="AB52" s="442"/>
      <c r="AC52" s="442"/>
      <c r="AD52" s="442"/>
      <c r="AE52" s="442"/>
    </row>
    <row r="53" spans="1:31" s="69" customFormat="1" ht="20.100000000000001" customHeight="1">
      <c r="A53" s="448" t="s">
        <v>61</v>
      </c>
      <c r="B53" s="449"/>
      <c r="C53" s="449"/>
      <c r="D53" s="450"/>
      <c r="E53" s="443">
        <f>SUM(E46:F52)</f>
        <v>0</v>
      </c>
      <c r="F53" s="443"/>
      <c r="G53" s="443">
        <f>SUM(G46:H52)</f>
        <v>0</v>
      </c>
      <c r="H53" s="443"/>
      <c r="I53" s="443">
        <f>SUM(I46:J52)</f>
        <v>0</v>
      </c>
      <c r="J53" s="443"/>
      <c r="K53" s="443">
        <f>SUM(K46:L52)</f>
        <v>0</v>
      </c>
      <c r="L53" s="443"/>
      <c r="M53" s="443">
        <f>SUM(M46:N52)</f>
        <v>0</v>
      </c>
      <c r="N53" s="443"/>
      <c r="O53" s="443">
        <f>SUM(O46:P52)</f>
        <v>0</v>
      </c>
      <c r="P53" s="443"/>
      <c r="Q53" s="443">
        <f>SUM(Q46:R52)</f>
        <v>0</v>
      </c>
      <c r="R53" s="443"/>
      <c r="S53" s="443">
        <f>SUM(S46:T52)</f>
        <v>0</v>
      </c>
      <c r="T53" s="443"/>
      <c r="U53" s="452"/>
      <c r="V53" s="452"/>
      <c r="W53" s="452"/>
      <c r="X53" s="452"/>
      <c r="Y53" s="452"/>
      <c r="Z53" s="455"/>
      <c r="AA53" s="455"/>
      <c r="AB53" s="455"/>
      <c r="AC53" s="455"/>
      <c r="AD53" s="455"/>
      <c r="AE53" s="455"/>
    </row>
    <row r="54" spans="1:31" ht="20.100000000000001" customHeight="1">
      <c r="A54" s="13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31" ht="20.100000000000001" customHeight="1">
      <c r="A55" s="13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31" s="4" customFormat="1" ht="20.100000000000001" customHeight="1">
      <c r="C56" s="38"/>
      <c r="D56" s="38"/>
      <c r="E56" s="38"/>
      <c r="F56" s="38"/>
      <c r="G56" s="38"/>
      <c r="H56" s="38"/>
      <c r="I56" s="38"/>
      <c r="J56" s="38"/>
      <c r="K56" s="38"/>
    </row>
    <row r="57" spans="1:31" s="32" customFormat="1" ht="20.100000000000001" customHeight="1">
      <c r="B57" s="375" t="s">
        <v>514</v>
      </c>
      <c r="C57" s="456"/>
      <c r="D57" s="456"/>
      <c r="E57" s="456"/>
      <c r="F57" s="456"/>
      <c r="G57" s="65"/>
      <c r="H57" s="65"/>
      <c r="I57" s="65"/>
      <c r="J57" s="65"/>
      <c r="K57" s="65"/>
      <c r="L57" s="457" t="s">
        <v>266</v>
      </c>
      <c r="M57" s="457"/>
      <c r="N57" s="457"/>
      <c r="O57" s="457"/>
      <c r="P57" s="457"/>
      <c r="Q57" s="66"/>
      <c r="R57" s="66"/>
      <c r="S57" s="66"/>
      <c r="T57" s="66"/>
      <c r="U57" s="66"/>
      <c r="V57" s="453" t="s">
        <v>407</v>
      </c>
      <c r="W57" s="454"/>
      <c r="X57" s="454"/>
      <c r="Y57" s="454"/>
      <c r="Z57" s="454"/>
    </row>
    <row r="58" spans="1:31" s="4" customFormat="1" ht="19.5" customHeight="1">
      <c r="B58" s="3"/>
      <c r="C58" s="4" t="s">
        <v>84</v>
      </c>
      <c r="E58" s="41"/>
      <c r="F58" s="41"/>
      <c r="G58" s="41"/>
      <c r="H58" s="41"/>
      <c r="I58" s="41"/>
      <c r="J58" s="41"/>
      <c r="K58" s="41"/>
      <c r="M58" s="3"/>
      <c r="N58" s="22" t="s">
        <v>85</v>
      </c>
      <c r="O58" s="3"/>
      <c r="Q58" s="41"/>
      <c r="R58" s="41"/>
      <c r="S58" s="41"/>
      <c r="V58" s="451" t="s">
        <v>145</v>
      </c>
      <c r="W58" s="451"/>
      <c r="X58" s="451"/>
      <c r="Y58" s="451"/>
      <c r="Z58" s="451"/>
    </row>
    <row r="59" spans="1:31" ht="20.100000000000001" customHeight="1">
      <c r="B59" s="34"/>
      <c r="C59" s="34"/>
      <c r="D59" s="34"/>
      <c r="E59" s="34"/>
      <c r="F59" s="34"/>
      <c r="G59" s="34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34"/>
      <c r="U59" s="34"/>
    </row>
    <row r="60" spans="1:31" ht="20.100000000000001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3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31">
      <c r="B62" s="35"/>
    </row>
    <row r="65" spans="2:2" ht="19.5">
      <c r="B65" s="36"/>
    </row>
    <row r="66" spans="2:2" ht="19.5">
      <c r="B66" s="36"/>
    </row>
    <row r="67" spans="2:2" ht="19.5">
      <c r="B67" s="36"/>
    </row>
    <row r="68" spans="2:2" ht="19.5">
      <c r="B68" s="36"/>
    </row>
    <row r="69" spans="2:2" ht="19.5">
      <c r="B69" s="36"/>
    </row>
    <row r="70" spans="2:2" ht="19.5">
      <c r="B70" s="36"/>
    </row>
    <row r="71" spans="2:2" ht="19.5">
      <c r="B71" s="36"/>
    </row>
  </sheetData>
  <mergeCells count="254">
    <mergeCell ref="Z49:AE49"/>
    <mergeCell ref="M52:N52"/>
    <mergeCell ref="O52:P52"/>
    <mergeCell ref="S50:T50"/>
    <mergeCell ref="Q52:R52"/>
    <mergeCell ref="S52:T52"/>
    <mergeCell ref="A53:D53"/>
    <mergeCell ref="O53:P53"/>
    <mergeCell ref="K53:L53"/>
    <mergeCell ref="M53:N53"/>
    <mergeCell ref="I53:J53"/>
    <mergeCell ref="I50:J50"/>
    <mergeCell ref="Q50:R50"/>
    <mergeCell ref="O51:P51"/>
    <mergeCell ref="Q51:R51"/>
    <mergeCell ref="M51:N51"/>
    <mergeCell ref="K51:L51"/>
    <mergeCell ref="O50:P50"/>
    <mergeCell ref="M50:N50"/>
    <mergeCell ref="G50:H50"/>
    <mergeCell ref="K50:L50"/>
    <mergeCell ref="Z52:AE52"/>
    <mergeCell ref="Q53:R53"/>
    <mergeCell ref="C49:D49"/>
    <mergeCell ref="V58:Z58"/>
    <mergeCell ref="U53:Y53"/>
    <mergeCell ref="V57:Z57"/>
    <mergeCell ref="Z53:AE53"/>
    <mergeCell ref="C50:D50"/>
    <mergeCell ref="E50:F50"/>
    <mergeCell ref="I52:J52"/>
    <mergeCell ref="E53:F53"/>
    <mergeCell ref="G53:H53"/>
    <mergeCell ref="G52:H52"/>
    <mergeCell ref="K52:L52"/>
    <mergeCell ref="C51:D51"/>
    <mergeCell ref="I51:J51"/>
    <mergeCell ref="G51:H51"/>
    <mergeCell ref="E52:F52"/>
    <mergeCell ref="E51:F51"/>
    <mergeCell ref="B57:F57"/>
    <mergeCell ref="L57:P57"/>
    <mergeCell ref="Z51:AE51"/>
    <mergeCell ref="U50:Y50"/>
    <mergeCell ref="S51:T51"/>
    <mergeCell ref="Z50:AE50"/>
    <mergeCell ref="S53:T53"/>
    <mergeCell ref="U51:Y51"/>
    <mergeCell ref="E49:F49"/>
    <mergeCell ref="G48:H48"/>
    <mergeCell ref="K48:L48"/>
    <mergeCell ref="O49:P49"/>
    <mergeCell ref="M49:N49"/>
    <mergeCell ref="K49:L49"/>
    <mergeCell ref="Q48:R48"/>
    <mergeCell ref="E47:F47"/>
    <mergeCell ref="M48:N48"/>
    <mergeCell ref="E48:F48"/>
    <mergeCell ref="I46:J46"/>
    <mergeCell ref="K47:L47"/>
    <mergeCell ref="G49:H49"/>
    <mergeCell ref="I49:J49"/>
    <mergeCell ref="Q49:R49"/>
    <mergeCell ref="O48:P48"/>
    <mergeCell ref="G47:H47"/>
    <mergeCell ref="M47:N47"/>
    <mergeCell ref="O47:P47"/>
    <mergeCell ref="E45:F45"/>
    <mergeCell ref="O43:T43"/>
    <mergeCell ref="C46:D46"/>
    <mergeCell ref="B31:F31"/>
    <mergeCell ref="O29:R29"/>
    <mergeCell ref="A36:F36"/>
    <mergeCell ref="A37:F37"/>
    <mergeCell ref="A42:A44"/>
    <mergeCell ref="U52:Y52"/>
    <mergeCell ref="S49:T49"/>
    <mergeCell ref="C52:D52"/>
    <mergeCell ref="K29:N29"/>
    <mergeCell ref="A28:A30"/>
    <mergeCell ref="G28:J28"/>
    <mergeCell ref="O28:R28"/>
    <mergeCell ref="G29:J29"/>
    <mergeCell ref="E42:F44"/>
    <mergeCell ref="B33:F33"/>
    <mergeCell ref="K43:L44"/>
    <mergeCell ref="I42:J44"/>
    <mergeCell ref="B28:F30"/>
    <mergeCell ref="K45:L45"/>
    <mergeCell ref="Q47:R47"/>
    <mergeCell ref="G46:H46"/>
    <mergeCell ref="AB21:AC21"/>
    <mergeCell ref="Z21:AA21"/>
    <mergeCell ref="S47:T47"/>
    <mergeCell ref="U47:Y47"/>
    <mergeCell ref="G22:P22"/>
    <mergeCell ref="K28:N28"/>
    <mergeCell ref="E46:F46"/>
    <mergeCell ref="M46:N46"/>
    <mergeCell ref="K42:T42"/>
    <mergeCell ref="G42:H44"/>
    <mergeCell ref="I47:J47"/>
    <mergeCell ref="Q46:R46"/>
    <mergeCell ref="B32:F32"/>
    <mergeCell ref="O46:P46"/>
    <mergeCell ref="K46:L46"/>
    <mergeCell ref="B42:B44"/>
    <mergeCell ref="C42:D44"/>
    <mergeCell ref="B35:F35"/>
    <mergeCell ref="B34:F34"/>
    <mergeCell ref="I45:J45"/>
    <mergeCell ref="O45:P45"/>
    <mergeCell ref="M45:N45"/>
    <mergeCell ref="C45:D45"/>
    <mergeCell ref="Q44:R44"/>
    <mergeCell ref="Z48:AE48"/>
    <mergeCell ref="U48:Y48"/>
    <mergeCell ref="U49:Y49"/>
    <mergeCell ref="S48:T48"/>
    <mergeCell ref="Z23:AA23"/>
    <mergeCell ref="Z45:AE45"/>
    <mergeCell ref="U46:Y46"/>
    <mergeCell ref="Z46:AE46"/>
    <mergeCell ref="S46:T46"/>
    <mergeCell ref="S29:V29"/>
    <mergeCell ref="A23:U23"/>
    <mergeCell ref="S28:V28"/>
    <mergeCell ref="V23:W23"/>
    <mergeCell ref="W29:Z29"/>
    <mergeCell ref="W28:Z28"/>
    <mergeCell ref="C47:D47"/>
    <mergeCell ref="I48:J48"/>
    <mergeCell ref="C48:D48"/>
    <mergeCell ref="G45:H45"/>
    <mergeCell ref="U42:Y44"/>
    <mergeCell ref="S45:T45"/>
    <mergeCell ref="M43:N44"/>
    <mergeCell ref="O44:P44"/>
    <mergeCell ref="Q45:R45"/>
    <mergeCell ref="AB1:AE1"/>
    <mergeCell ref="Z47:AE47"/>
    <mergeCell ref="U45:Y45"/>
    <mergeCell ref="V22:W22"/>
    <mergeCell ref="X22:Y22"/>
    <mergeCell ref="AD20:AE20"/>
    <mergeCell ref="Q19:U19"/>
    <mergeCell ref="W6:Y6"/>
    <mergeCell ref="V20:W20"/>
    <mergeCell ref="Z20:AA20"/>
    <mergeCell ref="Z42:AE44"/>
    <mergeCell ref="Z22:AA22"/>
    <mergeCell ref="Q22:U22"/>
    <mergeCell ref="AD21:AE21"/>
    <mergeCell ref="AD23:AE23"/>
    <mergeCell ref="AB20:AC20"/>
    <mergeCell ref="S44:T44"/>
    <mergeCell ref="AD22:AE22"/>
    <mergeCell ref="Q7:S7"/>
    <mergeCell ref="AB23:AC23"/>
    <mergeCell ref="AB22:AC22"/>
    <mergeCell ref="X19:Y19"/>
    <mergeCell ref="X23:Y23"/>
    <mergeCell ref="Q18:U18"/>
    <mergeCell ref="G4:L5"/>
    <mergeCell ref="M4:P5"/>
    <mergeCell ref="M6:P6"/>
    <mergeCell ref="AC5:AE5"/>
    <mergeCell ref="Q4:AE4"/>
    <mergeCell ref="Z5:AB5"/>
    <mergeCell ref="Q5:S5"/>
    <mergeCell ref="T5:V5"/>
    <mergeCell ref="W5:Y5"/>
    <mergeCell ref="AC6:AE6"/>
    <mergeCell ref="A4:A5"/>
    <mergeCell ref="B4:B5"/>
    <mergeCell ref="C4:F5"/>
    <mergeCell ref="X16:AE16"/>
    <mergeCell ref="V18:W18"/>
    <mergeCell ref="X21:Y21"/>
    <mergeCell ref="Q21:U21"/>
    <mergeCell ref="Q20:U20"/>
    <mergeCell ref="X20:Y20"/>
    <mergeCell ref="T7:V7"/>
    <mergeCell ref="T6:V6"/>
    <mergeCell ref="Z6:AB6"/>
    <mergeCell ref="C7:F7"/>
    <mergeCell ref="C6:F6"/>
    <mergeCell ref="G6:L6"/>
    <mergeCell ref="M7:P7"/>
    <mergeCell ref="G7:L7"/>
    <mergeCell ref="Q6:S6"/>
    <mergeCell ref="AC7:AE7"/>
    <mergeCell ref="Z7:AB7"/>
    <mergeCell ref="Z8:AB8"/>
    <mergeCell ref="Q9:S9"/>
    <mergeCell ref="Z9:AB9"/>
    <mergeCell ref="AD19:AE19"/>
    <mergeCell ref="W7:Y7"/>
    <mergeCell ref="W11:Y11"/>
    <mergeCell ref="AD18:AE18"/>
    <mergeCell ref="X18:Y18"/>
    <mergeCell ref="AC9:AE9"/>
    <mergeCell ref="Z17:AA17"/>
    <mergeCell ref="V19:W19"/>
    <mergeCell ref="AB19:AC19"/>
    <mergeCell ref="AC10:AE10"/>
    <mergeCell ref="Z11:AB11"/>
    <mergeCell ref="T11:V11"/>
    <mergeCell ref="T10:V10"/>
    <mergeCell ref="Z18:AA18"/>
    <mergeCell ref="W10:Y10"/>
    <mergeCell ref="Z10:AB10"/>
    <mergeCell ref="AB18:AC18"/>
    <mergeCell ref="AC11:AE11"/>
    <mergeCell ref="AC8:AE8"/>
    <mergeCell ref="W9:Y9"/>
    <mergeCell ref="W8:Y8"/>
    <mergeCell ref="G19:P19"/>
    <mergeCell ref="G21:P21"/>
    <mergeCell ref="C22:F22"/>
    <mergeCell ref="AB17:AC17"/>
    <mergeCell ref="Q11:S11"/>
    <mergeCell ref="Q10:S10"/>
    <mergeCell ref="Q15:U17"/>
    <mergeCell ref="V16:W17"/>
    <mergeCell ref="V15:AE15"/>
    <mergeCell ref="Z19:AA19"/>
    <mergeCell ref="X17:Y17"/>
    <mergeCell ref="AD17:AE17"/>
    <mergeCell ref="G10:L10"/>
    <mergeCell ref="A11:L11"/>
    <mergeCell ref="A15:A17"/>
    <mergeCell ref="C10:F10"/>
    <mergeCell ref="C21:F21"/>
    <mergeCell ref="C18:F18"/>
    <mergeCell ref="C20:F20"/>
    <mergeCell ref="B15:B17"/>
    <mergeCell ref="G18:P18"/>
    <mergeCell ref="G20:P20"/>
    <mergeCell ref="C19:F19"/>
    <mergeCell ref="V21:W21"/>
    <mergeCell ref="M9:P9"/>
    <mergeCell ref="M10:P10"/>
    <mergeCell ref="M11:P11"/>
    <mergeCell ref="G15:P17"/>
    <mergeCell ref="Q8:S8"/>
    <mergeCell ref="T9:V9"/>
    <mergeCell ref="T8:V8"/>
    <mergeCell ref="C15:F17"/>
    <mergeCell ref="G8:L8"/>
    <mergeCell ref="C9:F9"/>
    <mergeCell ref="G9:L9"/>
    <mergeCell ref="C8:F8"/>
    <mergeCell ref="M8:P8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6"/>
  <sheetViews>
    <sheetView view="pageBreakPreview" topLeftCell="A32" zoomScale="80" zoomScaleNormal="75" zoomScaleSheetLayoutView="80" workbookViewId="0">
      <selection activeCell="C34" sqref="C34:C35"/>
    </sheetView>
  </sheetViews>
  <sheetFormatPr defaultRowHeight="18.75"/>
  <cols>
    <col min="1" max="1" width="50.28515625" style="2" customWidth="1"/>
    <col min="2" max="2" width="14.85546875" style="22" customWidth="1"/>
    <col min="3" max="3" width="14.5703125" style="22" customWidth="1"/>
    <col min="4" max="4" width="14.42578125" style="22" customWidth="1"/>
    <col min="5" max="5" width="15.5703125" style="22" customWidth="1"/>
    <col min="6" max="6" width="14.5703125" style="22" customWidth="1"/>
    <col min="7" max="7" width="13.7109375" style="2" customWidth="1"/>
    <col min="8" max="8" width="11" style="2" customWidth="1"/>
    <col min="9" max="9" width="15.85546875" style="2" customWidth="1"/>
    <col min="10" max="10" width="17.710937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110"/>
      <c r="B1" s="111"/>
      <c r="C1" s="111"/>
      <c r="D1" s="111"/>
      <c r="E1" s="111"/>
      <c r="F1" s="111" t="s">
        <v>19</v>
      </c>
      <c r="G1" s="110"/>
      <c r="H1" s="110"/>
      <c r="I1" s="110"/>
      <c r="J1" s="110"/>
    </row>
    <row r="2" spans="1:10" ht="32.25" customHeight="1">
      <c r="A2" s="322" t="s">
        <v>385</v>
      </c>
      <c r="B2" s="322"/>
      <c r="C2" s="113"/>
      <c r="D2" s="114"/>
      <c r="E2" s="114"/>
      <c r="F2" s="324" t="s">
        <v>495</v>
      </c>
      <c r="G2" s="324"/>
      <c r="H2" s="324"/>
      <c r="I2" s="324"/>
      <c r="J2" s="324"/>
    </row>
    <row r="3" spans="1:10" ht="75" customHeight="1">
      <c r="A3" s="325" t="s">
        <v>497</v>
      </c>
      <c r="B3" s="325"/>
      <c r="C3" s="113"/>
      <c r="D3" s="116"/>
      <c r="E3" s="116"/>
      <c r="F3" s="324"/>
      <c r="G3" s="324"/>
      <c r="H3" s="324"/>
      <c r="I3" s="324"/>
      <c r="J3" s="324"/>
    </row>
    <row r="4" spans="1:10" ht="18.75" hidden="1" customHeight="1">
      <c r="A4" s="325" t="s">
        <v>386</v>
      </c>
      <c r="B4" s="325"/>
      <c r="C4" s="113"/>
      <c r="D4" s="116"/>
      <c r="E4" s="116"/>
      <c r="F4" s="324"/>
      <c r="G4" s="324"/>
      <c r="H4" s="324"/>
      <c r="I4" s="324"/>
      <c r="J4" s="324"/>
    </row>
    <row r="5" spans="1:10" ht="18.75" customHeight="1">
      <c r="A5" s="326" t="s">
        <v>500</v>
      </c>
      <c r="B5" s="325"/>
      <c r="C5" s="113"/>
      <c r="D5" s="116"/>
      <c r="E5" s="116"/>
      <c r="F5" s="116"/>
      <c r="G5" s="327"/>
      <c r="H5" s="327"/>
      <c r="I5" s="117"/>
      <c r="J5" s="117"/>
    </row>
    <row r="6" spans="1:10" ht="18.75" customHeight="1">
      <c r="A6" s="322" t="s">
        <v>504</v>
      </c>
      <c r="B6" s="322"/>
      <c r="C6" s="113"/>
      <c r="D6" s="118"/>
      <c r="E6" s="118"/>
      <c r="F6" s="323" t="s">
        <v>387</v>
      </c>
      <c r="G6" s="323"/>
      <c r="H6" s="323"/>
      <c r="I6" s="323"/>
      <c r="J6" s="323"/>
    </row>
    <row r="7" spans="1:10" ht="100.5" customHeight="1">
      <c r="A7" s="322"/>
      <c r="B7" s="322"/>
      <c r="C7" s="113"/>
      <c r="D7" s="118"/>
      <c r="E7" s="118"/>
      <c r="F7" s="323" t="s">
        <v>501</v>
      </c>
      <c r="G7" s="323"/>
      <c r="H7" s="323"/>
      <c r="I7" s="323"/>
      <c r="J7" s="323"/>
    </row>
    <row r="8" spans="1:10" ht="18.75" customHeight="1">
      <c r="A8" s="119" t="s">
        <v>503</v>
      </c>
      <c r="B8" s="112"/>
      <c r="C8" s="113"/>
      <c r="D8" s="118"/>
      <c r="E8" s="118"/>
      <c r="F8" s="323"/>
      <c r="G8" s="323"/>
      <c r="H8" s="323"/>
      <c r="I8" s="323"/>
      <c r="J8" s="323"/>
    </row>
    <row r="9" spans="1:10" ht="18.75" customHeight="1">
      <c r="A9" s="112"/>
      <c r="B9" s="112"/>
      <c r="C9" s="113"/>
      <c r="D9" s="118"/>
      <c r="E9" s="118"/>
      <c r="F9" s="323"/>
      <c r="G9" s="323"/>
      <c r="H9" s="323"/>
      <c r="I9" s="323"/>
      <c r="J9" s="323"/>
    </row>
    <row r="10" spans="1:10" ht="20.25">
      <c r="A10" s="112"/>
      <c r="B10" s="112"/>
      <c r="C10" s="113"/>
      <c r="D10" s="118"/>
      <c r="E10" s="118"/>
      <c r="F10" s="114"/>
      <c r="G10" s="114"/>
      <c r="H10" s="114"/>
      <c r="I10" s="114"/>
      <c r="J10" s="114"/>
    </row>
    <row r="11" spans="1:10" ht="77.25" customHeight="1">
      <c r="A11" s="112"/>
      <c r="B11" s="112"/>
      <c r="C11" s="113"/>
      <c r="D11" s="118"/>
      <c r="E11" s="118"/>
      <c r="F11" s="323" t="s">
        <v>502</v>
      </c>
      <c r="G11" s="323"/>
      <c r="H11" s="323"/>
      <c r="I11" s="323"/>
      <c r="J11" s="323"/>
    </row>
    <row r="12" spans="1:10" ht="31.5" customHeight="1">
      <c r="A12" s="112"/>
      <c r="B12" s="112"/>
      <c r="C12" s="113"/>
      <c r="D12" s="118"/>
      <c r="E12" s="118"/>
      <c r="F12" s="119" t="s">
        <v>355</v>
      </c>
      <c r="G12" s="114"/>
      <c r="H12" s="114"/>
      <c r="I12" s="114"/>
      <c r="J12" s="114"/>
    </row>
    <row r="13" spans="1:10" ht="19.5" customHeight="1">
      <c r="A13" s="112"/>
      <c r="B13" s="112"/>
      <c r="C13" s="113"/>
      <c r="D13" s="118"/>
      <c r="E13" s="118"/>
      <c r="F13" s="114"/>
      <c r="G13" s="117"/>
      <c r="H13" s="119"/>
      <c r="I13" s="119"/>
      <c r="J13" s="119"/>
    </row>
    <row r="14" spans="1:10" ht="19.5" customHeight="1">
      <c r="A14" s="114"/>
      <c r="B14" s="120"/>
      <c r="C14" s="120"/>
      <c r="D14" s="120"/>
      <c r="E14" s="120"/>
      <c r="F14" s="120"/>
      <c r="G14" s="121"/>
      <c r="H14" s="121"/>
      <c r="I14" s="121"/>
      <c r="J14" s="121"/>
    </row>
    <row r="15" spans="1:10" ht="19.5" customHeight="1">
      <c r="A15" s="122"/>
      <c r="B15" s="316"/>
      <c r="C15" s="316"/>
      <c r="D15" s="316"/>
      <c r="E15" s="316"/>
      <c r="F15" s="316"/>
      <c r="G15" s="123"/>
      <c r="H15" s="124"/>
      <c r="I15" s="125" t="s">
        <v>526</v>
      </c>
      <c r="J15" s="126" t="s">
        <v>267</v>
      </c>
    </row>
    <row r="16" spans="1:10" ht="44.25" customHeight="1">
      <c r="A16" s="127" t="s">
        <v>14</v>
      </c>
      <c r="B16" s="316" t="s">
        <v>498</v>
      </c>
      <c r="C16" s="316"/>
      <c r="D16" s="316"/>
      <c r="E16" s="316"/>
      <c r="F16" s="316"/>
      <c r="G16" s="128"/>
      <c r="H16" s="129"/>
      <c r="I16" s="130" t="s">
        <v>148</v>
      </c>
      <c r="J16" s="126">
        <v>19093033</v>
      </c>
    </row>
    <row r="17" spans="1:10" ht="16.5" customHeight="1">
      <c r="A17" s="127" t="s">
        <v>15</v>
      </c>
      <c r="B17" s="316" t="s">
        <v>496</v>
      </c>
      <c r="C17" s="316"/>
      <c r="D17" s="316"/>
      <c r="E17" s="316"/>
      <c r="F17" s="316"/>
      <c r="G17" s="123"/>
      <c r="H17" s="124"/>
      <c r="I17" s="130" t="s">
        <v>147</v>
      </c>
      <c r="J17" s="126">
        <v>150</v>
      </c>
    </row>
    <row r="18" spans="1:10" ht="18.75" customHeight="1">
      <c r="A18" s="127" t="s">
        <v>20</v>
      </c>
      <c r="B18" s="316" t="s">
        <v>499</v>
      </c>
      <c r="C18" s="316"/>
      <c r="D18" s="316"/>
      <c r="E18" s="316"/>
      <c r="F18" s="316"/>
      <c r="G18" s="123"/>
      <c r="H18" s="124"/>
      <c r="I18" s="130" t="s">
        <v>146</v>
      </c>
      <c r="J18" s="126">
        <v>1210100000</v>
      </c>
    </row>
    <row r="19" spans="1:10" ht="15.75" customHeight="1">
      <c r="A19" s="127" t="s">
        <v>388</v>
      </c>
      <c r="B19" s="316"/>
      <c r="C19" s="316"/>
      <c r="D19" s="316"/>
      <c r="E19" s="316"/>
      <c r="F19" s="316"/>
      <c r="G19" s="128"/>
      <c r="H19" s="129"/>
      <c r="I19" s="130" t="s">
        <v>9</v>
      </c>
      <c r="J19" s="126"/>
    </row>
    <row r="20" spans="1:10" ht="15.75" customHeight="1">
      <c r="A20" s="127" t="s">
        <v>17</v>
      </c>
      <c r="B20" s="316"/>
      <c r="C20" s="316"/>
      <c r="D20" s="316"/>
      <c r="E20" s="316"/>
      <c r="F20" s="316"/>
      <c r="G20" s="128"/>
      <c r="H20" s="129"/>
      <c r="I20" s="130" t="s">
        <v>8</v>
      </c>
      <c r="J20" s="126"/>
    </row>
    <row r="21" spans="1:10" ht="21" customHeight="1">
      <c r="A21" s="127" t="s">
        <v>16</v>
      </c>
      <c r="B21" s="316" t="s">
        <v>405</v>
      </c>
      <c r="C21" s="316"/>
      <c r="D21" s="316"/>
      <c r="E21" s="316"/>
      <c r="F21" s="316"/>
      <c r="G21" s="128"/>
      <c r="H21" s="131"/>
      <c r="I21" s="133" t="s">
        <v>10</v>
      </c>
      <c r="J21" s="126" t="s">
        <v>418</v>
      </c>
    </row>
    <row r="22" spans="1:10" ht="20.25" customHeight="1">
      <c r="A22" s="321" t="s">
        <v>389</v>
      </c>
      <c r="B22" s="316"/>
      <c r="C22" s="316"/>
      <c r="D22" s="316"/>
      <c r="E22" s="316"/>
      <c r="F22" s="316"/>
      <c r="G22" s="316" t="s">
        <v>210</v>
      </c>
      <c r="H22" s="319"/>
      <c r="I22" s="320"/>
      <c r="J22" s="134"/>
    </row>
    <row r="23" spans="1:10" ht="15.75" customHeight="1">
      <c r="A23" s="127" t="s">
        <v>21</v>
      </c>
      <c r="B23" s="316" t="s">
        <v>419</v>
      </c>
      <c r="C23" s="316"/>
      <c r="D23" s="316"/>
      <c r="E23" s="316"/>
      <c r="F23" s="316"/>
      <c r="G23" s="316" t="s">
        <v>211</v>
      </c>
      <c r="H23" s="319"/>
      <c r="I23" s="320"/>
      <c r="J23" s="134"/>
    </row>
    <row r="24" spans="1:10" ht="15.75" customHeight="1">
      <c r="A24" s="321" t="s">
        <v>121</v>
      </c>
      <c r="B24" s="316"/>
      <c r="C24" s="316"/>
      <c r="D24" s="316"/>
      <c r="E24" s="316"/>
      <c r="F24" s="316"/>
      <c r="G24" s="128">
        <v>28</v>
      </c>
      <c r="H24" s="128"/>
      <c r="I24" s="128"/>
      <c r="J24" s="129"/>
    </row>
    <row r="25" spans="1:10" ht="40.5" customHeight="1">
      <c r="A25" s="127" t="s">
        <v>11</v>
      </c>
      <c r="B25" s="316" t="s">
        <v>505</v>
      </c>
      <c r="C25" s="316"/>
      <c r="D25" s="316"/>
      <c r="E25" s="316"/>
      <c r="F25" s="316"/>
      <c r="G25" s="123"/>
      <c r="H25" s="123"/>
      <c r="I25" s="123"/>
      <c r="J25" s="124"/>
    </row>
    <row r="26" spans="1:10" ht="18" customHeight="1">
      <c r="A26" s="127" t="s">
        <v>12</v>
      </c>
      <c r="B26" s="316"/>
      <c r="C26" s="316"/>
      <c r="D26" s="316"/>
      <c r="E26" s="316"/>
      <c r="F26" s="316"/>
      <c r="G26" s="128"/>
      <c r="H26" s="128"/>
      <c r="I26" s="128"/>
      <c r="J26" s="129"/>
    </row>
    <row r="27" spans="1:10" ht="21" customHeight="1">
      <c r="A27" s="127" t="s">
        <v>13</v>
      </c>
      <c r="B27" s="316" t="s">
        <v>420</v>
      </c>
      <c r="C27" s="316"/>
      <c r="D27" s="316"/>
      <c r="E27" s="316"/>
      <c r="F27" s="316"/>
      <c r="G27" s="123"/>
      <c r="H27" s="123"/>
      <c r="I27" s="123"/>
      <c r="J27" s="124"/>
    </row>
    <row r="28" spans="1:10" ht="20.100000000000001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9.5" customHeight="1">
      <c r="A29" s="97"/>
      <c r="B29" s="110"/>
      <c r="C29" s="111"/>
      <c r="D29" s="110"/>
      <c r="E29" s="110"/>
      <c r="F29" s="110"/>
      <c r="G29" s="110"/>
      <c r="H29" s="110"/>
      <c r="I29" s="110"/>
      <c r="J29" s="110"/>
    </row>
    <row r="30" spans="1:10">
      <c r="A30" s="318" t="s">
        <v>525</v>
      </c>
      <c r="B30" s="318"/>
      <c r="C30" s="318"/>
      <c r="D30" s="318"/>
      <c r="E30" s="318"/>
      <c r="F30" s="318"/>
      <c r="G30" s="318"/>
      <c r="H30" s="318"/>
      <c r="I30" s="318"/>
      <c r="J30" s="318"/>
    </row>
    <row r="31" spans="1:10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317" t="s">
        <v>224</v>
      </c>
      <c r="B32" s="317"/>
      <c r="C32" s="317"/>
      <c r="D32" s="317"/>
      <c r="E32" s="317"/>
      <c r="F32" s="317"/>
      <c r="G32" s="317"/>
      <c r="H32" s="317"/>
      <c r="I32" s="317"/>
      <c r="J32" s="317"/>
    </row>
    <row r="33" spans="1:10" ht="12" customHeight="1">
      <c r="B33" s="24"/>
      <c r="C33" s="4"/>
      <c r="D33" s="24"/>
      <c r="E33" s="24"/>
      <c r="F33" s="24"/>
      <c r="G33" s="24"/>
      <c r="H33" s="24"/>
      <c r="I33" s="24"/>
      <c r="J33" s="24"/>
    </row>
    <row r="34" spans="1:10" ht="31.5" customHeight="1">
      <c r="A34" s="292" t="s">
        <v>277</v>
      </c>
      <c r="B34" s="293" t="s">
        <v>18</v>
      </c>
      <c r="C34" s="312" t="s">
        <v>32</v>
      </c>
      <c r="D34" s="312" t="s">
        <v>40</v>
      </c>
      <c r="E34" s="293" t="s">
        <v>153</v>
      </c>
      <c r="F34" s="314" t="s">
        <v>185</v>
      </c>
      <c r="G34" s="309" t="s">
        <v>278</v>
      </c>
      <c r="H34" s="310"/>
      <c r="I34" s="310"/>
      <c r="J34" s="311"/>
    </row>
    <row r="35" spans="1:10" ht="54.75" customHeight="1">
      <c r="A35" s="292"/>
      <c r="B35" s="293"/>
      <c r="C35" s="313"/>
      <c r="D35" s="313"/>
      <c r="E35" s="293"/>
      <c r="F35" s="315"/>
      <c r="G35" s="99" t="s">
        <v>271</v>
      </c>
      <c r="H35" s="99" t="s">
        <v>272</v>
      </c>
      <c r="I35" s="99" t="s">
        <v>273</v>
      </c>
      <c r="J35" s="99" t="s">
        <v>363</v>
      </c>
    </row>
    <row r="36" spans="1:10" ht="20.100000000000001" customHeight="1">
      <c r="A36" s="98">
        <v>1</v>
      </c>
      <c r="B36" s="99">
        <v>2</v>
      </c>
      <c r="C36" s="99">
        <v>3</v>
      </c>
      <c r="D36" s="99">
        <v>4</v>
      </c>
      <c r="E36" s="99">
        <v>5</v>
      </c>
      <c r="F36" s="99">
        <v>6</v>
      </c>
      <c r="G36" s="99">
        <v>7</v>
      </c>
      <c r="H36" s="99">
        <v>8</v>
      </c>
      <c r="I36" s="99">
        <v>9</v>
      </c>
      <c r="J36" s="99">
        <v>10</v>
      </c>
    </row>
    <row r="37" spans="1:10" ht="24.95" customHeight="1">
      <c r="A37" s="297" t="s">
        <v>109</v>
      </c>
      <c r="B37" s="298"/>
      <c r="C37" s="298"/>
      <c r="D37" s="298"/>
      <c r="E37" s="298"/>
      <c r="F37" s="298"/>
      <c r="G37" s="298"/>
      <c r="H37" s="298"/>
      <c r="I37" s="298"/>
      <c r="J37" s="299"/>
    </row>
    <row r="38" spans="1:10" ht="37.5">
      <c r="A38" s="100" t="s">
        <v>225</v>
      </c>
      <c r="B38" s="98">
        <f>'I. Фін результат'!B7</f>
        <v>1000</v>
      </c>
      <c r="C38" s="190">
        <f>'I. Фін результат'!C7</f>
        <v>47</v>
      </c>
      <c r="D38" s="190">
        <f>'I. Фін результат'!D7</f>
        <v>138</v>
      </c>
      <c r="E38" s="190">
        <f>'I. Фін результат'!I7</f>
        <v>141</v>
      </c>
      <c r="F38" s="190">
        <f>'I. Фін результат'!E7</f>
        <v>25</v>
      </c>
      <c r="G38" s="188">
        <f>ROUND(E38*1.059,0)+1</f>
        <v>150</v>
      </c>
      <c r="H38" s="188">
        <f>ROUND(G38*1.05,0)+1</f>
        <v>159</v>
      </c>
      <c r="I38" s="188">
        <f t="shared" ref="I38:J41" si="0">ROUND(H38*1.05,0)</f>
        <v>167</v>
      </c>
      <c r="J38" s="188">
        <f>ROUND(I38*1.05,0)+1</f>
        <v>176</v>
      </c>
    </row>
    <row r="39" spans="1:10" ht="37.5">
      <c r="A39" s="100" t="s">
        <v>193</v>
      </c>
      <c r="B39" s="98">
        <f>'I. Фін результат'!B9</f>
        <v>1010</v>
      </c>
      <c r="C39" s="190">
        <f>'I. Фін результат'!C9</f>
        <v>55</v>
      </c>
      <c r="D39" s="190">
        <f>'I. Фін результат'!D9</f>
        <v>2415</v>
      </c>
      <c r="E39" s="190">
        <f>'I. Фін результат'!I9</f>
        <v>2660</v>
      </c>
      <c r="F39" s="190">
        <f>'I. Фін результат'!E9</f>
        <v>2415</v>
      </c>
      <c r="G39" s="188">
        <f>ROUND(E39*1.059,0)</f>
        <v>2817</v>
      </c>
      <c r="H39" s="188">
        <f>ROUND(G39*1.05,0)</f>
        <v>2958</v>
      </c>
      <c r="I39" s="188">
        <f>ROUND(H39*1.05,0)+1</f>
        <v>3107</v>
      </c>
      <c r="J39" s="188">
        <f t="shared" si="0"/>
        <v>3262</v>
      </c>
    </row>
    <row r="40" spans="1:10" ht="20.100000000000001" customHeight="1">
      <c r="A40" s="102" t="s">
        <v>311</v>
      </c>
      <c r="B40" s="98">
        <f>'I. Фін результат'!B18</f>
        <v>1020</v>
      </c>
      <c r="C40" s="190">
        <f>'I. Фін результат'!C18</f>
        <v>-8</v>
      </c>
      <c r="D40" s="190">
        <f>'I. Фін результат'!D18</f>
        <v>-2277</v>
      </c>
      <c r="E40" s="190">
        <f>'I. Фін результат'!I18</f>
        <v>-2519</v>
      </c>
      <c r="F40" s="190">
        <f>'I. Фін результат'!E18</f>
        <v>-2390</v>
      </c>
      <c r="G40" s="190">
        <f>G38-G39</f>
        <v>-2667</v>
      </c>
      <c r="H40" s="190">
        <f>H38-H39</f>
        <v>-2799</v>
      </c>
      <c r="I40" s="190">
        <f>I38-I39</f>
        <v>-2940</v>
      </c>
      <c r="J40" s="190">
        <f>J38-J39</f>
        <v>-3086</v>
      </c>
    </row>
    <row r="41" spans="1:10" ht="20.100000000000001" customHeight="1">
      <c r="A41" s="100" t="s">
        <v>158</v>
      </c>
      <c r="B41" s="98">
        <f>'I. Фін результат'!B22</f>
        <v>1040</v>
      </c>
      <c r="C41" s="190">
        <f>'I. Фін результат'!C22</f>
        <v>3890</v>
      </c>
      <c r="D41" s="190">
        <f>'I. Фін результат'!D22</f>
        <v>1868</v>
      </c>
      <c r="E41" s="190">
        <f>'I. Фін результат'!I22</f>
        <v>1970</v>
      </c>
      <c r="F41" s="190">
        <f>'I. Фін результат'!E22</f>
        <v>1906</v>
      </c>
      <c r="G41" s="188">
        <f>ROUND(E41*1.059,0)</f>
        <v>2086</v>
      </c>
      <c r="H41" s="188">
        <f>ROUND(G41*1.05,0)</f>
        <v>2190</v>
      </c>
      <c r="I41" s="188">
        <f t="shared" si="0"/>
        <v>2300</v>
      </c>
      <c r="J41" s="188">
        <f t="shared" si="0"/>
        <v>2415</v>
      </c>
    </row>
    <row r="42" spans="1:10" ht="20.100000000000001" customHeight="1">
      <c r="A42" s="100" t="s">
        <v>155</v>
      </c>
      <c r="B42" s="98">
        <f>'I. Фін результат'!B51</f>
        <v>1070</v>
      </c>
      <c r="C42" s="190">
        <f>'I. Фін результат'!C51</f>
        <v>0</v>
      </c>
      <c r="D42" s="190">
        <f>'I. Фін результат'!D51</f>
        <v>0</v>
      </c>
      <c r="E42" s="190">
        <f>'I. Фін результат'!I51</f>
        <v>0</v>
      </c>
      <c r="F42" s="190">
        <f>'I. Фін результат'!E51</f>
        <v>0</v>
      </c>
      <c r="G42" s="188">
        <f>ROUND(E42*1.059,0)</f>
        <v>0</v>
      </c>
      <c r="H42" s="188">
        <f>ROUND(G42*1.05,0)</f>
        <v>0</v>
      </c>
      <c r="I42" s="188">
        <f>ROUND(H42*1.05,0)</f>
        <v>0</v>
      </c>
      <c r="J42" s="188">
        <f>ROUND(I42*1.05,0)</f>
        <v>0</v>
      </c>
    </row>
    <row r="43" spans="1:10" ht="20.100000000000001" customHeight="1">
      <c r="A43" s="100" t="s">
        <v>159</v>
      </c>
      <c r="B43" s="98">
        <f>'I. Фін результат'!B82</f>
        <v>1300</v>
      </c>
      <c r="C43" s="190">
        <f>'I. Фін результат'!C82</f>
        <v>3740</v>
      </c>
      <c r="D43" s="190">
        <f>'I. Фін результат'!D82</f>
        <v>4145</v>
      </c>
      <c r="E43" s="190">
        <f>'I. Фін результат'!I82</f>
        <v>4489</v>
      </c>
      <c r="F43" s="190">
        <f>'I. Фін результат'!E82</f>
        <v>4145</v>
      </c>
      <c r="G43" s="188">
        <f>ROUND(E43*1.059,0)</f>
        <v>4754</v>
      </c>
      <c r="H43" s="188">
        <f>ROUND(G43*1.05,0)</f>
        <v>4992</v>
      </c>
      <c r="I43" s="188">
        <f>ROUND(H43*1.05,0)+1</f>
        <v>5243</v>
      </c>
      <c r="J43" s="188">
        <f>ROUND(I43*1.05,0)</f>
        <v>5505</v>
      </c>
    </row>
    <row r="44" spans="1:10" ht="37.5">
      <c r="A44" s="103" t="s">
        <v>4</v>
      </c>
      <c r="B44" s="98">
        <f>'I. Фін результат'!B65</f>
        <v>1100</v>
      </c>
      <c r="C44" s="190">
        <f>'I. Фін результат'!C65</f>
        <v>-158</v>
      </c>
      <c r="D44" s="190">
        <f>'I. Фін результат'!D65</f>
        <v>0</v>
      </c>
      <c r="E44" s="190">
        <f>'I. Фін результат'!I65</f>
        <v>0</v>
      </c>
      <c r="F44" s="190">
        <f>'I. Фін результат'!E65</f>
        <v>-151</v>
      </c>
      <c r="G44" s="190">
        <f>G40-G41-G42+G43</f>
        <v>1</v>
      </c>
      <c r="H44" s="190">
        <f>H40-H41-H42+H43</f>
        <v>3</v>
      </c>
      <c r="I44" s="190">
        <f>I40-I41-I42+I43</f>
        <v>3</v>
      </c>
      <c r="J44" s="190">
        <f>J40-J41-J42+J43</f>
        <v>4</v>
      </c>
    </row>
    <row r="45" spans="1:10" ht="20.100000000000001" customHeight="1">
      <c r="A45" s="103" t="s">
        <v>160</v>
      </c>
      <c r="B45" s="98">
        <f>'I. Фін результат'!B93</f>
        <v>1410</v>
      </c>
      <c r="C45" s="190">
        <f>'I. Фін результат'!C93</f>
        <v>-8</v>
      </c>
      <c r="D45" s="190">
        <f>'I. Фін результат'!D93</f>
        <v>140</v>
      </c>
      <c r="E45" s="190">
        <f>'I. Фін результат'!I93</f>
        <v>140</v>
      </c>
      <c r="F45" s="190">
        <f>'I. Фін результат'!E93</f>
        <v>-1</v>
      </c>
      <c r="G45" s="188">
        <f>ROUND(E45*1.059,0)</f>
        <v>148</v>
      </c>
      <c r="H45" s="188">
        <f>ROUND(G45*1.05,0)</f>
        <v>155</v>
      </c>
      <c r="I45" s="188">
        <f>ROUND(H45*1.05,0)</f>
        <v>163</v>
      </c>
      <c r="J45" s="188">
        <f>ROUND(I45*1.05,0)</f>
        <v>171</v>
      </c>
    </row>
    <row r="46" spans="1:10" ht="20.100000000000001" customHeight="1">
      <c r="A46" s="104" t="s">
        <v>247</v>
      </c>
      <c r="B46" s="98">
        <f>' V. Коефіцієнти'!B8</f>
        <v>5010</v>
      </c>
      <c r="C46" s="191">
        <v>0</v>
      </c>
      <c r="D46" s="191">
        <f>D45*100/D38</f>
        <v>101.44927536231884</v>
      </c>
      <c r="E46" s="191">
        <f>' V. Коефіцієнти'!G8</f>
        <v>99.290780141843967</v>
      </c>
      <c r="F46" s="191">
        <v>0</v>
      </c>
      <c r="G46" s="199">
        <f>G45*100/G38</f>
        <v>98.666666666666671</v>
      </c>
      <c r="H46" s="199">
        <f>H45*100/H38</f>
        <v>97.484276729559753</v>
      </c>
      <c r="I46" s="199">
        <f>I45*100/I38</f>
        <v>97.604790419161674</v>
      </c>
      <c r="J46" s="199">
        <f>J45*100/J38</f>
        <v>97.159090909090907</v>
      </c>
    </row>
    <row r="47" spans="1:10" ht="37.5">
      <c r="A47" s="104" t="s">
        <v>161</v>
      </c>
      <c r="B47" s="98">
        <f>'I. Фін результат'!B83</f>
        <v>1310</v>
      </c>
      <c r="C47" s="190">
        <f>'I. Фін результат'!C83</f>
        <v>0</v>
      </c>
      <c r="D47" s="190">
        <f>'I. Фін результат'!D83</f>
        <v>0</v>
      </c>
      <c r="E47" s="190">
        <f>'I. Фін результат'!I83</f>
        <v>0</v>
      </c>
      <c r="F47" s="190">
        <f>'I. Фін результат'!E83</f>
        <v>0</v>
      </c>
      <c r="G47" s="188">
        <f>ROUND(E47*1.059,0)</f>
        <v>0</v>
      </c>
      <c r="H47" s="188">
        <f t="shared" ref="H47:J48" si="1">ROUND(G47*1.05,0)</f>
        <v>0</v>
      </c>
      <c r="I47" s="188">
        <f t="shared" si="1"/>
        <v>0</v>
      </c>
      <c r="J47" s="188">
        <f t="shared" si="1"/>
        <v>0</v>
      </c>
    </row>
    <row r="48" spans="1:10" ht="20.100000000000001" customHeight="1">
      <c r="A48" s="100" t="s">
        <v>252</v>
      </c>
      <c r="B48" s="98">
        <f>'I. Фін результат'!B84</f>
        <v>1320</v>
      </c>
      <c r="C48" s="190">
        <f>'I. Фін результат'!C84</f>
        <v>0</v>
      </c>
      <c r="D48" s="190">
        <f>'I. Фін результат'!D84</f>
        <v>0</v>
      </c>
      <c r="E48" s="190">
        <f>'I. Фін результат'!I84</f>
        <v>0</v>
      </c>
      <c r="F48" s="190">
        <f>'I. Фін результат'!E84</f>
        <v>0</v>
      </c>
      <c r="G48" s="188">
        <f>ROUND(E48*1.059,0)</f>
        <v>0</v>
      </c>
      <c r="H48" s="188">
        <f t="shared" si="1"/>
        <v>0</v>
      </c>
      <c r="I48" s="188">
        <f t="shared" si="1"/>
        <v>0</v>
      </c>
      <c r="J48" s="188">
        <f t="shared" si="1"/>
        <v>0</v>
      </c>
    </row>
    <row r="49" spans="1:10" ht="37.5">
      <c r="A49" s="103" t="s">
        <v>107</v>
      </c>
      <c r="B49" s="98">
        <f>'I. Фін результат'!B74</f>
        <v>1170</v>
      </c>
      <c r="C49" s="190">
        <f>'I. Фін результат'!C74</f>
        <v>-158</v>
      </c>
      <c r="D49" s="190">
        <f>'I. Фін результат'!D74</f>
        <v>0</v>
      </c>
      <c r="E49" s="190">
        <f>'I. Фін результат'!I74</f>
        <v>0</v>
      </c>
      <c r="F49" s="190">
        <f>'I. Фін результат'!E74</f>
        <v>-151</v>
      </c>
      <c r="G49" s="190">
        <f>G44+G47+G48</f>
        <v>1</v>
      </c>
      <c r="H49" s="190">
        <f>H44+H47+H48</f>
        <v>3</v>
      </c>
      <c r="I49" s="190">
        <f>I44+I47+I48</f>
        <v>3</v>
      </c>
      <c r="J49" s="190">
        <f>J44+J47+J48</f>
        <v>4</v>
      </c>
    </row>
    <row r="50" spans="1:10" ht="20.100000000000001" customHeight="1">
      <c r="A50" s="104" t="s">
        <v>156</v>
      </c>
      <c r="B50" s="98">
        <f>'I. Фін результат'!B75</f>
        <v>1180</v>
      </c>
      <c r="C50" s="190">
        <f>'I. Фін результат'!C75</f>
        <v>0</v>
      </c>
      <c r="D50" s="190">
        <f>'I. Фін результат'!D75</f>
        <v>0</v>
      </c>
      <c r="E50" s="190">
        <f>'I. Фін результат'!I75</f>
        <v>0</v>
      </c>
      <c r="F50" s="190">
        <f>'I. Фін результат'!E75</f>
        <v>0</v>
      </c>
      <c r="G50" s="190">
        <f>IF(G49&gt;0,G49*18%,0)</f>
        <v>0.18</v>
      </c>
      <c r="H50" s="190">
        <f>IF(H49&gt;0,H49*18%,0)</f>
        <v>0.54</v>
      </c>
      <c r="I50" s="190">
        <f>IF(I49&gt;0,I49*18%,0)</f>
        <v>0.54</v>
      </c>
      <c r="J50" s="190">
        <f>IF(J49&gt;0,J49*18%,0)</f>
        <v>0.72</v>
      </c>
    </row>
    <row r="51" spans="1:10" ht="20.100000000000001" customHeight="1">
      <c r="A51" s="103" t="s">
        <v>248</v>
      </c>
      <c r="B51" s="98">
        <f>'I. Фін результат'!B77</f>
        <v>1200</v>
      </c>
      <c r="C51" s="190">
        <f>'I. Фін результат'!C77</f>
        <v>-158</v>
      </c>
      <c r="D51" s="190">
        <f>'I. Фін результат'!D77</f>
        <v>0</v>
      </c>
      <c r="E51" s="190">
        <f>'I. Фін результат'!I77</f>
        <v>0</v>
      </c>
      <c r="F51" s="190">
        <f>'I. Фін результат'!E77</f>
        <v>-151</v>
      </c>
      <c r="G51" s="190">
        <f>G49-G50</f>
        <v>0.82000000000000006</v>
      </c>
      <c r="H51" s="190">
        <f>H49-H50</f>
        <v>2.46</v>
      </c>
      <c r="I51" s="190">
        <f>I49-I50</f>
        <v>2.46</v>
      </c>
      <c r="J51" s="190">
        <f>J49-J50</f>
        <v>3.2800000000000002</v>
      </c>
    </row>
    <row r="52" spans="1:10" ht="20.100000000000001" customHeight="1">
      <c r="A52" s="104" t="s">
        <v>249</v>
      </c>
      <c r="B52" s="98">
        <f>' V. Коефіцієнти'!B11</f>
        <v>5040</v>
      </c>
      <c r="C52" s="191">
        <v>0</v>
      </c>
      <c r="D52" s="191">
        <f>D51/D38</f>
        <v>0</v>
      </c>
      <c r="E52" s="191">
        <f>' V. Коефіцієнти'!G11</f>
        <v>0</v>
      </c>
      <c r="F52" s="191">
        <v>0</v>
      </c>
      <c r="G52" s="191">
        <f>G51/G38</f>
        <v>5.4666666666666674E-3</v>
      </c>
      <c r="H52" s="191">
        <f>H51/H38</f>
        <v>1.5471698113207547E-2</v>
      </c>
      <c r="I52" s="191">
        <f>I51/I38</f>
        <v>1.4730538922155688E-2</v>
      </c>
      <c r="J52" s="191">
        <f>J51/J38</f>
        <v>1.8636363636363638E-2</v>
      </c>
    </row>
    <row r="53" spans="1:10" ht="24.95" customHeight="1">
      <c r="A53" s="303" t="s">
        <v>173</v>
      </c>
      <c r="B53" s="304"/>
      <c r="C53" s="304"/>
      <c r="D53" s="304"/>
      <c r="E53" s="304"/>
      <c r="F53" s="304"/>
      <c r="G53" s="304"/>
      <c r="H53" s="304"/>
      <c r="I53" s="304"/>
      <c r="J53" s="305"/>
    </row>
    <row r="54" spans="1:10" ht="20.100000000000001" customHeight="1">
      <c r="A54" s="105" t="s">
        <v>368</v>
      </c>
      <c r="B54" s="98">
        <f>'ІІ. Розр. з бюджетом'!B19</f>
        <v>2100</v>
      </c>
      <c r="C54" s="190">
        <f>'ІІ. Розр. з бюджетом'!C19</f>
        <v>0</v>
      </c>
      <c r="D54" s="190">
        <f>'ІІ. Розр. з бюджетом'!D19</f>
        <v>0</v>
      </c>
      <c r="E54" s="190">
        <f>'ІІ. Розр. з бюджетом'!I19</f>
        <v>0</v>
      </c>
      <c r="F54" s="190">
        <f>'ІІ. Розр. з бюджетом'!E19</f>
        <v>0</v>
      </c>
      <c r="G54" s="188">
        <f>ROUND(G51*66%,0)</f>
        <v>1</v>
      </c>
      <c r="H54" s="188">
        <f>ROUND(H51*66%,0)</f>
        <v>2</v>
      </c>
      <c r="I54" s="188">
        <f>ROUND(I51*66%,0)</f>
        <v>2</v>
      </c>
      <c r="J54" s="188">
        <f>ROUND(J51*66%,0)</f>
        <v>2</v>
      </c>
    </row>
    <row r="55" spans="1:10" ht="20.100000000000001" customHeight="1">
      <c r="A55" s="106" t="s">
        <v>172</v>
      </c>
      <c r="B55" s="98">
        <f>'ІІ. Розр. з бюджетом'!B22</f>
        <v>2110</v>
      </c>
      <c r="C55" s="190">
        <f>'ІІ. Розр. з бюджетом'!C22</f>
        <v>0</v>
      </c>
      <c r="D55" s="190">
        <f>'ІІ. Розр. з бюджетом'!D22</f>
        <v>0</v>
      </c>
      <c r="E55" s="190">
        <f>'ІІ. Розр. з бюджетом'!I22</f>
        <v>0</v>
      </c>
      <c r="F55" s="190">
        <f>'ІІ. Розр. з бюджетом'!E22</f>
        <v>0</v>
      </c>
      <c r="G55" s="190">
        <f>G50</f>
        <v>0.18</v>
      </c>
      <c r="H55" s="190">
        <f>H50</f>
        <v>0.54</v>
      </c>
      <c r="I55" s="190">
        <f>I50</f>
        <v>0.54</v>
      </c>
      <c r="J55" s="190">
        <f>J50</f>
        <v>0.72</v>
      </c>
    </row>
    <row r="56" spans="1:10" ht="56.25">
      <c r="A56" s="106" t="s">
        <v>364</v>
      </c>
      <c r="B56" s="98" t="s">
        <v>250</v>
      </c>
      <c r="C56" s="190">
        <f>SUM('ІІ. Розр. з бюджетом'!C23,'ІІ. Розр. з бюджетом'!C24)</f>
        <v>0</v>
      </c>
      <c r="D56" s="190">
        <f>SUM('ІІ. Розр. з бюджетом'!D23,'ІІ. Розр. з бюджетом'!D24)</f>
        <v>0</v>
      </c>
      <c r="E56" s="190">
        <f>'ІІ. Розр. з бюджетом'!I23+'ІІ. Розр. з бюджетом'!I24</f>
        <v>0</v>
      </c>
      <c r="F56" s="190">
        <f>SUM('ІІ. Розр. з бюджетом'!E23,'ІІ. Розр. з бюджетом'!E24)</f>
        <v>0</v>
      </c>
      <c r="G56" s="188">
        <f>ROUND(E56*1.059,0)</f>
        <v>0</v>
      </c>
      <c r="H56" s="188">
        <f t="shared" ref="H56:J58" si="2">ROUND(G56*1.05,0)</f>
        <v>0</v>
      </c>
      <c r="I56" s="188">
        <f t="shared" si="2"/>
        <v>0</v>
      </c>
      <c r="J56" s="188">
        <f t="shared" si="2"/>
        <v>0</v>
      </c>
    </row>
    <row r="57" spans="1:10" ht="56.25">
      <c r="A57" s="105" t="s">
        <v>369</v>
      </c>
      <c r="B57" s="98">
        <f>'ІІ. Розр. з бюджетом'!B25</f>
        <v>2140</v>
      </c>
      <c r="C57" s="190">
        <f>'ІІ. Розр. з бюджетом'!C25</f>
        <v>432</v>
      </c>
      <c r="D57" s="190">
        <f>'ІІ. Розр. з бюджетом'!D25</f>
        <v>612</v>
      </c>
      <c r="E57" s="190">
        <f>'ІІ. Розр. з бюджетом'!I25</f>
        <v>673</v>
      </c>
      <c r="F57" s="190">
        <f>'ІІ. Розр. з бюджетом'!E25</f>
        <v>610</v>
      </c>
      <c r="G57" s="188">
        <f>ROUND(E57*1.059,0)</f>
        <v>713</v>
      </c>
      <c r="H57" s="188">
        <f t="shared" si="2"/>
        <v>749</v>
      </c>
      <c r="I57" s="188">
        <f t="shared" si="2"/>
        <v>786</v>
      </c>
      <c r="J57" s="188">
        <f t="shared" si="2"/>
        <v>825</v>
      </c>
    </row>
    <row r="58" spans="1:10" ht="39" customHeight="1">
      <c r="A58" s="105" t="s">
        <v>91</v>
      </c>
      <c r="B58" s="98">
        <f>'ІІ. Розр. з бюджетом'!B37</f>
        <v>2150</v>
      </c>
      <c r="C58" s="190">
        <f>'ІІ. Розр. з бюджетом'!C37</f>
        <v>702</v>
      </c>
      <c r="D58" s="190">
        <f>'ІІ. Розр. з бюджетом'!D37</f>
        <v>681</v>
      </c>
      <c r="E58" s="190">
        <f>'ІІ. Розр. з бюджетом'!I37</f>
        <v>750</v>
      </c>
      <c r="F58" s="190">
        <f>'ІІ. Розр. з бюджетом'!E37</f>
        <v>681</v>
      </c>
      <c r="G58" s="188">
        <f>ROUND(E58*1.059,0)</f>
        <v>794</v>
      </c>
      <c r="H58" s="188">
        <f t="shared" si="2"/>
        <v>834</v>
      </c>
      <c r="I58" s="188">
        <f t="shared" si="2"/>
        <v>876</v>
      </c>
      <c r="J58" s="188">
        <f t="shared" si="2"/>
        <v>920</v>
      </c>
    </row>
    <row r="59" spans="1:10" ht="20.100000000000001" customHeight="1">
      <c r="A59" s="107" t="s">
        <v>370</v>
      </c>
      <c r="B59" s="98">
        <f>'ІІ. Розр. з бюджетом'!B38</f>
        <v>2200</v>
      </c>
      <c r="C59" s="190">
        <f>'ІІ. Розр. з бюджетом'!C38</f>
        <v>1134</v>
      </c>
      <c r="D59" s="190">
        <f>'ІІ. Розр. з бюджетом'!D38</f>
        <v>1293</v>
      </c>
      <c r="E59" s="190">
        <f>'ІІ. Розр. з бюджетом'!I38</f>
        <v>1423</v>
      </c>
      <c r="F59" s="190">
        <f>'ІІ. Розр. з бюджетом'!E38</f>
        <v>1291</v>
      </c>
      <c r="G59" s="190">
        <f>SUM(G54:G58)</f>
        <v>1508.1799999999998</v>
      </c>
      <c r="H59" s="190">
        <f>SUM(H54:H58)</f>
        <v>1585.54</v>
      </c>
      <c r="I59" s="190">
        <f>SUM(I54:I58)</f>
        <v>1664.54</v>
      </c>
      <c r="J59" s="190">
        <f>SUM(J54:J58)</f>
        <v>1747.72</v>
      </c>
    </row>
    <row r="60" spans="1:10" ht="24.95" customHeight="1">
      <c r="A60" s="303" t="s">
        <v>171</v>
      </c>
      <c r="B60" s="304"/>
      <c r="C60" s="304"/>
      <c r="D60" s="304"/>
      <c r="E60" s="304"/>
      <c r="F60" s="304"/>
      <c r="G60" s="304"/>
      <c r="H60" s="304"/>
      <c r="I60" s="304"/>
      <c r="J60" s="305"/>
    </row>
    <row r="61" spans="1:10" ht="20.100000000000001" customHeight="1">
      <c r="A61" s="107" t="s">
        <v>162</v>
      </c>
      <c r="B61" s="98">
        <f>'ІІІ. Рух грош. коштів'!B70</f>
        <v>3600</v>
      </c>
      <c r="C61" s="190">
        <f>'ІІІ. Рух грош. коштів'!C70</f>
        <v>13</v>
      </c>
      <c r="D61" s="190">
        <f>'ІІІ. Рух грош. коштів'!D70</f>
        <v>3</v>
      </c>
      <c r="E61" s="190">
        <f>'ІІІ. Рух грош. коштів'!I70</f>
        <v>25</v>
      </c>
      <c r="F61" s="190">
        <f>'ІІІ. Рух грош. коштів'!E70</f>
        <v>3</v>
      </c>
      <c r="G61" s="190">
        <f>E66</f>
        <v>165</v>
      </c>
      <c r="H61" s="190">
        <f>G66</f>
        <v>313</v>
      </c>
      <c r="I61" s="190">
        <f>H66</f>
        <v>468</v>
      </c>
      <c r="J61" s="190">
        <f>I66</f>
        <v>631</v>
      </c>
    </row>
    <row r="62" spans="1:10" ht="37.5">
      <c r="A62" s="105" t="s">
        <v>163</v>
      </c>
      <c r="B62" s="98">
        <f>'ІІІ. Рух грош. коштів'!B20</f>
        <v>3090</v>
      </c>
      <c r="C62" s="190">
        <f>'ІІІ. Рух грош. коштів'!C20</f>
        <v>-10</v>
      </c>
      <c r="D62" s="190">
        <f>'ІІІ. Рух грош. коштів'!D20</f>
        <v>140</v>
      </c>
      <c r="E62" s="190">
        <f>'ІІІ. Рух грош. коштів'!I20</f>
        <v>140</v>
      </c>
      <c r="F62" s="190">
        <f>'ІІІ. Рух грош. коштів'!E20</f>
        <v>22</v>
      </c>
      <c r="G62" s="188">
        <f>ROUND(E62*1.059,0)</f>
        <v>148</v>
      </c>
      <c r="H62" s="188">
        <f t="shared" ref="H62:J65" si="3">ROUND(G62*1.05,0)</f>
        <v>155</v>
      </c>
      <c r="I62" s="188">
        <f t="shared" si="3"/>
        <v>163</v>
      </c>
      <c r="J62" s="188">
        <f t="shared" si="3"/>
        <v>171</v>
      </c>
    </row>
    <row r="63" spans="1:10" ht="37.5">
      <c r="A63" s="105" t="s">
        <v>253</v>
      </c>
      <c r="B63" s="98">
        <f>'ІІІ. Рух грош. коштів'!B41</f>
        <v>3320</v>
      </c>
      <c r="C63" s="190">
        <f>'ІІІ. Рух грош. коштів'!C41</f>
        <v>0</v>
      </c>
      <c r="D63" s="190">
        <f>'ІІІ. Рух грош. коштів'!D41</f>
        <v>0</v>
      </c>
      <c r="E63" s="190">
        <f>'ІІІ. Рух грош. коштів'!I41</f>
        <v>0</v>
      </c>
      <c r="F63" s="190">
        <f>'ІІІ. Рух грош. коштів'!E41</f>
        <v>0</v>
      </c>
      <c r="G63" s="188">
        <f>ROUND(E63*1.059,0)</f>
        <v>0</v>
      </c>
      <c r="H63" s="188">
        <f t="shared" si="3"/>
        <v>0</v>
      </c>
      <c r="I63" s="188">
        <f t="shared" si="3"/>
        <v>0</v>
      </c>
      <c r="J63" s="188">
        <f t="shared" si="3"/>
        <v>0</v>
      </c>
    </row>
    <row r="64" spans="1:10" ht="37.5">
      <c r="A64" s="105" t="s">
        <v>164</v>
      </c>
      <c r="B64" s="98">
        <f>'ІІІ. Рух грош. коштів'!B68</f>
        <v>3580</v>
      </c>
      <c r="C64" s="190">
        <f>'ІІІ. Рух грош. коштів'!C68</f>
        <v>0</v>
      </c>
      <c r="D64" s="190">
        <f>'ІІІ. Рух грош. коштів'!D68</f>
        <v>0</v>
      </c>
      <c r="E64" s="190">
        <f>'ІІІ. Рух грош. коштів'!I68</f>
        <v>0</v>
      </c>
      <c r="F64" s="190">
        <f>'ІІІ. Рух грош. коштів'!E68</f>
        <v>0</v>
      </c>
      <c r="G64" s="188">
        <f>ROUND(E64*1.059,0)</f>
        <v>0</v>
      </c>
      <c r="H64" s="188">
        <f t="shared" si="3"/>
        <v>0</v>
      </c>
      <c r="I64" s="188">
        <f t="shared" si="3"/>
        <v>0</v>
      </c>
      <c r="J64" s="188">
        <f t="shared" si="3"/>
        <v>0</v>
      </c>
    </row>
    <row r="65" spans="1:10" ht="37.5">
      <c r="A65" s="105" t="s">
        <v>188</v>
      </c>
      <c r="B65" s="98">
        <f>'ІІІ. Рух грош. коштів'!B71</f>
        <v>3610</v>
      </c>
      <c r="C65" s="190">
        <f>'ІІІ. Рух грош. коштів'!C71</f>
        <v>0</v>
      </c>
      <c r="D65" s="190">
        <f>'ІІІ. Рух грош. коштів'!D71</f>
        <v>0</v>
      </c>
      <c r="E65" s="190">
        <f>'ІІІ. Рух грош. коштів'!I71</f>
        <v>0</v>
      </c>
      <c r="F65" s="190">
        <f>'ІІІ. Рух грош. коштів'!E71</f>
        <v>0</v>
      </c>
      <c r="G65" s="188">
        <f>ROUND(E65*1.059,0)</f>
        <v>0</v>
      </c>
      <c r="H65" s="188">
        <f t="shared" si="3"/>
        <v>0</v>
      </c>
      <c r="I65" s="188">
        <f t="shared" si="3"/>
        <v>0</v>
      </c>
      <c r="J65" s="188">
        <f t="shared" si="3"/>
        <v>0</v>
      </c>
    </row>
    <row r="66" spans="1:10" ht="20.100000000000001" customHeight="1">
      <c r="A66" s="107" t="s">
        <v>165</v>
      </c>
      <c r="B66" s="98">
        <f>'ІІІ. Рух грош. коштів'!B72</f>
        <v>3620</v>
      </c>
      <c r="C66" s="190">
        <f>'ІІІ. Рух грош. коштів'!C72</f>
        <v>3</v>
      </c>
      <c r="D66" s="190">
        <f>'ІІІ. Рух грош. коштів'!D72</f>
        <v>143</v>
      </c>
      <c r="E66" s="190">
        <f>'ІІІ. Рух грош. коштів'!I72</f>
        <v>165</v>
      </c>
      <c r="F66" s="190">
        <f>'ІІІ. Рух грош. коштів'!E72</f>
        <v>25</v>
      </c>
      <c r="G66" s="190">
        <f>SUM(G61:G65)</f>
        <v>313</v>
      </c>
      <c r="H66" s="190">
        <f>SUM(H61:H65)</f>
        <v>468</v>
      </c>
      <c r="I66" s="190">
        <f>SUM(I61:I65)</f>
        <v>631</v>
      </c>
      <c r="J66" s="190">
        <f>SUM(J61:J65)</f>
        <v>802</v>
      </c>
    </row>
    <row r="67" spans="1:10" ht="24.95" customHeight="1">
      <c r="A67" s="300" t="s">
        <v>232</v>
      </c>
      <c r="B67" s="301"/>
      <c r="C67" s="301"/>
      <c r="D67" s="301"/>
      <c r="E67" s="301"/>
      <c r="F67" s="301"/>
      <c r="G67" s="301"/>
      <c r="H67" s="301"/>
      <c r="I67" s="301"/>
      <c r="J67" s="302"/>
    </row>
    <row r="68" spans="1:10" ht="20.100000000000001" customHeight="1">
      <c r="A68" s="105" t="s">
        <v>231</v>
      </c>
      <c r="B68" s="98">
        <f>'IV. Кап. інвестиції'!B6</f>
        <v>4000</v>
      </c>
      <c r="C68" s="190">
        <f>'IV. Кап. інвестиції'!C6</f>
        <v>0</v>
      </c>
      <c r="D68" s="190">
        <f>'IV. Кап. інвестиції'!D6</f>
        <v>0</v>
      </c>
      <c r="E68" s="190">
        <f>'IV. Кап. інвестиції'!I6</f>
        <v>0</v>
      </c>
      <c r="F68" s="190">
        <f>'IV. Кап. інвестиції'!E6</f>
        <v>0</v>
      </c>
      <c r="G68" s="188">
        <f>ROUND(E68*1.059,0)</f>
        <v>0</v>
      </c>
      <c r="H68" s="188">
        <f>ROUND(G68*1.05,0)</f>
        <v>0</v>
      </c>
      <c r="I68" s="188">
        <f>ROUND(H68*1.05,0)</f>
        <v>0</v>
      </c>
      <c r="J68" s="188">
        <f>ROUND(I68*1.05,0)</f>
        <v>0</v>
      </c>
    </row>
    <row r="69" spans="1:10" ht="24.95" customHeight="1">
      <c r="A69" s="306" t="s">
        <v>235</v>
      </c>
      <c r="B69" s="307"/>
      <c r="C69" s="307"/>
      <c r="D69" s="307"/>
      <c r="E69" s="307"/>
      <c r="F69" s="307"/>
      <c r="G69" s="307"/>
      <c r="H69" s="307"/>
      <c r="I69" s="307"/>
      <c r="J69" s="308"/>
    </row>
    <row r="70" spans="1:10" ht="20.100000000000001" customHeight="1">
      <c r="A70" s="105" t="s">
        <v>191</v>
      </c>
      <c r="B70" s="98">
        <f>' V. Коефіцієнти'!B9</f>
        <v>5020</v>
      </c>
      <c r="C70" s="191">
        <f>' V. Коефіцієнти'!D9</f>
        <v>-0.13014827018121911</v>
      </c>
      <c r="D70" s="191">
        <f>D51/D77</f>
        <v>0</v>
      </c>
      <c r="E70" s="191">
        <f>' V. Коефіцієнти'!G9</f>
        <v>0</v>
      </c>
      <c r="F70" s="191">
        <f>' V. Коефіцієнти'!F9</f>
        <v>-0.1242798353909465</v>
      </c>
      <c r="G70" s="101" t="s">
        <v>244</v>
      </c>
      <c r="H70" s="101" t="s">
        <v>244</v>
      </c>
      <c r="I70" s="101" t="s">
        <v>244</v>
      </c>
      <c r="J70" s="101" t="s">
        <v>244</v>
      </c>
    </row>
    <row r="71" spans="1:10" ht="37.5">
      <c r="A71" s="105" t="s">
        <v>187</v>
      </c>
      <c r="B71" s="98">
        <f>' V. Коефіцієнти'!B10</f>
        <v>5030</v>
      </c>
      <c r="C71" s="191">
        <f>' V. Коефіцієнти'!D10</f>
        <v>-0.15090735434574976</v>
      </c>
      <c r="D71" s="191">
        <f>D51/D83</f>
        <v>0</v>
      </c>
      <c r="E71" s="191">
        <f>' V. Коефіцієнти'!G10</f>
        <v>0</v>
      </c>
      <c r="F71" s="191">
        <f>' V. Коефіцієнти'!F10</f>
        <v>-0.14422158548233047</v>
      </c>
      <c r="G71" s="101" t="s">
        <v>244</v>
      </c>
      <c r="H71" s="101" t="s">
        <v>244</v>
      </c>
      <c r="I71" s="101" t="s">
        <v>244</v>
      </c>
      <c r="J71" s="101" t="s">
        <v>244</v>
      </c>
    </row>
    <row r="72" spans="1:10" ht="20.100000000000001" customHeight="1">
      <c r="A72" s="105" t="s">
        <v>251</v>
      </c>
      <c r="B72" s="98">
        <f>' V. Коефіцієнти'!B14</f>
        <v>5110</v>
      </c>
      <c r="C72" s="191">
        <f>' V. Коефіцієнти'!D14</f>
        <v>6.2321428571428568</v>
      </c>
      <c r="D72" s="191">
        <f>D83/(D78+D79)</f>
        <v>6.2321428571428568</v>
      </c>
      <c r="E72" s="191">
        <f>' V. Коефіцієнти'!G14</f>
        <v>6.2321428571428568</v>
      </c>
      <c r="F72" s="191">
        <f>' V. Коефіцієнти'!F14</f>
        <v>6.2321428571428568</v>
      </c>
      <c r="G72" s="101" t="s">
        <v>244</v>
      </c>
      <c r="H72" s="101" t="s">
        <v>244</v>
      </c>
      <c r="I72" s="101" t="s">
        <v>244</v>
      </c>
      <c r="J72" s="101" t="s">
        <v>244</v>
      </c>
    </row>
    <row r="73" spans="1:10" ht="24.95" customHeight="1">
      <c r="A73" s="303" t="s">
        <v>234</v>
      </c>
      <c r="B73" s="304"/>
      <c r="C73" s="304"/>
      <c r="D73" s="304"/>
      <c r="E73" s="304"/>
      <c r="F73" s="304"/>
      <c r="G73" s="304"/>
      <c r="H73" s="304"/>
      <c r="I73" s="304"/>
      <c r="J73" s="305"/>
    </row>
    <row r="74" spans="1:10" ht="20.100000000000001" customHeight="1">
      <c r="A74" s="105" t="s">
        <v>166</v>
      </c>
      <c r="B74" s="98">
        <v>6000</v>
      </c>
      <c r="C74" s="229">
        <v>832</v>
      </c>
      <c r="D74" s="229">
        <v>693</v>
      </c>
      <c r="E74" s="231">
        <f>F74+E68-'I. Фін результат'!I100</f>
        <v>693</v>
      </c>
      <c r="F74" s="229">
        <v>833</v>
      </c>
      <c r="G74" s="108" t="s">
        <v>244</v>
      </c>
      <c r="H74" s="108" t="s">
        <v>244</v>
      </c>
      <c r="I74" s="108" t="s">
        <v>244</v>
      </c>
      <c r="J74" s="108" t="s">
        <v>244</v>
      </c>
    </row>
    <row r="75" spans="1:10" ht="20.100000000000001" customHeight="1">
      <c r="A75" s="105" t="s">
        <v>167</v>
      </c>
      <c r="B75" s="98">
        <v>6010</v>
      </c>
      <c r="C75" s="229">
        <v>382</v>
      </c>
      <c r="D75" s="229">
        <v>522</v>
      </c>
      <c r="E75" s="229">
        <v>522</v>
      </c>
      <c r="F75" s="229">
        <v>382</v>
      </c>
      <c r="G75" s="108" t="s">
        <v>244</v>
      </c>
      <c r="H75" s="108" t="s">
        <v>244</v>
      </c>
      <c r="I75" s="108" t="s">
        <v>244</v>
      </c>
      <c r="J75" s="108" t="s">
        <v>244</v>
      </c>
    </row>
    <row r="76" spans="1:10" ht="37.5">
      <c r="A76" s="105" t="s">
        <v>279</v>
      </c>
      <c r="B76" s="98">
        <v>6020</v>
      </c>
      <c r="C76" s="229">
        <v>3</v>
      </c>
      <c r="D76" s="229">
        <v>143</v>
      </c>
      <c r="E76" s="229">
        <f>'ІІІ. Рух грош. коштів'!I72</f>
        <v>165</v>
      </c>
      <c r="F76" s="229">
        <v>24</v>
      </c>
      <c r="G76" s="108" t="s">
        <v>244</v>
      </c>
      <c r="H76" s="108" t="s">
        <v>244</v>
      </c>
      <c r="I76" s="108" t="s">
        <v>244</v>
      </c>
      <c r="J76" s="108" t="s">
        <v>244</v>
      </c>
    </row>
    <row r="77" spans="1:10" s="5" customFormat="1" ht="20.100000000000001" customHeight="1">
      <c r="A77" s="107" t="s">
        <v>283</v>
      </c>
      <c r="B77" s="98">
        <v>6030</v>
      </c>
      <c r="C77" s="229">
        <f>C74+C75</f>
        <v>1214</v>
      </c>
      <c r="D77" s="229">
        <f>D74+D75</f>
        <v>1215</v>
      </c>
      <c r="E77" s="229">
        <f>E74+E75</f>
        <v>1215</v>
      </c>
      <c r="F77" s="229">
        <f>F74+F75</f>
        <v>1215</v>
      </c>
      <c r="G77" s="108" t="s">
        <v>244</v>
      </c>
      <c r="H77" s="108" t="s">
        <v>244</v>
      </c>
      <c r="I77" s="108" t="s">
        <v>244</v>
      </c>
      <c r="J77" s="108" t="s">
        <v>244</v>
      </c>
    </row>
    <row r="78" spans="1:10" ht="20.100000000000001" customHeight="1">
      <c r="A78" s="105" t="s">
        <v>189</v>
      </c>
      <c r="B78" s="98">
        <v>6040</v>
      </c>
      <c r="C78" s="229"/>
      <c r="D78" s="229"/>
      <c r="E78" s="229"/>
      <c r="F78" s="229"/>
      <c r="G78" s="108" t="s">
        <v>244</v>
      </c>
      <c r="H78" s="108" t="s">
        <v>244</v>
      </c>
      <c r="I78" s="108" t="s">
        <v>244</v>
      </c>
      <c r="J78" s="108" t="s">
        <v>244</v>
      </c>
    </row>
    <row r="79" spans="1:10" ht="20.100000000000001" customHeight="1">
      <c r="A79" s="105" t="s">
        <v>190</v>
      </c>
      <c r="B79" s="98">
        <v>6050</v>
      </c>
      <c r="C79" s="229">
        <v>168</v>
      </c>
      <c r="D79" s="229">
        <v>168</v>
      </c>
      <c r="E79" s="229">
        <v>168</v>
      </c>
      <c r="F79" s="229">
        <v>168</v>
      </c>
      <c r="G79" s="108" t="s">
        <v>244</v>
      </c>
      <c r="H79" s="108" t="s">
        <v>244</v>
      </c>
      <c r="I79" s="108" t="s">
        <v>244</v>
      </c>
      <c r="J79" s="108" t="s">
        <v>244</v>
      </c>
    </row>
    <row r="80" spans="1:10" s="5" customFormat="1" ht="20.100000000000001" customHeight="1">
      <c r="A80" s="107" t="s">
        <v>282</v>
      </c>
      <c r="B80" s="98">
        <v>6060</v>
      </c>
      <c r="C80" s="231">
        <f>SUM(C78:C79)</f>
        <v>168</v>
      </c>
      <c r="D80" s="231">
        <f>SUM(D78:D79)</f>
        <v>168</v>
      </c>
      <c r="E80" s="231">
        <f>SUM(E78:E79)</f>
        <v>168</v>
      </c>
      <c r="F80" s="231">
        <f>SUM(F78:F79)</f>
        <v>168</v>
      </c>
      <c r="G80" s="108" t="s">
        <v>244</v>
      </c>
      <c r="H80" s="108" t="s">
        <v>244</v>
      </c>
      <c r="I80" s="108" t="s">
        <v>244</v>
      </c>
      <c r="J80" s="108" t="s">
        <v>244</v>
      </c>
    </row>
    <row r="81" spans="1:10" ht="20.100000000000001" customHeight="1">
      <c r="A81" s="105" t="s">
        <v>280</v>
      </c>
      <c r="B81" s="98">
        <v>6070</v>
      </c>
      <c r="C81" s="229"/>
      <c r="D81" s="229"/>
      <c r="E81" s="229"/>
      <c r="F81" s="229"/>
      <c r="G81" s="108" t="s">
        <v>244</v>
      </c>
      <c r="H81" s="108" t="s">
        <v>244</v>
      </c>
      <c r="I81" s="108" t="s">
        <v>244</v>
      </c>
      <c r="J81" s="108" t="s">
        <v>244</v>
      </c>
    </row>
    <row r="82" spans="1:10" ht="20.100000000000001" customHeight="1">
      <c r="A82" s="105" t="s">
        <v>281</v>
      </c>
      <c r="B82" s="98">
        <v>6080</v>
      </c>
      <c r="C82" s="229"/>
      <c r="D82" s="229"/>
      <c r="E82" s="229"/>
      <c r="F82" s="229"/>
      <c r="G82" s="108" t="s">
        <v>244</v>
      </c>
      <c r="H82" s="108" t="s">
        <v>244</v>
      </c>
      <c r="I82" s="108" t="s">
        <v>244</v>
      </c>
      <c r="J82" s="108" t="s">
        <v>244</v>
      </c>
    </row>
    <row r="83" spans="1:10" s="5" customFormat="1" ht="20.100000000000001" customHeight="1">
      <c r="A83" s="107" t="s">
        <v>168</v>
      </c>
      <c r="B83" s="98">
        <v>6090</v>
      </c>
      <c r="C83" s="229">
        <v>1047</v>
      </c>
      <c r="D83" s="229">
        <v>1047</v>
      </c>
      <c r="E83" s="231">
        <f>F83+E51-E54</f>
        <v>1047</v>
      </c>
      <c r="F83" s="229">
        <v>1047</v>
      </c>
      <c r="G83" s="108" t="s">
        <v>244</v>
      </c>
      <c r="H83" s="108" t="s">
        <v>244</v>
      </c>
      <c r="I83" s="108" t="s">
        <v>244</v>
      </c>
      <c r="J83" s="108" t="s">
        <v>244</v>
      </c>
    </row>
    <row r="84" spans="1:10" s="5" customFormat="1" ht="24.95" customHeight="1">
      <c r="A84" s="64"/>
      <c r="B84" s="111"/>
      <c r="C84" s="135"/>
      <c r="D84" s="136"/>
      <c r="E84" s="136"/>
      <c r="F84" s="136"/>
      <c r="G84" s="137"/>
      <c r="H84" s="137"/>
      <c r="I84" s="137"/>
      <c r="J84" s="137"/>
    </row>
    <row r="85" spans="1:10" ht="24.95" customHeight="1">
      <c r="A85" s="115"/>
      <c r="B85" s="111"/>
      <c r="C85" s="137"/>
      <c r="D85" s="138"/>
      <c r="E85" s="138"/>
      <c r="F85" s="138"/>
      <c r="G85" s="138"/>
      <c r="H85" s="138"/>
      <c r="I85" s="138"/>
      <c r="J85" s="138"/>
    </row>
    <row r="86" spans="1:10">
      <c r="A86" s="139" t="s">
        <v>506</v>
      </c>
      <c r="B86" s="140"/>
      <c r="C86" s="294" t="s">
        <v>120</v>
      </c>
      <c r="D86" s="295"/>
      <c r="E86" s="295"/>
      <c r="F86" s="295"/>
      <c r="G86" s="141"/>
      <c r="H86" s="296" t="s">
        <v>507</v>
      </c>
      <c r="I86" s="296"/>
      <c r="J86" s="296"/>
    </row>
    <row r="87" spans="1:10" s="1" customFormat="1" ht="21" customHeight="1">
      <c r="A87" s="111" t="s">
        <v>84</v>
      </c>
      <c r="B87" s="110"/>
      <c r="C87" s="290" t="s">
        <v>85</v>
      </c>
      <c r="D87" s="290"/>
      <c r="E87" s="290"/>
      <c r="F87" s="290"/>
      <c r="G87" s="142"/>
      <c r="H87" s="291" t="s">
        <v>116</v>
      </c>
      <c r="I87" s="291"/>
      <c r="J87" s="291"/>
    </row>
    <row r="89" spans="1:10">
      <c r="A89" s="48"/>
    </row>
    <row r="90" spans="1:10">
      <c r="A90" s="48"/>
    </row>
    <row r="91" spans="1:10">
      <c r="A91" s="48"/>
    </row>
    <row r="92" spans="1:10" s="22" customFormat="1">
      <c r="A92" s="48"/>
      <c r="G92" s="2"/>
      <c r="H92" s="2"/>
      <c r="I92" s="2"/>
      <c r="J92" s="2"/>
    </row>
    <row r="93" spans="1:10" s="22" customFormat="1">
      <c r="A93" s="48"/>
      <c r="G93" s="2"/>
      <c r="H93" s="2"/>
      <c r="I93" s="2"/>
      <c r="J93" s="2"/>
    </row>
    <row r="94" spans="1:10" s="22" customFormat="1">
      <c r="A94" s="48"/>
      <c r="G94" s="2"/>
      <c r="H94" s="2"/>
      <c r="I94" s="2"/>
      <c r="J94" s="2"/>
    </row>
    <row r="95" spans="1:10" s="22" customFormat="1">
      <c r="A95" s="48"/>
      <c r="G95" s="2"/>
      <c r="H95" s="2"/>
      <c r="I95" s="2"/>
      <c r="J95" s="2"/>
    </row>
    <row r="96" spans="1:10" s="22" customFormat="1">
      <c r="A96" s="48"/>
      <c r="G96" s="2"/>
      <c r="H96" s="2"/>
      <c r="I96" s="2"/>
      <c r="J96" s="2"/>
    </row>
    <row r="97" spans="1:10" s="22" customFormat="1">
      <c r="A97" s="48"/>
      <c r="G97" s="2"/>
      <c r="H97" s="2"/>
      <c r="I97" s="2"/>
      <c r="J97" s="2"/>
    </row>
    <row r="98" spans="1:10" s="22" customFormat="1">
      <c r="A98" s="48"/>
      <c r="G98" s="2"/>
      <c r="H98" s="2"/>
      <c r="I98" s="2"/>
      <c r="J98" s="2"/>
    </row>
    <row r="99" spans="1:10" s="22" customFormat="1">
      <c r="A99" s="48"/>
      <c r="G99" s="2"/>
      <c r="H99" s="2"/>
      <c r="I99" s="2"/>
      <c r="J99" s="2"/>
    </row>
    <row r="100" spans="1:10" s="22" customFormat="1">
      <c r="A100" s="48"/>
      <c r="G100" s="2"/>
      <c r="H100" s="2"/>
      <c r="I100" s="2"/>
      <c r="J100" s="2"/>
    </row>
    <row r="101" spans="1:10" s="22" customFormat="1">
      <c r="A101" s="48"/>
      <c r="G101" s="2"/>
      <c r="H101" s="2"/>
      <c r="I101" s="2"/>
      <c r="J101" s="2"/>
    </row>
    <row r="102" spans="1:10" s="22" customFormat="1">
      <c r="A102" s="48"/>
      <c r="G102" s="2"/>
      <c r="H102" s="2"/>
      <c r="I102" s="2"/>
      <c r="J102" s="2"/>
    </row>
    <row r="103" spans="1:10" s="22" customFormat="1">
      <c r="A103" s="48"/>
      <c r="G103" s="2"/>
      <c r="H103" s="2"/>
      <c r="I103" s="2"/>
      <c r="J103" s="2"/>
    </row>
    <row r="104" spans="1:10" s="22" customFormat="1">
      <c r="A104" s="48"/>
      <c r="G104" s="2"/>
      <c r="H104" s="2"/>
      <c r="I104" s="2"/>
      <c r="J104" s="2"/>
    </row>
    <row r="105" spans="1:10" s="22" customFormat="1">
      <c r="A105" s="48"/>
      <c r="G105" s="2"/>
      <c r="H105" s="2"/>
      <c r="I105" s="2"/>
      <c r="J105" s="2"/>
    </row>
    <row r="106" spans="1:10" s="22" customFormat="1">
      <c r="A106" s="48"/>
      <c r="G106" s="2"/>
      <c r="H106" s="2"/>
      <c r="I106" s="2"/>
      <c r="J106" s="2"/>
    </row>
    <row r="107" spans="1:10" s="22" customFormat="1">
      <c r="A107" s="48"/>
      <c r="G107" s="2"/>
      <c r="H107" s="2"/>
      <c r="I107" s="2"/>
      <c r="J107" s="2"/>
    </row>
    <row r="108" spans="1:10" s="22" customFormat="1">
      <c r="A108" s="48"/>
      <c r="G108" s="2"/>
      <c r="H108" s="2"/>
      <c r="I108" s="2"/>
      <c r="J108" s="2"/>
    </row>
    <row r="109" spans="1:10" s="22" customFormat="1">
      <c r="A109" s="48"/>
      <c r="G109" s="2"/>
      <c r="H109" s="2"/>
      <c r="I109" s="2"/>
      <c r="J109" s="2"/>
    </row>
    <row r="110" spans="1:10" s="22" customFormat="1">
      <c r="A110" s="48"/>
      <c r="G110" s="2"/>
      <c r="H110" s="2"/>
      <c r="I110" s="2"/>
      <c r="J110" s="2"/>
    </row>
    <row r="111" spans="1:10" s="22" customFormat="1">
      <c r="A111" s="48"/>
      <c r="G111" s="2"/>
      <c r="H111" s="2"/>
      <c r="I111" s="2"/>
      <c r="J111" s="2"/>
    </row>
    <row r="112" spans="1:10" s="22" customFormat="1">
      <c r="A112" s="48"/>
      <c r="G112" s="2"/>
      <c r="H112" s="2"/>
      <c r="I112" s="2"/>
      <c r="J112" s="2"/>
    </row>
    <row r="113" spans="1:10" s="22" customFormat="1">
      <c r="A113" s="48"/>
      <c r="G113" s="2"/>
      <c r="H113" s="2"/>
      <c r="I113" s="2"/>
      <c r="J113" s="2"/>
    </row>
    <row r="114" spans="1:10" s="22" customFormat="1">
      <c r="A114" s="48"/>
      <c r="G114" s="2"/>
      <c r="H114" s="2"/>
      <c r="I114" s="2"/>
      <c r="J114" s="2"/>
    </row>
    <row r="115" spans="1:10" s="22" customFormat="1">
      <c r="A115" s="48"/>
      <c r="G115" s="2"/>
      <c r="H115" s="2"/>
      <c r="I115" s="2"/>
      <c r="J115" s="2"/>
    </row>
    <row r="116" spans="1:10" s="22" customFormat="1">
      <c r="A116" s="48"/>
      <c r="G116" s="2"/>
      <c r="H116" s="2"/>
      <c r="I116" s="2"/>
      <c r="J116" s="2"/>
    </row>
    <row r="117" spans="1:10" s="22" customFormat="1">
      <c r="A117" s="48"/>
      <c r="G117" s="2"/>
      <c r="H117" s="2"/>
      <c r="I117" s="2"/>
      <c r="J117" s="2"/>
    </row>
    <row r="118" spans="1:10" s="22" customFormat="1">
      <c r="A118" s="48"/>
      <c r="G118" s="2"/>
      <c r="H118" s="2"/>
      <c r="I118" s="2"/>
      <c r="J118" s="2"/>
    </row>
    <row r="119" spans="1:10" s="22" customFormat="1">
      <c r="A119" s="48"/>
      <c r="G119" s="2"/>
      <c r="H119" s="2"/>
      <c r="I119" s="2"/>
      <c r="J119" s="2"/>
    </row>
    <row r="120" spans="1:10" s="22" customFormat="1">
      <c r="A120" s="48"/>
      <c r="G120" s="2"/>
      <c r="H120" s="2"/>
      <c r="I120" s="2"/>
      <c r="J120" s="2"/>
    </row>
    <row r="121" spans="1:10" s="22" customFormat="1">
      <c r="A121" s="48"/>
      <c r="G121" s="2"/>
      <c r="H121" s="2"/>
      <c r="I121" s="2"/>
      <c r="J121" s="2"/>
    </row>
    <row r="122" spans="1:10" s="22" customFormat="1">
      <c r="A122" s="48"/>
      <c r="G122" s="2"/>
      <c r="H122" s="2"/>
      <c r="I122" s="2"/>
      <c r="J122" s="2"/>
    </row>
    <row r="123" spans="1:10" s="22" customFormat="1">
      <c r="A123" s="48"/>
      <c r="G123" s="2"/>
      <c r="H123" s="2"/>
      <c r="I123" s="2"/>
      <c r="J123" s="2"/>
    </row>
    <row r="124" spans="1:10" s="22" customFormat="1">
      <c r="A124" s="48"/>
      <c r="G124" s="2"/>
      <c r="H124" s="2"/>
      <c r="I124" s="2"/>
      <c r="J124" s="2"/>
    </row>
    <row r="125" spans="1:10" s="22" customFormat="1">
      <c r="A125" s="48"/>
      <c r="G125" s="2"/>
      <c r="H125" s="2"/>
      <c r="I125" s="2"/>
      <c r="J125" s="2"/>
    </row>
    <row r="126" spans="1:10" s="22" customFormat="1">
      <c r="A126" s="48"/>
      <c r="G126" s="2"/>
      <c r="H126" s="2"/>
      <c r="I126" s="2"/>
      <c r="J126" s="2"/>
    </row>
    <row r="127" spans="1:10" s="22" customFormat="1">
      <c r="A127" s="48"/>
      <c r="G127" s="2"/>
      <c r="H127" s="2"/>
      <c r="I127" s="2"/>
      <c r="J127" s="2"/>
    </row>
    <row r="128" spans="1:10" s="22" customFormat="1">
      <c r="A128" s="48"/>
      <c r="G128" s="2"/>
      <c r="H128" s="2"/>
      <c r="I128" s="2"/>
      <c r="J128" s="2"/>
    </row>
    <row r="129" spans="1:10" s="22" customFormat="1">
      <c r="A129" s="48"/>
      <c r="G129" s="2"/>
      <c r="H129" s="2"/>
      <c r="I129" s="2"/>
      <c r="J129" s="2"/>
    </row>
    <row r="130" spans="1:10" s="22" customFormat="1">
      <c r="A130" s="48"/>
      <c r="G130" s="2"/>
      <c r="H130" s="2"/>
      <c r="I130" s="2"/>
      <c r="J130" s="2"/>
    </row>
    <row r="131" spans="1:10" s="22" customFormat="1">
      <c r="A131" s="48"/>
      <c r="G131" s="2"/>
      <c r="H131" s="2"/>
      <c r="I131" s="2"/>
      <c r="J131" s="2"/>
    </row>
    <row r="132" spans="1:10" s="22" customFormat="1">
      <c r="A132" s="48"/>
      <c r="G132" s="2"/>
      <c r="H132" s="2"/>
      <c r="I132" s="2"/>
      <c r="J132" s="2"/>
    </row>
    <row r="133" spans="1:10" s="22" customFormat="1">
      <c r="A133" s="48"/>
      <c r="G133" s="2"/>
      <c r="H133" s="2"/>
      <c r="I133" s="2"/>
      <c r="J133" s="2"/>
    </row>
    <row r="134" spans="1:10" s="22" customFormat="1">
      <c r="A134" s="48"/>
      <c r="G134" s="2"/>
      <c r="H134" s="2"/>
      <c r="I134" s="2"/>
      <c r="J134" s="2"/>
    </row>
    <row r="135" spans="1:10" s="22" customFormat="1">
      <c r="A135" s="48"/>
      <c r="G135" s="2"/>
      <c r="H135" s="2"/>
      <c r="I135" s="2"/>
      <c r="J135" s="2"/>
    </row>
    <row r="136" spans="1:10" s="22" customFormat="1">
      <c r="A136" s="48"/>
      <c r="G136" s="2"/>
      <c r="H136" s="2"/>
      <c r="I136" s="2"/>
      <c r="J136" s="2"/>
    </row>
    <row r="137" spans="1:10" s="22" customFormat="1">
      <c r="A137" s="48"/>
      <c r="G137" s="2"/>
      <c r="H137" s="2"/>
      <c r="I137" s="2"/>
      <c r="J137" s="2"/>
    </row>
    <row r="138" spans="1:10" s="22" customFormat="1">
      <c r="A138" s="48"/>
      <c r="G138" s="2"/>
      <c r="H138" s="2"/>
      <c r="I138" s="2"/>
      <c r="J138" s="2"/>
    </row>
    <row r="139" spans="1:10" s="22" customFormat="1">
      <c r="A139" s="48"/>
      <c r="G139" s="2"/>
      <c r="H139" s="2"/>
      <c r="I139" s="2"/>
      <c r="J139" s="2"/>
    </row>
    <row r="140" spans="1:10" s="22" customFormat="1">
      <c r="A140" s="48"/>
      <c r="G140" s="2"/>
      <c r="H140" s="2"/>
      <c r="I140" s="2"/>
      <c r="J140" s="2"/>
    </row>
    <row r="141" spans="1:10" s="22" customFormat="1">
      <c r="A141" s="48"/>
      <c r="G141" s="2"/>
      <c r="H141" s="2"/>
      <c r="I141" s="2"/>
      <c r="J141" s="2"/>
    </row>
    <row r="142" spans="1:10" s="22" customFormat="1">
      <c r="A142" s="48"/>
      <c r="G142" s="2"/>
      <c r="H142" s="2"/>
      <c r="I142" s="2"/>
      <c r="J142" s="2"/>
    </row>
    <row r="143" spans="1:10" s="22" customFormat="1">
      <c r="A143" s="48"/>
      <c r="G143" s="2"/>
      <c r="H143" s="2"/>
      <c r="I143" s="2"/>
      <c r="J143" s="2"/>
    </row>
    <row r="144" spans="1:10" s="22" customFormat="1">
      <c r="A144" s="48"/>
      <c r="G144" s="2"/>
      <c r="H144" s="2"/>
      <c r="I144" s="2"/>
      <c r="J144" s="2"/>
    </row>
    <row r="145" spans="1:10" s="22" customFormat="1">
      <c r="A145" s="48"/>
      <c r="G145" s="2"/>
      <c r="H145" s="2"/>
      <c r="I145" s="2"/>
      <c r="J145" s="2"/>
    </row>
    <row r="146" spans="1:10" s="22" customFormat="1">
      <c r="A146" s="48"/>
      <c r="G146" s="2"/>
      <c r="H146" s="2"/>
      <c r="I146" s="2"/>
      <c r="J146" s="2"/>
    </row>
    <row r="147" spans="1:10" s="22" customFormat="1">
      <c r="A147" s="48"/>
      <c r="G147" s="2"/>
      <c r="H147" s="2"/>
      <c r="I147" s="2"/>
      <c r="J147" s="2"/>
    </row>
    <row r="148" spans="1:10" s="22" customFormat="1">
      <c r="A148" s="48"/>
      <c r="G148" s="2"/>
      <c r="H148" s="2"/>
      <c r="I148" s="2"/>
      <c r="J148" s="2"/>
    </row>
    <row r="149" spans="1:10" s="22" customFormat="1">
      <c r="A149" s="48"/>
      <c r="G149" s="2"/>
      <c r="H149" s="2"/>
      <c r="I149" s="2"/>
      <c r="J149" s="2"/>
    </row>
    <row r="150" spans="1:10" s="22" customFormat="1">
      <c r="A150" s="48"/>
      <c r="G150" s="2"/>
      <c r="H150" s="2"/>
      <c r="I150" s="2"/>
      <c r="J150" s="2"/>
    </row>
    <row r="151" spans="1:10" s="22" customFormat="1">
      <c r="A151" s="48"/>
      <c r="G151" s="2"/>
      <c r="H151" s="2"/>
      <c r="I151" s="2"/>
      <c r="J151" s="2"/>
    </row>
    <row r="152" spans="1:10" s="22" customFormat="1">
      <c r="A152" s="48"/>
      <c r="G152" s="2"/>
      <c r="H152" s="2"/>
      <c r="I152" s="2"/>
      <c r="J152" s="2"/>
    </row>
    <row r="153" spans="1:10" s="22" customFormat="1">
      <c r="A153" s="48"/>
      <c r="G153" s="2"/>
      <c r="H153" s="2"/>
      <c r="I153" s="2"/>
      <c r="J153" s="2"/>
    </row>
    <row r="154" spans="1:10" s="22" customFormat="1">
      <c r="A154" s="48"/>
      <c r="G154" s="2"/>
      <c r="H154" s="2"/>
      <c r="I154" s="2"/>
      <c r="J154" s="2"/>
    </row>
    <row r="155" spans="1:10" s="22" customFormat="1">
      <c r="A155" s="48"/>
      <c r="G155" s="2"/>
      <c r="H155" s="2"/>
      <c r="I155" s="2"/>
      <c r="J155" s="2"/>
    </row>
    <row r="156" spans="1:10" s="22" customFormat="1">
      <c r="A156" s="48"/>
      <c r="G156" s="2"/>
      <c r="H156" s="2"/>
      <c r="I156" s="2"/>
      <c r="J156" s="2"/>
    </row>
    <row r="157" spans="1:10" s="22" customFormat="1">
      <c r="A157" s="48"/>
      <c r="G157" s="2"/>
      <c r="H157" s="2"/>
      <c r="I157" s="2"/>
      <c r="J157" s="2"/>
    </row>
    <row r="158" spans="1:10" s="22" customFormat="1">
      <c r="A158" s="48"/>
      <c r="G158" s="2"/>
      <c r="H158" s="2"/>
      <c r="I158" s="2"/>
      <c r="J158" s="2"/>
    </row>
    <row r="159" spans="1:10" s="22" customFormat="1">
      <c r="A159" s="48"/>
      <c r="G159" s="2"/>
      <c r="H159" s="2"/>
      <c r="I159" s="2"/>
      <c r="J159" s="2"/>
    </row>
    <row r="160" spans="1:10" s="22" customFormat="1">
      <c r="A160" s="48"/>
      <c r="G160" s="2"/>
      <c r="H160" s="2"/>
      <c r="I160" s="2"/>
      <c r="J160" s="2"/>
    </row>
    <row r="161" spans="1:10" s="22" customFormat="1">
      <c r="A161" s="48"/>
      <c r="G161" s="2"/>
      <c r="H161" s="2"/>
      <c r="I161" s="2"/>
      <c r="J161" s="2"/>
    </row>
    <row r="162" spans="1:10" s="22" customFormat="1">
      <c r="A162" s="48"/>
      <c r="G162" s="2"/>
      <c r="H162" s="2"/>
      <c r="I162" s="2"/>
      <c r="J162" s="2"/>
    </row>
    <row r="163" spans="1:10" s="22" customFormat="1">
      <c r="A163" s="48"/>
      <c r="G163" s="2"/>
      <c r="H163" s="2"/>
      <c r="I163" s="2"/>
      <c r="J163" s="2"/>
    </row>
    <row r="164" spans="1:10" s="22" customFormat="1">
      <c r="A164" s="48"/>
      <c r="G164" s="2"/>
      <c r="H164" s="2"/>
      <c r="I164" s="2"/>
      <c r="J164" s="2"/>
    </row>
    <row r="165" spans="1:10" s="22" customFormat="1">
      <c r="A165" s="48"/>
      <c r="G165" s="2"/>
      <c r="H165" s="2"/>
      <c r="I165" s="2"/>
      <c r="J165" s="2"/>
    </row>
    <row r="166" spans="1:10" s="22" customFormat="1">
      <c r="A166" s="48"/>
      <c r="G166" s="2"/>
      <c r="H166" s="2"/>
      <c r="I166" s="2"/>
      <c r="J166" s="2"/>
    </row>
    <row r="167" spans="1:10" s="22" customFormat="1">
      <c r="A167" s="48"/>
      <c r="G167" s="2"/>
      <c r="H167" s="2"/>
      <c r="I167" s="2"/>
      <c r="J167" s="2"/>
    </row>
    <row r="168" spans="1:10" s="22" customFormat="1">
      <c r="A168" s="48"/>
      <c r="G168" s="2"/>
      <c r="H168" s="2"/>
      <c r="I168" s="2"/>
      <c r="J168" s="2"/>
    </row>
    <row r="169" spans="1:10" s="22" customFormat="1">
      <c r="A169" s="48"/>
      <c r="G169" s="2"/>
      <c r="H169" s="2"/>
      <c r="I169" s="2"/>
      <c r="J169" s="2"/>
    </row>
    <row r="170" spans="1:10" s="22" customFormat="1">
      <c r="A170" s="48"/>
      <c r="G170" s="2"/>
      <c r="H170" s="2"/>
      <c r="I170" s="2"/>
      <c r="J170" s="2"/>
    </row>
    <row r="171" spans="1:10" s="22" customFormat="1">
      <c r="A171" s="48"/>
      <c r="G171" s="2"/>
      <c r="H171" s="2"/>
      <c r="I171" s="2"/>
      <c r="J171" s="2"/>
    </row>
    <row r="172" spans="1:10" s="22" customFormat="1">
      <c r="A172" s="48"/>
      <c r="G172" s="2"/>
      <c r="H172" s="2"/>
      <c r="I172" s="2"/>
      <c r="J172" s="2"/>
    </row>
    <row r="173" spans="1:10" s="22" customFormat="1">
      <c r="A173" s="48"/>
      <c r="G173" s="2"/>
      <c r="H173" s="2"/>
      <c r="I173" s="2"/>
      <c r="J173" s="2"/>
    </row>
    <row r="174" spans="1:10" s="22" customFormat="1">
      <c r="A174" s="48"/>
      <c r="G174" s="2"/>
      <c r="H174" s="2"/>
      <c r="I174" s="2"/>
      <c r="J174" s="2"/>
    </row>
    <row r="175" spans="1:10" s="22" customFormat="1">
      <c r="A175" s="48"/>
      <c r="G175" s="2"/>
      <c r="H175" s="2"/>
      <c r="I175" s="2"/>
      <c r="J175" s="2"/>
    </row>
    <row r="176" spans="1:10" s="22" customFormat="1">
      <c r="A176" s="48"/>
      <c r="G176" s="2"/>
      <c r="H176" s="2"/>
      <c r="I176" s="2"/>
      <c r="J176" s="2"/>
    </row>
    <row r="177" spans="1:10" s="22" customFormat="1">
      <c r="A177" s="48"/>
      <c r="G177" s="2"/>
      <c r="H177" s="2"/>
      <c r="I177" s="2"/>
      <c r="J177" s="2"/>
    </row>
    <row r="178" spans="1:10" s="22" customFormat="1">
      <c r="A178" s="48"/>
      <c r="G178" s="2"/>
      <c r="H178" s="2"/>
      <c r="I178" s="2"/>
      <c r="J178" s="2"/>
    </row>
    <row r="179" spans="1:10" s="22" customFormat="1">
      <c r="A179" s="48"/>
      <c r="G179" s="2"/>
      <c r="H179" s="2"/>
      <c r="I179" s="2"/>
      <c r="J179" s="2"/>
    </row>
    <row r="180" spans="1:10" s="22" customFormat="1">
      <c r="A180" s="48"/>
      <c r="G180" s="2"/>
      <c r="H180" s="2"/>
      <c r="I180" s="2"/>
      <c r="J180" s="2"/>
    </row>
    <row r="181" spans="1:10" s="22" customFormat="1">
      <c r="A181" s="48"/>
      <c r="G181" s="2"/>
      <c r="H181" s="2"/>
      <c r="I181" s="2"/>
      <c r="J181" s="2"/>
    </row>
    <row r="182" spans="1:10" s="22" customFormat="1">
      <c r="A182" s="48"/>
      <c r="G182" s="2"/>
      <c r="H182" s="2"/>
      <c r="I182" s="2"/>
      <c r="J182" s="2"/>
    </row>
    <row r="183" spans="1:10" s="22" customFormat="1">
      <c r="A183" s="48"/>
      <c r="G183" s="2"/>
      <c r="H183" s="2"/>
      <c r="I183" s="2"/>
      <c r="J183" s="2"/>
    </row>
    <row r="184" spans="1:10" s="22" customFormat="1">
      <c r="A184" s="48"/>
      <c r="G184" s="2"/>
      <c r="H184" s="2"/>
      <c r="I184" s="2"/>
      <c r="J184" s="2"/>
    </row>
    <row r="185" spans="1:10" s="22" customFormat="1">
      <c r="A185" s="48"/>
      <c r="G185" s="2"/>
      <c r="H185" s="2"/>
      <c r="I185" s="2"/>
      <c r="J185" s="2"/>
    </row>
    <row r="186" spans="1:10" s="22" customFormat="1">
      <c r="A186" s="48"/>
      <c r="G186" s="2"/>
      <c r="H186" s="2"/>
      <c r="I186" s="2"/>
      <c r="J186" s="2"/>
    </row>
    <row r="187" spans="1:10" s="22" customFormat="1">
      <c r="A187" s="48"/>
      <c r="G187" s="2"/>
      <c r="H187" s="2"/>
      <c r="I187" s="2"/>
      <c r="J187" s="2"/>
    </row>
    <row r="188" spans="1:10" s="22" customFormat="1">
      <c r="A188" s="48"/>
      <c r="G188" s="2"/>
      <c r="H188" s="2"/>
      <c r="I188" s="2"/>
      <c r="J188" s="2"/>
    </row>
    <row r="189" spans="1:10" s="22" customFormat="1">
      <c r="A189" s="48"/>
      <c r="G189" s="2"/>
      <c r="H189" s="2"/>
      <c r="I189" s="2"/>
      <c r="J189" s="2"/>
    </row>
    <row r="190" spans="1:10" s="22" customFormat="1">
      <c r="A190" s="48"/>
      <c r="G190" s="2"/>
      <c r="H190" s="2"/>
      <c r="I190" s="2"/>
      <c r="J190" s="2"/>
    </row>
    <row r="191" spans="1:10" s="22" customFormat="1">
      <c r="A191" s="48"/>
      <c r="G191" s="2"/>
      <c r="H191" s="2"/>
      <c r="I191" s="2"/>
      <c r="J191" s="2"/>
    </row>
    <row r="192" spans="1:10" s="22" customFormat="1">
      <c r="A192" s="48"/>
      <c r="G192" s="2"/>
      <c r="H192" s="2"/>
      <c r="I192" s="2"/>
      <c r="J192" s="2"/>
    </row>
    <row r="193" spans="1:10" s="22" customFormat="1">
      <c r="A193" s="48"/>
      <c r="G193" s="2"/>
      <c r="H193" s="2"/>
      <c r="I193" s="2"/>
      <c r="J193" s="2"/>
    </row>
    <row r="194" spans="1:10" s="22" customFormat="1">
      <c r="A194" s="48"/>
      <c r="G194" s="2"/>
      <c r="H194" s="2"/>
      <c r="I194" s="2"/>
      <c r="J194" s="2"/>
    </row>
    <row r="195" spans="1:10" s="22" customFormat="1">
      <c r="A195" s="48"/>
      <c r="G195" s="2"/>
      <c r="H195" s="2"/>
      <c r="I195" s="2"/>
      <c r="J195" s="2"/>
    </row>
    <row r="196" spans="1:10" s="22" customFormat="1">
      <c r="A196" s="48"/>
      <c r="G196" s="2"/>
      <c r="H196" s="2"/>
      <c r="I196" s="2"/>
      <c r="J196" s="2"/>
    </row>
    <row r="197" spans="1:10" s="22" customFormat="1">
      <c r="A197" s="48"/>
      <c r="G197" s="2"/>
      <c r="H197" s="2"/>
      <c r="I197" s="2"/>
      <c r="J197" s="2"/>
    </row>
    <row r="198" spans="1:10" s="22" customFormat="1">
      <c r="A198" s="48"/>
      <c r="G198" s="2"/>
      <c r="H198" s="2"/>
      <c r="I198" s="2"/>
      <c r="J198" s="2"/>
    </row>
    <row r="199" spans="1:10" s="22" customFormat="1">
      <c r="A199" s="48"/>
      <c r="G199" s="2"/>
      <c r="H199" s="2"/>
      <c r="I199" s="2"/>
      <c r="J199" s="2"/>
    </row>
    <row r="200" spans="1:10" s="22" customFormat="1">
      <c r="A200" s="48"/>
      <c r="G200" s="2"/>
      <c r="H200" s="2"/>
      <c r="I200" s="2"/>
      <c r="J200" s="2"/>
    </row>
    <row r="201" spans="1:10" s="22" customFormat="1">
      <c r="A201" s="48"/>
      <c r="G201" s="2"/>
      <c r="H201" s="2"/>
      <c r="I201" s="2"/>
      <c r="J201" s="2"/>
    </row>
    <row r="202" spans="1:10" s="22" customFormat="1">
      <c r="A202" s="48"/>
      <c r="G202" s="2"/>
      <c r="H202" s="2"/>
      <c r="I202" s="2"/>
      <c r="J202" s="2"/>
    </row>
    <row r="203" spans="1:10" s="22" customFormat="1">
      <c r="A203" s="48"/>
      <c r="G203" s="2"/>
      <c r="H203" s="2"/>
      <c r="I203" s="2"/>
      <c r="J203" s="2"/>
    </row>
    <row r="204" spans="1:10" s="22" customFormat="1">
      <c r="A204" s="48"/>
      <c r="G204" s="2"/>
      <c r="H204" s="2"/>
      <c r="I204" s="2"/>
      <c r="J204" s="2"/>
    </row>
    <row r="205" spans="1:10" s="22" customFormat="1">
      <c r="A205" s="48"/>
      <c r="G205" s="2"/>
      <c r="H205" s="2"/>
      <c r="I205" s="2"/>
      <c r="J205" s="2"/>
    </row>
    <row r="206" spans="1:10" s="22" customFormat="1">
      <c r="A206" s="48"/>
      <c r="G206" s="2"/>
      <c r="H206" s="2"/>
      <c r="I206" s="2"/>
      <c r="J206" s="2"/>
    </row>
    <row r="207" spans="1:10" s="22" customFormat="1">
      <c r="A207" s="48"/>
      <c r="G207" s="2"/>
      <c r="H207" s="2"/>
      <c r="I207" s="2"/>
      <c r="J207" s="2"/>
    </row>
    <row r="208" spans="1:10" s="22" customFormat="1">
      <c r="A208" s="48"/>
      <c r="G208" s="2"/>
      <c r="H208" s="2"/>
      <c r="I208" s="2"/>
      <c r="J208" s="2"/>
    </row>
    <row r="209" spans="1:10" s="22" customFormat="1">
      <c r="A209" s="48"/>
      <c r="G209" s="2"/>
      <c r="H209" s="2"/>
      <c r="I209" s="2"/>
      <c r="J209" s="2"/>
    </row>
    <row r="210" spans="1:10" s="22" customFormat="1">
      <c r="A210" s="48"/>
      <c r="G210" s="2"/>
      <c r="H210" s="2"/>
      <c r="I210" s="2"/>
      <c r="J210" s="2"/>
    </row>
    <row r="211" spans="1:10" s="22" customFormat="1">
      <c r="A211" s="48"/>
      <c r="G211" s="2"/>
      <c r="H211" s="2"/>
      <c r="I211" s="2"/>
      <c r="J211" s="2"/>
    </row>
    <row r="212" spans="1:10" s="22" customFormat="1">
      <c r="A212" s="48"/>
      <c r="G212" s="2"/>
      <c r="H212" s="2"/>
      <c r="I212" s="2"/>
      <c r="J212" s="2"/>
    </row>
    <row r="213" spans="1:10" s="22" customFormat="1">
      <c r="A213" s="48"/>
      <c r="G213" s="2"/>
      <c r="H213" s="2"/>
      <c r="I213" s="2"/>
      <c r="J213" s="2"/>
    </row>
    <row r="214" spans="1:10" s="22" customFormat="1">
      <c r="A214" s="48"/>
      <c r="G214" s="2"/>
      <c r="H214" s="2"/>
      <c r="I214" s="2"/>
      <c r="J214" s="2"/>
    </row>
    <row r="215" spans="1:10" s="22" customFormat="1">
      <c r="A215" s="48"/>
      <c r="G215" s="2"/>
      <c r="H215" s="2"/>
      <c r="I215" s="2"/>
      <c r="J215" s="2"/>
    </row>
    <row r="216" spans="1:10" s="22" customFormat="1">
      <c r="A216" s="48"/>
      <c r="G216" s="2"/>
      <c r="H216" s="2"/>
      <c r="I216" s="2"/>
      <c r="J216" s="2"/>
    </row>
    <row r="217" spans="1:10" s="22" customFormat="1">
      <c r="A217" s="48"/>
      <c r="G217" s="2"/>
      <c r="H217" s="2"/>
      <c r="I217" s="2"/>
      <c r="J217" s="2"/>
    </row>
    <row r="218" spans="1:10" s="22" customFormat="1">
      <c r="A218" s="48"/>
      <c r="G218" s="2"/>
      <c r="H218" s="2"/>
      <c r="I218" s="2"/>
      <c r="J218" s="2"/>
    </row>
    <row r="219" spans="1:10" s="22" customFormat="1">
      <c r="A219" s="48"/>
      <c r="G219" s="2"/>
      <c r="H219" s="2"/>
      <c r="I219" s="2"/>
      <c r="J219" s="2"/>
    </row>
    <row r="220" spans="1:10" s="22" customFormat="1">
      <c r="A220" s="48"/>
      <c r="G220" s="2"/>
      <c r="H220" s="2"/>
      <c r="I220" s="2"/>
      <c r="J220" s="2"/>
    </row>
    <row r="221" spans="1:10" s="22" customFormat="1">
      <c r="A221" s="48"/>
      <c r="G221" s="2"/>
      <c r="H221" s="2"/>
      <c r="I221" s="2"/>
      <c r="J221" s="2"/>
    </row>
    <row r="222" spans="1:10" s="22" customFormat="1">
      <c r="A222" s="48"/>
      <c r="G222" s="2"/>
      <c r="H222" s="2"/>
      <c r="I222" s="2"/>
      <c r="J222" s="2"/>
    </row>
    <row r="223" spans="1:10" s="22" customFormat="1">
      <c r="A223" s="48"/>
      <c r="G223" s="2"/>
      <c r="H223" s="2"/>
      <c r="I223" s="2"/>
      <c r="J223" s="2"/>
    </row>
    <row r="224" spans="1:10" s="22" customFormat="1">
      <c r="A224" s="48"/>
      <c r="G224" s="2"/>
      <c r="H224" s="2"/>
      <c r="I224" s="2"/>
      <c r="J224" s="2"/>
    </row>
    <row r="225" spans="1:10" s="22" customFormat="1">
      <c r="A225" s="48"/>
      <c r="G225" s="2"/>
      <c r="H225" s="2"/>
      <c r="I225" s="2"/>
      <c r="J225" s="2"/>
    </row>
    <row r="226" spans="1:10" s="22" customFormat="1">
      <c r="A226" s="48"/>
      <c r="G226" s="2"/>
      <c r="H226" s="2"/>
      <c r="I226" s="2"/>
      <c r="J226" s="2"/>
    </row>
    <row r="227" spans="1:10" s="22" customFormat="1">
      <c r="A227" s="48"/>
      <c r="G227" s="2"/>
      <c r="H227" s="2"/>
      <c r="I227" s="2"/>
      <c r="J227" s="2"/>
    </row>
    <row r="228" spans="1:10" s="22" customFormat="1">
      <c r="A228" s="48"/>
      <c r="G228" s="2"/>
      <c r="H228" s="2"/>
      <c r="I228" s="2"/>
      <c r="J228" s="2"/>
    </row>
    <row r="229" spans="1:10" s="22" customFormat="1">
      <c r="A229" s="48"/>
      <c r="G229" s="2"/>
      <c r="H229" s="2"/>
      <c r="I229" s="2"/>
      <c r="J229" s="2"/>
    </row>
    <row r="230" spans="1:10" s="22" customFormat="1">
      <c r="A230" s="48"/>
      <c r="G230" s="2"/>
      <c r="H230" s="2"/>
      <c r="I230" s="2"/>
      <c r="J230" s="2"/>
    </row>
    <row r="231" spans="1:10" s="22" customFormat="1">
      <c r="A231" s="48"/>
      <c r="G231" s="2"/>
      <c r="H231" s="2"/>
      <c r="I231" s="2"/>
      <c r="J231" s="2"/>
    </row>
    <row r="232" spans="1:10" s="22" customFormat="1">
      <c r="A232" s="48"/>
      <c r="G232" s="2"/>
      <c r="H232" s="2"/>
      <c r="I232" s="2"/>
      <c r="J232" s="2"/>
    </row>
    <row r="233" spans="1:10" s="22" customFormat="1">
      <c r="A233" s="48"/>
      <c r="G233" s="2"/>
      <c r="H233" s="2"/>
      <c r="I233" s="2"/>
      <c r="J233" s="2"/>
    </row>
    <row r="234" spans="1:10" s="22" customFormat="1">
      <c r="A234" s="48"/>
      <c r="G234" s="2"/>
      <c r="H234" s="2"/>
      <c r="I234" s="2"/>
      <c r="J234" s="2"/>
    </row>
    <row r="235" spans="1:10" s="22" customFormat="1">
      <c r="A235" s="48"/>
      <c r="G235" s="2"/>
      <c r="H235" s="2"/>
      <c r="I235" s="2"/>
      <c r="J235" s="2"/>
    </row>
    <row r="236" spans="1:10" s="22" customFormat="1">
      <c r="A236" s="48"/>
      <c r="G236" s="2"/>
      <c r="H236" s="2"/>
      <c r="I236" s="2"/>
      <c r="J236" s="2"/>
    </row>
    <row r="237" spans="1:10" s="22" customFormat="1">
      <c r="A237" s="48"/>
      <c r="G237" s="2"/>
      <c r="H237" s="2"/>
      <c r="I237" s="2"/>
      <c r="J237" s="2"/>
    </row>
    <row r="238" spans="1:10" s="22" customFormat="1">
      <c r="A238" s="48"/>
      <c r="G238" s="2"/>
      <c r="H238" s="2"/>
      <c r="I238" s="2"/>
      <c r="J238" s="2"/>
    </row>
    <row r="239" spans="1:10" s="22" customFormat="1">
      <c r="A239" s="48"/>
      <c r="G239" s="2"/>
      <c r="H239" s="2"/>
      <c r="I239" s="2"/>
      <c r="J239" s="2"/>
    </row>
    <row r="240" spans="1:10" s="22" customFormat="1">
      <c r="A240" s="48"/>
      <c r="G240" s="2"/>
      <c r="H240" s="2"/>
      <c r="I240" s="2"/>
      <c r="J240" s="2"/>
    </row>
    <row r="241" spans="1:10" s="22" customFormat="1">
      <c r="A241" s="48"/>
      <c r="G241" s="2"/>
      <c r="H241" s="2"/>
      <c r="I241" s="2"/>
      <c r="J241" s="2"/>
    </row>
    <row r="242" spans="1:10" s="22" customFormat="1">
      <c r="A242" s="48"/>
      <c r="G242" s="2"/>
      <c r="H242" s="2"/>
      <c r="I242" s="2"/>
      <c r="J242" s="2"/>
    </row>
    <row r="243" spans="1:10" s="22" customFormat="1">
      <c r="A243" s="48"/>
      <c r="G243" s="2"/>
      <c r="H243" s="2"/>
      <c r="I243" s="2"/>
      <c r="J243" s="2"/>
    </row>
    <row r="244" spans="1:10" s="22" customFormat="1">
      <c r="A244" s="48"/>
      <c r="G244" s="2"/>
      <c r="H244" s="2"/>
      <c r="I244" s="2"/>
      <c r="J244" s="2"/>
    </row>
    <row r="245" spans="1:10" s="22" customFormat="1">
      <c r="A245" s="48"/>
      <c r="G245" s="2"/>
      <c r="H245" s="2"/>
      <c r="I245" s="2"/>
      <c r="J245" s="2"/>
    </row>
    <row r="246" spans="1:10" s="22" customFormat="1">
      <c r="A246" s="48"/>
      <c r="G246" s="2"/>
      <c r="H246" s="2"/>
      <c r="I246" s="2"/>
      <c r="J246" s="2"/>
    </row>
    <row r="247" spans="1:10" s="22" customFormat="1">
      <c r="A247" s="48"/>
      <c r="G247" s="2"/>
      <c r="H247" s="2"/>
      <c r="I247" s="2"/>
      <c r="J247" s="2"/>
    </row>
    <row r="248" spans="1:10" s="22" customFormat="1">
      <c r="A248" s="48"/>
      <c r="G248" s="2"/>
      <c r="H248" s="2"/>
      <c r="I248" s="2"/>
      <c r="J248" s="2"/>
    </row>
    <row r="249" spans="1:10" s="22" customFormat="1">
      <c r="A249" s="48"/>
      <c r="G249" s="2"/>
      <c r="H249" s="2"/>
      <c r="I249" s="2"/>
      <c r="J249" s="2"/>
    </row>
    <row r="250" spans="1:10" s="22" customFormat="1">
      <c r="A250" s="48"/>
      <c r="G250" s="2"/>
      <c r="H250" s="2"/>
      <c r="I250" s="2"/>
      <c r="J250" s="2"/>
    </row>
    <row r="251" spans="1:10" s="22" customFormat="1">
      <c r="A251" s="48"/>
      <c r="G251" s="2"/>
      <c r="H251" s="2"/>
      <c r="I251" s="2"/>
      <c r="J251" s="2"/>
    </row>
    <row r="252" spans="1:10" s="22" customFormat="1">
      <c r="A252" s="48"/>
      <c r="G252" s="2"/>
      <c r="H252" s="2"/>
      <c r="I252" s="2"/>
      <c r="J252" s="2"/>
    </row>
    <row r="253" spans="1:10" s="22" customFormat="1">
      <c r="A253" s="48"/>
      <c r="G253" s="2"/>
      <c r="H253" s="2"/>
      <c r="I253" s="2"/>
      <c r="J253" s="2"/>
    </row>
    <row r="254" spans="1:10" s="22" customFormat="1">
      <c r="A254" s="48"/>
      <c r="G254" s="2"/>
      <c r="H254" s="2"/>
      <c r="I254" s="2"/>
      <c r="J254" s="2"/>
    </row>
    <row r="255" spans="1:10" s="22" customFormat="1">
      <c r="A255" s="48"/>
      <c r="G255" s="2"/>
      <c r="H255" s="2"/>
      <c r="I255" s="2"/>
      <c r="J255" s="2"/>
    </row>
    <row r="256" spans="1:10" s="22" customFormat="1">
      <c r="A256" s="48"/>
      <c r="G256" s="2"/>
      <c r="H256" s="2"/>
      <c r="I256" s="2"/>
      <c r="J256" s="2"/>
    </row>
  </sheetData>
  <sheetProtection password="C6FB" sheet="1" objects="1" scenarios="1" formatCells="0" formatColumns="0" formatRows="0"/>
  <mergeCells count="46">
    <mergeCell ref="A2:B2"/>
    <mergeCell ref="F2:J4"/>
    <mergeCell ref="A3:B3"/>
    <mergeCell ref="A5:B5"/>
    <mergeCell ref="G5:H5"/>
    <mergeCell ref="A4:B4"/>
    <mergeCell ref="A6:B7"/>
    <mergeCell ref="F7:J7"/>
    <mergeCell ref="F6:J6"/>
    <mergeCell ref="A22:F22"/>
    <mergeCell ref="G22:I22"/>
    <mergeCell ref="B20:F20"/>
    <mergeCell ref="F8:J8"/>
    <mergeCell ref="B16:F16"/>
    <mergeCell ref="F11:J11"/>
    <mergeCell ref="F9:J9"/>
    <mergeCell ref="B15:F15"/>
    <mergeCell ref="B17:F17"/>
    <mergeCell ref="B18:F18"/>
    <mergeCell ref="B19:F19"/>
    <mergeCell ref="C34:C35"/>
    <mergeCell ref="B21:F21"/>
    <mergeCell ref="A32:J32"/>
    <mergeCell ref="A30:J30"/>
    <mergeCell ref="B27:F27"/>
    <mergeCell ref="G23:I23"/>
    <mergeCell ref="B25:F25"/>
    <mergeCell ref="B26:F26"/>
    <mergeCell ref="B23:F23"/>
    <mergeCell ref="A24:F24"/>
    <mergeCell ref="C87:F87"/>
    <mergeCell ref="H87:J87"/>
    <mergeCell ref="A34:A35"/>
    <mergeCell ref="B34:B35"/>
    <mergeCell ref="E34:E35"/>
    <mergeCell ref="C86:F86"/>
    <mergeCell ref="H86:J86"/>
    <mergeCell ref="A37:J37"/>
    <mergeCell ref="A67:J67"/>
    <mergeCell ref="A60:J60"/>
    <mergeCell ref="A73:J73"/>
    <mergeCell ref="A69:J69"/>
    <mergeCell ref="A53:J53"/>
    <mergeCell ref="G34:J34"/>
    <mergeCell ref="D34:D35"/>
    <mergeCell ref="F34:F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P332"/>
  <sheetViews>
    <sheetView view="pageBreakPreview" zoomScale="75" zoomScaleNormal="65" zoomScaleSheetLayoutView="75" workbookViewId="0">
      <selection activeCell="H20" sqref="H20"/>
    </sheetView>
  </sheetViews>
  <sheetFormatPr defaultRowHeight="18.75"/>
  <cols>
    <col min="1" max="1" width="48.42578125" style="2" customWidth="1"/>
    <col min="2" max="2" width="14.85546875" style="22" customWidth="1"/>
    <col min="3" max="3" width="13.42578125" style="22" customWidth="1"/>
    <col min="4" max="4" width="13.7109375" style="22" customWidth="1"/>
    <col min="5" max="5" width="13.42578125" style="233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6384" width="9.140625" style="2"/>
  </cols>
  <sheetData>
    <row r="1" spans="1:14">
      <c r="A1" s="328" t="s">
        <v>378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4" ht="13.5" customHeight="1">
      <c r="A2" s="207"/>
      <c r="B2" s="208"/>
      <c r="C2" s="207"/>
      <c r="D2" s="207"/>
      <c r="E2" s="263"/>
      <c r="F2" s="207"/>
      <c r="G2" s="207"/>
      <c r="H2" s="207"/>
      <c r="I2" s="207"/>
      <c r="J2" s="209"/>
    </row>
    <row r="3" spans="1:14" ht="36" customHeight="1">
      <c r="A3" s="292" t="s">
        <v>277</v>
      </c>
      <c r="B3" s="293" t="s">
        <v>18</v>
      </c>
      <c r="C3" s="293" t="s">
        <v>32</v>
      </c>
      <c r="D3" s="336" t="s">
        <v>40</v>
      </c>
      <c r="E3" s="335" t="s">
        <v>185</v>
      </c>
      <c r="F3" s="293" t="s">
        <v>373</v>
      </c>
      <c r="G3" s="293"/>
      <c r="H3" s="293"/>
      <c r="I3" s="293"/>
      <c r="J3" s="293" t="s">
        <v>254</v>
      </c>
    </row>
    <row r="4" spans="1:14" ht="30.75" customHeight="1">
      <c r="A4" s="292"/>
      <c r="B4" s="293"/>
      <c r="C4" s="293"/>
      <c r="D4" s="336"/>
      <c r="E4" s="335"/>
      <c r="F4" s="210" t="s">
        <v>374</v>
      </c>
      <c r="G4" s="210" t="s">
        <v>375</v>
      </c>
      <c r="H4" s="210" t="s">
        <v>376</v>
      </c>
      <c r="I4" s="210" t="s">
        <v>87</v>
      </c>
      <c r="J4" s="293"/>
    </row>
    <row r="5" spans="1:14" ht="18" customHeight="1">
      <c r="A5" s="98">
        <v>1</v>
      </c>
      <c r="B5" s="99">
        <v>2</v>
      </c>
      <c r="C5" s="99">
        <v>3</v>
      </c>
      <c r="D5" s="99">
        <v>4</v>
      </c>
      <c r="E5" s="264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</row>
    <row r="6" spans="1:14" s="5" customFormat="1" ht="20.100000000000001" customHeight="1">
      <c r="A6" s="297" t="s">
        <v>284</v>
      </c>
      <c r="B6" s="298"/>
      <c r="C6" s="298"/>
      <c r="D6" s="298"/>
      <c r="E6" s="298"/>
      <c r="F6" s="298"/>
      <c r="G6" s="298"/>
      <c r="H6" s="298"/>
      <c r="I6" s="298"/>
      <c r="J6" s="299"/>
    </row>
    <row r="7" spans="1:14" s="5" customFormat="1" ht="42" customHeight="1">
      <c r="A7" s="72" t="s">
        <v>123</v>
      </c>
      <c r="B7" s="167">
        <v>1000</v>
      </c>
      <c r="C7" s="190">
        <v>47</v>
      </c>
      <c r="D7" s="190">
        <v>138</v>
      </c>
      <c r="E7" s="268">
        <v>25</v>
      </c>
      <c r="F7" s="190">
        <v>25</v>
      </c>
      <c r="G7" s="190">
        <v>69</v>
      </c>
      <c r="H7" s="190">
        <v>114</v>
      </c>
      <c r="I7" s="190">
        <v>141</v>
      </c>
      <c r="J7" s="212"/>
    </row>
    <row r="8" spans="1:14" s="5" customFormat="1" ht="24.75" customHeight="1">
      <c r="A8" s="72" t="s">
        <v>406</v>
      </c>
      <c r="B8" s="186" t="s">
        <v>402</v>
      </c>
      <c r="C8" s="188">
        <v>47</v>
      </c>
      <c r="D8" s="188">
        <v>138</v>
      </c>
      <c r="E8" s="229">
        <v>25</v>
      </c>
      <c r="F8" s="188">
        <v>25</v>
      </c>
      <c r="G8" s="188">
        <v>69</v>
      </c>
      <c r="H8" s="188">
        <v>114</v>
      </c>
      <c r="I8" s="188">
        <v>141</v>
      </c>
      <c r="J8" s="149"/>
    </row>
    <row r="9" spans="1:14" ht="35.25" customHeight="1">
      <c r="A9" s="72" t="s">
        <v>142</v>
      </c>
      <c r="B9" s="167">
        <v>1010</v>
      </c>
      <c r="C9" s="190">
        <v>55</v>
      </c>
      <c r="D9" s="190">
        <f t="shared" ref="D9:I9" si="0">SUM(D10:D17)</f>
        <v>2415</v>
      </c>
      <c r="E9" s="268">
        <v>2415</v>
      </c>
      <c r="F9" s="190">
        <f t="shared" si="0"/>
        <v>665</v>
      </c>
      <c r="G9" s="190">
        <f t="shared" si="0"/>
        <v>1330</v>
      </c>
      <c r="H9" s="190">
        <f t="shared" si="0"/>
        <v>1994</v>
      </c>
      <c r="I9" s="190">
        <f t="shared" si="0"/>
        <v>2660</v>
      </c>
      <c r="J9" s="148"/>
    </row>
    <row r="10" spans="1:14" s="1" customFormat="1" ht="20.100000000000001" customHeight="1">
      <c r="A10" s="72" t="s">
        <v>312</v>
      </c>
      <c r="B10" s="168">
        <v>1011</v>
      </c>
      <c r="C10" s="188"/>
      <c r="D10" s="188"/>
      <c r="E10" s="229"/>
      <c r="F10" s="188"/>
      <c r="G10" s="188"/>
      <c r="H10" s="188"/>
      <c r="I10" s="188"/>
      <c r="J10" s="148"/>
    </row>
    <row r="11" spans="1:14" s="1" customFormat="1" ht="20.100000000000001" customHeight="1">
      <c r="A11" s="72" t="s">
        <v>69</v>
      </c>
      <c r="B11" s="168">
        <v>1012</v>
      </c>
      <c r="C11" s="188"/>
      <c r="D11" s="188"/>
      <c r="E11" s="229"/>
      <c r="F11" s="188"/>
      <c r="G11" s="188"/>
      <c r="H11" s="188"/>
      <c r="I11" s="188"/>
      <c r="J11" s="148"/>
    </row>
    <row r="12" spans="1:14" s="1" customFormat="1" ht="20.100000000000001" customHeight="1">
      <c r="A12" s="72" t="s">
        <v>68</v>
      </c>
      <c r="B12" s="168">
        <v>1013</v>
      </c>
      <c r="C12" s="188"/>
      <c r="D12" s="188"/>
      <c r="E12" s="229"/>
      <c r="F12" s="188"/>
      <c r="G12" s="188"/>
      <c r="H12" s="188"/>
      <c r="I12" s="188"/>
      <c r="J12" s="148"/>
    </row>
    <row r="13" spans="1:14" s="1" customFormat="1" ht="20.100000000000001" customHeight="1">
      <c r="A13" s="72" t="s">
        <v>43</v>
      </c>
      <c r="B13" s="168">
        <v>1014</v>
      </c>
      <c r="C13" s="188"/>
      <c r="D13" s="188">
        <v>1987</v>
      </c>
      <c r="E13" s="229">
        <v>1987</v>
      </c>
      <c r="F13" s="229">
        <v>547</v>
      </c>
      <c r="G13" s="229">
        <v>1094</v>
      </c>
      <c r="H13" s="229">
        <v>1641</v>
      </c>
      <c r="I13" s="229">
        <v>2188</v>
      </c>
      <c r="J13" s="148"/>
      <c r="K13" s="259">
        <f>штатка!J42/1000</f>
        <v>546.90150000000006</v>
      </c>
      <c r="L13" s="259">
        <f>штатка!K42/1000</f>
        <v>1093.8030000000001</v>
      </c>
      <c r="M13" s="259">
        <f>штатка!L42/1000</f>
        <v>1640.7045000000001</v>
      </c>
      <c r="N13" s="259">
        <f>штатка!M42/1000</f>
        <v>2187.6060000000002</v>
      </c>
    </row>
    <row r="14" spans="1:14" s="1" customFormat="1" ht="20.100000000000001" customHeight="1">
      <c r="A14" s="72" t="s">
        <v>44</v>
      </c>
      <c r="B14" s="168">
        <v>1015</v>
      </c>
      <c r="C14" s="188"/>
      <c r="D14" s="188">
        <v>428</v>
      </c>
      <c r="E14" s="229">
        <v>428</v>
      </c>
      <c r="F14" s="229">
        <v>118</v>
      </c>
      <c r="G14" s="229">
        <v>236</v>
      </c>
      <c r="H14" s="229">
        <v>353</v>
      </c>
      <c r="I14" s="229">
        <v>472</v>
      </c>
      <c r="J14" s="148"/>
      <c r="K14" s="259">
        <f>штатка!J43/1000</f>
        <v>117.82823430000001</v>
      </c>
      <c r="L14" s="259">
        <f>штатка!K43/1000</f>
        <v>235.65633270000001</v>
      </c>
      <c r="M14" s="259">
        <f>штатка!L43/1000</f>
        <v>353.48456700000003</v>
      </c>
      <c r="N14" s="259">
        <f>штатка!M43/1000</f>
        <v>471.31266540000001</v>
      </c>
    </row>
    <row r="15" spans="1:14" s="1" customFormat="1" ht="75">
      <c r="A15" s="72" t="s">
        <v>268</v>
      </c>
      <c r="B15" s="168">
        <v>1016</v>
      </c>
      <c r="C15" s="188"/>
      <c r="D15" s="188"/>
      <c r="E15" s="229"/>
      <c r="F15" s="188"/>
      <c r="G15" s="188"/>
      <c r="H15" s="188"/>
      <c r="I15" s="188"/>
      <c r="J15" s="148"/>
    </row>
    <row r="16" spans="1:14" s="1" customFormat="1" ht="37.5">
      <c r="A16" s="72" t="s">
        <v>67</v>
      </c>
      <c r="B16" s="168">
        <v>1017</v>
      </c>
      <c r="C16" s="188"/>
      <c r="D16" s="188"/>
      <c r="E16" s="229"/>
      <c r="F16" s="188"/>
      <c r="G16" s="188"/>
      <c r="H16" s="188"/>
      <c r="I16" s="188"/>
      <c r="J16" s="148"/>
    </row>
    <row r="17" spans="1:14" s="1" customFormat="1" ht="20.100000000000001" customHeight="1">
      <c r="A17" s="72" t="s">
        <v>140</v>
      </c>
      <c r="B17" s="168">
        <v>1018</v>
      </c>
      <c r="C17" s="188">
        <v>55</v>
      </c>
      <c r="D17" s="188"/>
      <c r="E17" s="229"/>
      <c r="F17" s="188"/>
      <c r="G17" s="188"/>
      <c r="H17" s="188"/>
      <c r="I17" s="188"/>
      <c r="J17" s="148"/>
    </row>
    <row r="18" spans="1:14" s="5" customFormat="1" ht="20.100000000000001" customHeight="1">
      <c r="A18" s="166" t="s">
        <v>24</v>
      </c>
      <c r="B18" s="219">
        <v>1020</v>
      </c>
      <c r="C18" s="200">
        <f t="shared" ref="C18:I18" si="1">C7-C9</f>
        <v>-8</v>
      </c>
      <c r="D18" s="200">
        <f t="shared" si="1"/>
        <v>-2277</v>
      </c>
      <c r="E18" s="269">
        <f t="shared" si="1"/>
        <v>-2390</v>
      </c>
      <c r="F18" s="200">
        <f>F7-F9</f>
        <v>-640</v>
      </c>
      <c r="G18" s="200">
        <f>G7-G9</f>
        <v>-1261</v>
      </c>
      <c r="H18" s="200">
        <f>H7-H9</f>
        <v>-1880</v>
      </c>
      <c r="I18" s="200">
        <f t="shared" si="1"/>
        <v>-2519</v>
      </c>
      <c r="J18" s="149"/>
    </row>
    <row r="19" spans="1:14" ht="37.5">
      <c r="A19" s="72" t="s">
        <v>237</v>
      </c>
      <c r="B19" s="167">
        <v>1030</v>
      </c>
      <c r="C19" s="188">
        <v>3740</v>
      </c>
      <c r="D19" s="188">
        <v>4145</v>
      </c>
      <c r="E19" s="229">
        <v>4145</v>
      </c>
      <c r="F19" s="188">
        <v>1156</v>
      </c>
      <c r="G19" s="188">
        <v>2287</v>
      </c>
      <c r="H19" s="188">
        <v>3413</v>
      </c>
      <c r="I19" s="188">
        <v>4489</v>
      </c>
      <c r="J19" s="148"/>
    </row>
    <row r="20" spans="1:14" ht="37.5">
      <c r="A20" s="72" t="s">
        <v>415</v>
      </c>
      <c r="B20" s="186" t="s">
        <v>414</v>
      </c>
      <c r="C20" s="188">
        <v>3740</v>
      </c>
      <c r="D20" s="188">
        <v>4145</v>
      </c>
      <c r="E20" s="229">
        <v>4145</v>
      </c>
      <c r="F20" s="188">
        <v>1156</v>
      </c>
      <c r="G20" s="188">
        <v>2287</v>
      </c>
      <c r="H20" s="188">
        <v>3413</v>
      </c>
      <c r="I20" s="229">
        <v>4489</v>
      </c>
      <c r="J20" s="458" t="s">
        <v>524</v>
      </c>
    </row>
    <row r="21" spans="1:14" ht="20.100000000000001" customHeight="1">
      <c r="A21" s="72" t="s">
        <v>238</v>
      </c>
      <c r="B21" s="167">
        <v>1031</v>
      </c>
      <c r="C21" s="188"/>
      <c r="D21" s="188"/>
      <c r="E21" s="229"/>
      <c r="F21" s="188"/>
      <c r="G21" s="188"/>
      <c r="H21" s="188"/>
      <c r="I21" s="188"/>
      <c r="J21" s="148"/>
    </row>
    <row r="22" spans="1:14" ht="20.100000000000001" customHeight="1">
      <c r="A22" s="72" t="s">
        <v>245</v>
      </c>
      <c r="B22" s="167">
        <v>1040</v>
      </c>
      <c r="C22" s="190">
        <f t="shared" ref="C22:H22" si="2">SUM(C23:C42)+C44</f>
        <v>3890</v>
      </c>
      <c r="D22" s="190">
        <f t="shared" si="2"/>
        <v>1868</v>
      </c>
      <c r="E22" s="268">
        <f t="shared" si="2"/>
        <v>1906</v>
      </c>
      <c r="F22" s="190">
        <f t="shared" si="2"/>
        <v>516</v>
      </c>
      <c r="G22" s="190">
        <f t="shared" si="2"/>
        <v>1026</v>
      </c>
      <c r="H22" s="190">
        <f t="shared" si="2"/>
        <v>1533</v>
      </c>
      <c r="I22" s="190">
        <f>SUM(I23:I42)+I44</f>
        <v>1970</v>
      </c>
      <c r="J22" s="148"/>
    </row>
    <row r="23" spans="1:14" ht="37.5">
      <c r="A23" s="72" t="s">
        <v>122</v>
      </c>
      <c r="B23" s="167">
        <v>1041</v>
      </c>
      <c r="C23" s="188"/>
      <c r="D23" s="188"/>
      <c r="E23" s="229"/>
      <c r="F23" s="188"/>
      <c r="G23" s="188"/>
      <c r="H23" s="188"/>
      <c r="I23" s="188"/>
      <c r="J23" s="148"/>
    </row>
    <row r="24" spans="1:14" ht="20.100000000000001" customHeight="1">
      <c r="A24" s="72" t="s">
        <v>227</v>
      </c>
      <c r="B24" s="167">
        <v>1042</v>
      </c>
      <c r="C24" s="188"/>
      <c r="D24" s="188"/>
      <c r="E24" s="229"/>
      <c r="F24" s="188"/>
      <c r="G24" s="225"/>
      <c r="H24" s="225"/>
      <c r="I24" s="225"/>
      <c r="J24" s="148"/>
    </row>
    <row r="25" spans="1:14" ht="20.100000000000001" customHeight="1">
      <c r="A25" s="72" t="s">
        <v>66</v>
      </c>
      <c r="B25" s="167">
        <v>1043</v>
      </c>
      <c r="C25" s="188"/>
      <c r="D25" s="188"/>
      <c r="E25" s="229"/>
      <c r="F25" s="188"/>
      <c r="G25" s="188"/>
      <c r="H25" s="188"/>
      <c r="I25" s="188"/>
      <c r="J25" s="148"/>
    </row>
    <row r="26" spans="1:14" ht="20.100000000000001" customHeight="1">
      <c r="A26" s="72" t="s">
        <v>22</v>
      </c>
      <c r="B26" s="167">
        <v>1044</v>
      </c>
      <c r="C26" s="188"/>
      <c r="D26" s="188"/>
      <c r="E26" s="229"/>
      <c r="F26" s="188"/>
      <c r="G26" s="188"/>
      <c r="H26" s="188"/>
      <c r="I26" s="188"/>
      <c r="J26" s="148"/>
    </row>
    <row r="27" spans="1:14" ht="20.100000000000001" customHeight="1">
      <c r="A27" s="72" t="s">
        <v>23</v>
      </c>
      <c r="B27" s="167">
        <v>1045</v>
      </c>
      <c r="C27" s="188"/>
      <c r="D27" s="188"/>
      <c r="E27" s="229"/>
      <c r="F27" s="188"/>
      <c r="G27" s="188"/>
      <c r="H27" s="188"/>
      <c r="I27" s="188"/>
      <c r="J27" s="148"/>
    </row>
    <row r="28" spans="1:14" s="1" customFormat="1" ht="20.100000000000001" customHeight="1">
      <c r="A28" s="72" t="s">
        <v>41</v>
      </c>
      <c r="B28" s="167">
        <v>1046</v>
      </c>
      <c r="C28" s="188"/>
      <c r="D28" s="188"/>
      <c r="E28" s="229"/>
      <c r="F28" s="188"/>
      <c r="G28" s="188"/>
      <c r="H28" s="188"/>
      <c r="I28" s="188"/>
      <c r="J28" s="148"/>
    </row>
    <row r="29" spans="1:14" s="1" customFormat="1" ht="20.100000000000001" customHeight="1">
      <c r="A29" s="72" t="s">
        <v>42</v>
      </c>
      <c r="B29" s="167">
        <v>1047</v>
      </c>
      <c r="C29" s="188"/>
      <c r="D29" s="188"/>
      <c r="E29" s="229"/>
      <c r="F29" s="188"/>
      <c r="G29" s="188"/>
      <c r="H29" s="188"/>
      <c r="I29" s="188"/>
      <c r="J29" s="148"/>
    </row>
    <row r="30" spans="1:14" s="1" customFormat="1" ht="20.100000000000001" customHeight="1">
      <c r="A30" s="72" t="s">
        <v>43</v>
      </c>
      <c r="B30" s="167">
        <v>1048</v>
      </c>
      <c r="C30" s="188">
        <v>2250</v>
      </c>
      <c r="D30" s="188">
        <v>1151</v>
      </c>
      <c r="E30" s="229">
        <v>1152</v>
      </c>
      <c r="F30" s="229">
        <v>316</v>
      </c>
      <c r="G30" s="229">
        <v>632</v>
      </c>
      <c r="H30" s="229">
        <v>948</v>
      </c>
      <c r="I30" s="229">
        <v>1264</v>
      </c>
      <c r="J30" s="148"/>
      <c r="K30" s="259">
        <f>штатка!J45/1000</f>
        <v>315.99900000000002</v>
      </c>
      <c r="L30" s="259">
        <f>штатка!K45/1000</f>
        <v>631.99800000000005</v>
      </c>
      <c r="M30" s="259">
        <f>штатка!L45/1000</f>
        <v>947.99699999999996</v>
      </c>
      <c r="N30" s="259">
        <f>штатка!M45/1000</f>
        <v>1263.9960000000001</v>
      </c>
    </row>
    <row r="31" spans="1:14" s="1" customFormat="1" ht="20.100000000000001" customHeight="1">
      <c r="A31" s="72" t="s">
        <v>44</v>
      </c>
      <c r="B31" s="167">
        <v>1049</v>
      </c>
      <c r="C31" s="188">
        <v>702</v>
      </c>
      <c r="D31" s="188">
        <v>253</v>
      </c>
      <c r="E31" s="229">
        <v>253</v>
      </c>
      <c r="F31" s="229">
        <v>69</v>
      </c>
      <c r="G31" s="229">
        <v>139</v>
      </c>
      <c r="H31" s="229">
        <v>209</v>
      </c>
      <c r="I31" s="229">
        <v>278</v>
      </c>
      <c r="J31" s="148"/>
      <c r="K31" s="259">
        <f>штатка!J46/1000</f>
        <v>69.519779999999997</v>
      </c>
      <c r="L31" s="259">
        <f>штатка!K46/1000</f>
        <v>139.03955999999999</v>
      </c>
      <c r="M31" s="259">
        <f>штатка!L46/1000</f>
        <v>208.55933999999999</v>
      </c>
      <c r="N31" s="259">
        <f>штатка!M46/1000</f>
        <v>278.07911999999999</v>
      </c>
    </row>
    <row r="32" spans="1:14" s="1" customFormat="1" ht="56.25">
      <c r="A32" s="72" t="s">
        <v>45</v>
      </c>
      <c r="B32" s="167">
        <v>1050</v>
      </c>
      <c r="C32" s="188">
        <v>150</v>
      </c>
      <c r="D32" s="188">
        <v>140</v>
      </c>
      <c r="E32" s="229">
        <v>140</v>
      </c>
      <c r="F32" s="188">
        <v>37</v>
      </c>
      <c r="G32" s="188">
        <v>74</v>
      </c>
      <c r="H32" s="188">
        <v>111</v>
      </c>
      <c r="I32" s="188">
        <v>140</v>
      </c>
      <c r="J32" s="148"/>
    </row>
    <row r="33" spans="1:10" s="1" customFormat="1" ht="56.25">
      <c r="A33" s="72" t="s">
        <v>46</v>
      </c>
      <c r="B33" s="167">
        <v>1051</v>
      </c>
      <c r="C33" s="188">
        <v>240</v>
      </c>
      <c r="D33" s="188">
        <v>240</v>
      </c>
      <c r="E33" s="229">
        <v>240</v>
      </c>
      <c r="F33" s="188">
        <v>60</v>
      </c>
      <c r="G33" s="188">
        <v>120</v>
      </c>
      <c r="H33" s="188">
        <v>180</v>
      </c>
      <c r="I33" s="188">
        <v>180</v>
      </c>
      <c r="J33" s="148"/>
    </row>
    <row r="34" spans="1:10" s="1" customFormat="1" ht="37.5">
      <c r="A34" s="72" t="s">
        <v>47</v>
      </c>
      <c r="B34" s="167">
        <v>1052</v>
      </c>
      <c r="C34" s="188"/>
      <c r="D34" s="188"/>
      <c r="E34" s="229"/>
      <c r="F34" s="188"/>
      <c r="G34" s="188"/>
      <c r="H34" s="188"/>
      <c r="I34" s="188"/>
      <c r="J34" s="148"/>
    </row>
    <row r="35" spans="1:10" s="1" customFormat="1" ht="37.5">
      <c r="A35" s="72" t="s">
        <v>48</v>
      </c>
      <c r="B35" s="167">
        <v>1053</v>
      </c>
      <c r="C35" s="188"/>
      <c r="D35" s="188"/>
      <c r="E35" s="229"/>
      <c r="F35" s="188"/>
      <c r="G35" s="188"/>
      <c r="H35" s="188"/>
      <c r="I35" s="188"/>
      <c r="J35" s="148"/>
    </row>
    <row r="36" spans="1:10" s="1" customFormat="1" ht="20.100000000000001" customHeight="1">
      <c r="A36" s="72" t="s">
        <v>49</v>
      </c>
      <c r="B36" s="167">
        <v>1054</v>
      </c>
      <c r="C36" s="188">
        <v>65</v>
      </c>
      <c r="D36" s="188"/>
      <c r="E36" s="229">
        <v>3</v>
      </c>
      <c r="F36" s="188"/>
      <c r="G36" s="188"/>
      <c r="H36" s="188"/>
      <c r="I36" s="188"/>
      <c r="J36" s="148"/>
    </row>
    <row r="37" spans="1:10" s="1" customFormat="1" ht="20.100000000000001" customHeight="1">
      <c r="A37" s="72" t="s">
        <v>70</v>
      </c>
      <c r="B37" s="167">
        <v>1055</v>
      </c>
      <c r="C37" s="188">
        <v>66</v>
      </c>
      <c r="D37" s="188">
        <v>6</v>
      </c>
      <c r="E37" s="229">
        <v>6</v>
      </c>
      <c r="F37" s="188">
        <v>2</v>
      </c>
      <c r="G37" s="188">
        <v>5</v>
      </c>
      <c r="H37" s="188">
        <v>6</v>
      </c>
      <c r="I37" s="188">
        <v>7</v>
      </c>
      <c r="J37" s="148"/>
    </row>
    <row r="38" spans="1:10" s="1" customFormat="1" ht="20.100000000000001" customHeight="1">
      <c r="A38" s="72" t="s">
        <v>50</v>
      </c>
      <c r="B38" s="167">
        <v>1056</v>
      </c>
      <c r="C38" s="188"/>
      <c r="D38" s="188"/>
      <c r="E38" s="229"/>
      <c r="F38" s="188"/>
      <c r="G38" s="188"/>
      <c r="H38" s="188"/>
      <c r="I38" s="188"/>
      <c r="J38" s="148"/>
    </row>
    <row r="39" spans="1:10" s="1" customFormat="1" ht="20.100000000000001" customHeight="1">
      <c r="A39" s="72" t="s">
        <v>51</v>
      </c>
      <c r="B39" s="167">
        <v>1057</v>
      </c>
      <c r="C39" s="188"/>
      <c r="D39" s="188"/>
      <c r="E39" s="229"/>
      <c r="F39" s="188"/>
      <c r="G39" s="188"/>
      <c r="H39" s="188"/>
      <c r="I39" s="188"/>
      <c r="J39" s="148"/>
    </row>
    <row r="40" spans="1:10" s="1" customFormat="1" ht="37.5">
      <c r="A40" s="72" t="s">
        <v>52</v>
      </c>
      <c r="B40" s="167">
        <v>1058</v>
      </c>
      <c r="C40" s="188"/>
      <c r="D40" s="188"/>
      <c r="E40" s="229"/>
      <c r="F40" s="188"/>
      <c r="G40" s="188"/>
      <c r="H40" s="188"/>
      <c r="I40" s="188"/>
      <c r="J40" s="148"/>
    </row>
    <row r="41" spans="1:10" s="1" customFormat="1" ht="37.5">
      <c r="A41" s="72" t="s">
        <v>53</v>
      </c>
      <c r="B41" s="167">
        <v>1059</v>
      </c>
      <c r="C41" s="188"/>
      <c r="D41" s="188"/>
      <c r="E41" s="229"/>
      <c r="F41" s="188"/>
      <c r="G41" s="188"/>
      <c r="H41" s="188"/>
      <c r="I41" s="188"/>
      <c r="J41" s="148"/>
    </row>
    <row r="42" spans="1:10" s="1" customFormat="1" ht="75">
      <c r="A42" s="72" t="s">
        <v>83</v>
      </c>
      <c r="B42" s="167">
        <v>1060</v>
      </c>
      <c r="C42" s="188"/>
      <c r="D42" s="188"/>
      <c r="E42" s="229"/>
      <c r="F42" s="188"/>
      <c r="G42" s="188"/>
      <c r="H42" s="188"/>
      <c r="I42" s="188"/>
      <c r="J42" s="148"/>
    </row>
    <row r="43" spans="1:10" s="1" customFormat="1" ht="20.100000000000001" customHeight="1">
      <c r="A43" s="72" t="s">
        <v>54</v>
      </c>
      <c r="B43" s="167">
        <v>1061</v>
      </c>
      <c r="C43" s="188"/>
      <c r="D43" s="188"/>
      <c r="E43" s="229"/>
      <c r="F43" s="188"/>
      <c r="G43" s="188"/>
      <c r="H43" s="188"/>
      <c r="I43" s="188"/>
      <c r="J43" s="148"/>
    </row>
    <row r="44" spans="1:10" s="1" customFormat="1" ht="37.5">
      <c r="A44" s="72" t="s">
        <v>126</v>
      </c>
      <c r="B44" s="167">
        <v>1062</v>
      </c>
      <c r="C44" s="188">
        <f t="shared" ref="C44:I44" si="3">SUM(C45:C50)</f>
        <v>417</v>
      </c>
      <c r="D44" s="188">
        <f t="shared" si="3"/>
        <v>78</v>
      </c>
      <c r="E44" s="188">
        <f t="shared" si="3"/>
        <v>112</v>
      </c>
      <c r="F44" s="188">
        <f t="shared" si="3"/>
        <v>32</v>
      </c>
      <c r="G44" s="188">
        <f t="shared" si="3"/>
        <v>56</v>
      </c>
      <c r="H44" s="188">
        <f t="shared" si="3"/>
        <v>79</v>
      </c>
      <c r="I44" s="188">
        <f t="shared" si="3"/>
        <v>101</v>
      </c>
      <c r="J44" s="148"/>
    </row>
    <row r="45" spans="1:10" s="1" customFormat="1">
      <c r="A45" s="72" t="s">
        <v>411</v>
      </c>
      <c r="B45" s="186" t="s">
        <v>410</v>
      </c>
      <c r="C45" s="188">
        <v>5</v>
      </c>
      <c r="D45" s="188">
        <v>1</v>
      </c>
      <c r="E45" s="229">
        <v>3</v>
      </c>
      <c r="F45" s="188">
        <v>3</v>
      </c>
      <c r="G45" s="188">
        <v>3</v>
      </c>
      <c r="H45" s="188">
        <v>3</v>
      </c>
      <c r="I45" s="188">
        <v>3</v>
      </c>
      <c r="J45" s="148"/>
    </row>
    <row r="46" spans="1:10" s="1" customFormat="1">
      <c r="A46" s="261" t="s">
        <v>489</v>
      </c>
      <c r="B46" s="262" t="s">
        <v>412</v>
      </c>
      <c r="C46" s="188"/>
      <c r="D46" s="188"/>
      <c r="E46" s="229"/>
      <c r="F46" s="188"/>
      <c r="G46" s="188"/>
      <c r="H46" s="188"/>
      <c r="I46" s="188"/>
      <c r="J46" s="260"/>
    </row>
    <row r="47" spans="1:10" s="1" customFormat="1">
      <c r="A47" s="72" t="s">
        <v>440</v>
      </c>
      <c r="B47" s="186" t="s">
        <v>413</v>
      </c>
      <c r="C47" s="188">
        <v>97</v>
      </c>
      <c r="D47" s="188"/>
      <c r="E47" s="229">
        <v>37</v>
      </c>
      <c r="F47" s="188">
        <v>6</v>
      </c>
      <c r="G47" s="188">
        <v>9</v>
      </c>
      <c r="H47" s="188">
        <v>9</v>
      </c>
      <c r="I47" s="188">
        <v>9</v>
      </c>
      <c r="J47" s="148"/>
    </row>
    <row r="48" spans="1:10" s="1" customFormat="1">
      <c r="A48" s="72" t="s">
        <v>436</v>
      </c>
      <c r="B48" s="186" t="s">
        <v>437</v>
      </c>
      <c r="C48" s="188">
        <v>45</v>
      </c>
      <c r="D48" s="188">
        <v>25</v>
      </c>
      <c r="E48" s="229">
        <v>46</v>
      </c>
      <c r="F48" s="188">
        <v>16</v>
      </c>
      <c r="G48" s="188">
        <v>31</v>
      </c>
      <c r="H48" s="188">
        <v>47</v>
      </c>
      <c r="I48" s="188">
        <v>63</v>
      </c>
      <c r="J48" s="148"/>
    </row>
    <row r="49" spans="1:10" s="1" customFormat="1">
      <c r="A49" s="72" t="s">
        <v>490</v>
      </c>
      <c r="B49" s="186" t="s">
        <v>491</v>
      </c>
      <c r="C49" s="188">
        <v>246</v>
      </c>
      <c r="D49" s="188">
        <v>52</v>
      </c>
      <c r="E49" s="229"/>
      <c r="F49" s="188"/>
      <c r="G49" s="188"/>
      <c r="H49" s="188"/>
      <c r="I49" s="188"/>
      <c r="J49" s="148"/>
    </row>
    <row r="50" spans="1:10" s="1" customFormat="1">
      <c r="A50" s="261" t="s">
        <v>439</v>
      </c>
      <c r="B50" s="262" t="s">
        <v>492</v>
      </c>
      <c r="C50" s="188">
        <v>24</v>
      </c>
      <c r="D50" s="188"/>
      <c r="E50" s="229">
        <v>26</v>
      </c>
      <c r="F50" s="188">
        <v>7</v>
      </c>
      <c r="G50" s="188">
        <v>13</v>
      </c>
      <c r="H50" s="188">
        <v>20</v>
      </c>
      <c r="I50" s="188">
        <v>26</v>
      </c>
      <c r="J50" s="260"/>
    </row>
    <row r="51" spans="1:10" ht="19.5" customHeight="1">
      <c r="A51" s="72" t="s">
        <v>246</v>
      </c>
      <c r="B51" s="167">
        <v>1070</v>
      </c>
      <c r="C51" s="190">
        <f>SUM(C52:C57)</f>
        <v>0</v>
      </c>
      <c r="D51" s="190">
        <f t="shared" ref="D51:I51" si="4">SUM(D52:D57)</f>
        <v>0</v>
      </c>
      <c r="E51" s="268">
        <f t="shared" si="4"/>
        <v>0</v>
      </c>
      <c r="F51" s="190">
        <f t="shared" si="4"/>
        <v>0</v>
      </c>
      <c r="G51" s="190">
        <f t="shared" si="4"/>
        <v>0</v>
      </c>
      <c r="H51" s="190">
        <f t="shared" si="4"/>
        <v>0</v>
      </c>
      <c r="I51" s="190">
        <f t="shared" si="4"/>
        <v>0</v>
      </c>
      <c r="J51" s="148"/>
    </row>
    <row r="52" spans="1:10" s="1" customFormat="1" ht="20.100000000000001" customHeight="1">
      <c r="A52" s="72" t="s">
        <v>205</v>
      </c>
      <c r="B52" s="167">
        <v>1071</v>
      </c>
      <c r="C52" s="188"/>
      <c r="D52" s="188"/>
      <c r="E52" s="229"/>
      <c r="F52" s="188"/>
      <c r="G52" s="188"/>
      <c r="H52" s="188"/>
      <c r="I52" s="188"/>
      <c r="J52" s="148"/>
    </row>
    <row r="53" spans="1:10" s="1" customFormat="1" ht="20.100000000000001" customHeight="1">
      <c r="A53" s="72" t="s">
        <v>206</v>
      </c>
      <c r="B53" s="167">
        <v>1072</v>
      </c>
      <c r="C53" s="188"/>
      <c r="D53" s="188"/>
      <c r="E53" s="229"/>
      <c r="F53" s="188"/>
      <c r="G53" s="188"/>
      <c r="H53" s="188"/>
      <c r="I53" s="188"/>
      <c r="J53" s="148"/>
    </row>
    <row r="54" spans="1:10" s="1" customFormat="1" ht="20.100000000000001" customHeight="1">
      <c r="A54" s="72" t="s">
        <v>43</v>
      </c>
      <c r="B54" s="167">
        <v>1073</v>
      </c>
      <c r="C54" s="188"/>
      <c r="D54" s="188"/>
      <c r="E54" s="229"/>
      <c r="F54" s="188"/>
      <c r="G54" s="188"/>
      <c r="H54" s="188"/>
      <c r="I54" s="188"/>
      <c r="J54" s="148"/>
    </row>
    <row r="55" spans="1:10" s="1" customFormat="1" ht="37.5">
      <c r="A55" s="72" t="s">
        <v>67</v>
      </c>
      <c r="B55" s="167">
        <v>1074</v>
      </c>
      <c r="C55" s="188"/>
      <c r="D55" s="188"/>
      <c r="E55" s="229"/>
      <c r="F55" s="188"/>
      <c r="G55" s="188"/>
      <c r="H55" s="188"/>
      <c r="I55" s="188"/>
      <c r="J55" s="148"/>
    </row>
    <row r="56" spans="1:10" s="1" customFormat="1" ht="20.100000000000001" customHeight="1">
      <c r="A56" s="72" t="s">
        <v>86</v>
      </c>
      <c r="B56" s="167">
        <v>1075</v>
      </c>
      <c r="C56" s="188"/>
      <c r="D56" s="188"/>
      <c r="E56" s="229"/>
      <c r="F56" s="188"/>
      <c r="G56" s="188"/>
      <c r="H56" s="188"/>
      <c r="I56" s="188"/>
      <c r="J56" s="148"/>
    </row>
    <row r="57" spans="1:10" s="1" customFormat="1" ht="20.100000000000001" customHeight="1">
      <c r="A57" s="72" t="s">
        <v>141</v>
      </c>
      <c r="B57" s="167">
        <v>1076</v>
      </c>
      <c r="C57" s="188"/>
      <c r="D57" s="188"/>
      <c r="E57" s="229"/>
      <c r="F57" s="188"/>
      <c r="G57" s="188"/>
      <c r="H57" s="188"/>
      <c r="I57" s="188"/>
      <c r="J57" s="148"/>
    </row>
    <row r="58" spans="1:10" s="1" customFormat="1" ht="20.100000000000001" customHeight="1">
      <c r="A58" s="72" t="s">
        <v>44</v>
      </c>
      <c r="B58" s="186" t="s">
        <v>403</v>
      </c>
      <c r="C58" s="188"/>
      <c r="D58" s="188"/>
      <c r="E58" s="229"/>
      <c r="F58" s="188"/>
      <c r="G58" s="188"/>
      <c r="H58" s="188"/>
      <c r="I58" s="188"/>
      <c r="J58" s="148"/>
    </row>
    <row r="59" spans="1:10" s="1" customFormat="1" ht="37.5">
      <c r="A59" s="220" t="s">
        <v>88</v>
      </c>
      <c r="B59" s="167">
        <v>1080</v>
      </c>
      <c r="C59" s="190">
        <f>SUM(C60:C64)</f>
        <v>0</v>
      </c>
      <c r="D59" s="190">
        <f t="shared" ref="D59:I59" si="5">SUM(D60:D64)</f>
        <v>0</v>
      </c>
      <c r="E59" s="268">
        <f t="shared" si="5"/>
        <v>0</v>
      </c>
      <c r="F59" s="190">
        <f t="shared" si="5"/>
        <v>0</v>
      </c>
      <c r="G59" s="190">
        <f t="shared" si="5"/>
        <v>0</v>
      </c>
      <c r="H59" s="190">
        <f t="shared" si="5"/>
        <v>0</v>
      </c>
      <c r="I59" s="190">
        <f t="shared" si="5"/>
        <v>0</v>
      </c>
      <c r="J59" s="148"/>
    </row>
    <row r="60" spans="1:10" s="1" customFormat="1" ht="20.100000000000001" customHeight="1">
      <c r="A60" s="72" t="s">
        <v>77</v>
      </c>
      <c r="B60" s="167">
        <v>1081</v>
      </c>
      <c r="C60" s="188"/>
      <c r="D60" s="188"/>
      <c r="E60" s="229"/>
      <c r="F60" s="188"/>
      <c r="G60" s="188"/>
      <c r="H60" s="188"/>
      <c r="I60" s="188"/>
      <c r="J60" s="148"/>
    </row>
    <row r="61" spans="1:10" s="1" customFormat="1" ht="37.5">
      <c r="A61" s="72" t="s">
        <v>55</v>
      </c>
      <c r="B61" s="167">
        <v>1082</v>
      </c>
      <c r="C61" s="188"/>
      <c r="D61" s="188"/>
      <c r="E61" s="229"/>
      <c r="F61" s="188"/>
      <c r="G61" s="188"/>
      <c r="H61" s="188"/>
      <c r="I61" s="188"/>
      <c r="J61" s="148"/>
    </row>
    <row r="62" spans="1:10" s="1" customFormat="1" ht="37.5">
      <c r="A62" s="72" t="s">
        <v>65</v>
      </c>
      <c r="B62" s="167">
        <v>1083</v>
      </c>
      <c r="C62" s="188"/>
      <c r="D62" s="188"/>
      <c r="E62" s="229"/>
      <c r="F62" s="188"/>
      <c r="G62" s="188"/>
      <c r="H62" s="188"/>
      <c r="I62" s="188"/>
      <c r="J62" s="148"/>
    </row>
    <row r="63" spans="1:10" s="1" customFormat="1" ht="20.100000000000001" customHeight="1">
      <c r="A63" s="72" t="s">
        <v>238</v>
      </c>
      <c r="B63" s="167">
        <v>1084</v>
      </c>
      <c r="C63" s="188"/>
      <c r="D63" s="188"/>
      <c r="E63" s="229"/>
      <c r="F63" s="188"/>
      <c r="G63" s="188"/>
      <c r="H63" s="188"/>
      <c r="I63" s="188"/>
      <c r="J63" s="148"/>
    </row>
    <row r="64" spans="1:10" s="1" customFormat="1" ht="20.100000000000001" customHeight="1">
      <c r="A64" s="72" t="s">
        <v>269</v>
      </c>
      <c r="B64" s="167">
        <v>1085</v>
      </c>
      <c r="C64" s="188"/>
      <c r="D64" s="188"/>
      <c r="E64" s="229"/>
      <c r="F64" s="188"/>
      <c r="G64" s="188"/>
      <c r="H64" s="188"/>
      <c r="I64" s="188"/>
      <c r="J64" s="148"/>
    </row>
    <row r="65" spans="1:10" s="5" customFormat="1" ht="37.5">
      <c r="A65" s="166" t="s">
        <v>4</v>
      </c>
      <c r="B65" s="219">
        <v>1100</v>
      </c>
      <c r="C65" s="190">
        <f t="shared" ref="C65:I65" si="6">C18+C19-C22-C51-C59</f>
        <v>-158</v>
      </c>
      <c r="D65" s="190">
        <f t="shared" si="6"/>
        <v>0</v>
      </c>
      <c r="E65" s="268">
        <f t="shared" si="6"/>
        <v>-151</v>
      </c>
      <c r="F65" s="190">
        <f t="shared" si="6"/>
        <v>0</v>
      </c>
      <c r="G65" s="190">
        <f t="shared" si="6"/>
        <v>0</v>
      </c>
      <c r="H65" s="190">
        <f t="shared" si="6"/>
        <v>0</v>
      </c>
      <c r="I65" s="190">
        <f t="shared" si="6"/>
        <v>0</v>
      </c>
      <c r="J65" s="149"/>
    </row>
    <row r="66" spans="1:10" ht="37.5">
      <c r="A66" s="72" t="s">
        <v>124</v>
      </c>
      <c r="B66" s="167">
        <v>1110</v>
      </c>
      <c r="C66" s="188"/>
      <c r="D66" s="188"/>
      <c r="E66" s="229"/>
      <c r="F66" s="188"/>
      <c r="G66" s="188"/>
      <c r="H66" s="188"/>
      <c r="I66" s="188"/>
      <c r="J66" s="148"/>
    </row>
    <row r="67" spans="1:10" ht="20.100000000000001" customHeight="1">
      <c r="A67" s="72" t="s">
        <v>125</v>
      </c>
      <c r="B67" s="167">
        <v>1120</v>
      </c>
      <c r="C67" s="188"/>
      <c r="D67" s="188"/>
      <c r="E67" s="229"/>
      <c r="F67" s="188"/>
      <c r="G67" s="188"/>
      <c r="H67" s="188"/>
      <c r="I67" s="188"/>
      <c r="J67" s="148"/>
    </row>
    <row r="68" spans="1:10" ht="37.5">
      <c r="A68" s="72" t="s">
        <v>128</v>
      </c>
      <c r="B68" s="167">
        <v>1130</v>
      </c>
      <c r="C68" s="188"/>
      <c r="D68" s="188"/>
      <c r="E68" s="229"/>
      <c r="F68" s="188"/>
      <c r="G68" s="188"/>
      <c r="H68" s="188"/>
      <c r="I68" s="188"/>
      <c r="J68" s="148"/>
    </row>
    <row r="69" spans="1:10" ht="20.100000000000001" customHeight="1">
      <c r="A69" s="72" t="s">
        <v>127</v>
      </c>
      <c r="B69" s="167">
        <v>1140</v>
      </c>
      <c r="C69" s="188"/>
      <c r="D69" s="188"/>
      <c r="E69" s="229"/>
      <c r="F69" s="188"/>
      <c r="G69" s="188"/>
      <c r="H69" s="188"/>
      <c r="I69" s="188"/>
      <c r="J69" s="148"/>
    </row>
    <row r="70" spans="1:10" ht="37.5">
      <c r="A70" s="72" t="s">
        <v>239</v>
      </c>
      <c r="B70" s="167">
        <v>1150</v>
      </c>
      <c r="C70" s="188"/>
      <c r="D70" s="188"/>
      <c r="E70" s="229"/>
      <c r="F70" s="188"/>
      <c r="G70" s="188"/>
      <c r="H70" s="188"/>
      <c r="I70" s="188"/>
      <c r="J70" s="148"/>
    </row>
    <row r="71" spans="1:10" ht="20.100000000000001" customHeight="1">
      <c r="A71" s="72" t="s">
        <v>238</v>
      </c>
      <c r="B71" s="167">
        <v>1151</v>
      </c>
      <c r="C71" s="188"/>
      <c r="D71" s="188"/>
      <c r="E71" s="229"/>
      <c r="F71" s="188"/>
      <c r="G71" s="188"/>
      <c r="H71" s="188"/>
      <c r="I71" s="188"/>
      <c r="J71" s="148"/>
    </row>
    <row r="72" spans="1:10" ht="37.5">
      <c r="A72" s="72" t="s">
        <v>240</v>
      </c>
      <c r="B72" s="167">
        <v>1160</v>
      </c>
      <c r="C72" s="188"/>
      <c r="D72" s="188"/>
      <c r="E72" s="229"/>
      <c r="F72" s="188"/>
      <c r="G72" s="188"/>
      <c r="H72" s="188"/>
      <c r="I72" s="188"/>
      <c r="J72" s="148"/>
    </row>
    <row r="73" spans="1:10" ht="20.100000000000001" customHeight="1">
      <c r="A73" s="72" t="s">
        <v>238</v>
      </c>
      <c r="B73" s="167">
        <v>1161</v>
      </c>
      <c r="C73" s="188"/>
      <c r="D73" s="188"/>
      <c r="E73" s="229"/>
      <c r="F73" s="188"/>
      <c r="G73" s="188"/>
      <c r="H73" s="188"/>
      <c r="I73" s="188"/>
      <c r="J73" s="148"/>
    </row>
    <row r="74" spans="1:10" s="5" customFormat="1" ht="37.5">
      <c r="A74" s="166" t="s">
        <v>107</v>
      </c>
      <c r="B74" s="219">
        <v>1170</v>
      </c>
      <c r="C74" s="187">
        <f>C65+C66+C67+C70-C69-C68-C72</f>
        <v>-158</v>
      </c>
      <c r="D74" s="187">
        <f t="shared" ref="D74:I74" si="7">D65+D66+D67+D70-D69-D68-D72</f>
        <v>0</v>
      </c>
      <c r="E74" s="270">
        <f t="shared" si="7"/>
        <v>-151</v>
      </c>
      <c r="F74" s="187">
        <f t="shared" si="7"/>
        <v>0</v>
      </c>
      <c r="G74" s="187">
        <f t="shared" si="7"/>
        <v>0</v>
      </c>
      <c r="H74" s="187">
        <f t="shared" si="7"/>
        <v>0</v>
      </c>
      <c r="I74" s="187">
        <f t="shared" si="7"/>
        <v>0</v>
      </c>
      <c r="J74" s="149"/>
    </row>
    <row r="75" spans="1:10" ht="20.100000000000001" customHeight="1">
      <c r="A75" s="72" t="s">
        <v>156</v>
      </c>
      <c r="B75" s="167">
        <v>1180</v>
      </c>
      <c r="C75" s="188"/>
      <c r="D75" s="188"/>
      <c r="E75" s="229"/>
      <c r="F75" s="188"/>
      <c r="G75" s="188"/>
      <c r="H75" s="188"/>
      <c r="I75" s="190">
        <f>I74*18%</f>
        <v>0</v>
      </c>
      <c r="J75" s="148"/>
    </row>
    <row r="76" spans="1:10" ht="37.5">
      <c r="A76" s="72" t="s">
        <v>157</v>
      </c>
      <c r="B76" s="167">
        <v>1190</v>
      </c>
      <c r="C76" s="188"/>
      <c r="D76" s="188"/>
      <c r="E76" s="229"/>
      <c r="F76" s="188"/>
      <c r="G76" s="188"/>
      <c r="H76" s="188"/>
      <c r="I76" s="188"/>
      <c r="J76" s="148"/>
    </row>
    <row r="77" spans="1:10" s="5" customFormat="1" ht="37.5">
      <c r="A77" s="166" t="s">
        <v>108</v>
      </c>
      <c r="B77" s="219">
        <v>1200</v>
      </c>
      <c r="C77" s="187">
        <f t="shared" ref="C77:I77" si="8">C74-C75-C76</f>
        <v>-158</v>
      </c>
      <c r="D77" s="187">
        <f t="shared" si="8"/>
        <v>0</v>
      </c>
      <c r="E77" s="270">
        <f t="shared" si="8"/>
        <v>-151</v>
      </c>
      <c r="F77" s="187">
        <f t="shared" si="8"/>
        <v>0</v>
      </c>
      <c r="G77" s="187">
        <f t="shared" si="8"/>
        <v>0</v>
      </c>
      <c r="H77" s="187">
        <f t="shared" si="8"/>
        <v>0</v>
      </c>
      <c r="I77" s="187">
        <f t="shared" si="8"/>
        <v>0</v>
      </c>
      <c r="J77" s="149"/>
    </row>
    <row r="78" spans="1:10" ht="20.100000000000001" customHeight="1">
      <c r="A78" s="72" t="s">
        <v>25</v>
      </c>
      <c r="B78" s="186">
        <v>1201</v>
      </c>
      <c r="C78" s="187">
        <f>SUMIF(C77,"&gt;0")</f>
        <v>0</v>
      </c>
      <c r="D78" s="187">
        <f t="shared" ref="D78:I78" si="9">SUMIF(D77,"&gt;0")</f>
        <v>0</v>
      </c>
      <c r="E78" s="270">
        <f t="shared" si="9"/>
        <v>0</v>
      </c>
      <c r="F78" s="187">
        <f t="shared" si="9"/>
        <v>0</v>
      </c>
      <c r="G78" s="187">
        <f t="shared" si="9"/>
        <v>0</v>
      </c>
      <c r="H78" s="187">
        <f t="shared" si="9"/>
        <v>0</v>
      </c>
      <c r="I78" s="187">
        <f t="shared" si="9"/>
        <v>0</v>
      </c>
      <c r="J78" s="148"/>
    </row>
    <row r="79" spans="1:10" ht="20.100000000000001" customHeight="1">
      <c r="A79" s="72" t="s">
        <v>26</v>
      </c>
      <c r="B79" s="186">
        <v>1202</v>
      </c>
      <c r="C79" s="187">
        <f>SUMIF(C77,"&lt;0")</f>
        <v>-158</v>
      </c>
      <c r="D79" s="187">
        <f t="shared" ref="D79:I79" si="10">SUMIF(D77,"&lt;0")</f>
        <v>0</v>
      </c>
      <c r="E79" s="270">
        <f t="shared" si="10"/>
        <v>-151</v>
      </c>
      <c r="F79" s="187">
        <f t="shared" si="10"/>
        <v>0</v>
      </c>
      <c r="G79" s="187">
        <f t="shared" si="10"/>
        <v>0</v>
      </c>
      <c r="H79" s="187">
        <f t="shared" si="10"/>
        <v>0</v>
      </c>
      <c r="I79" s="187">
        <f t="shared" si="10"/>
        <v>0</v>
      </c>
      <c r="J79" s="148"/>
    </row>
    <row r="80" spans="1:10" ht="19.5" customHeight="1">
      <c r="A80" s="72" t="s">
        <v>270</v>
      </c>
      <c r="B80" s="167">
        <v>1210</v>
      </c>
      <c r="C80" s="188"/>
      <c r="D80" s="188"/>
      <c r="E80" s="229"/>
      <c r="F80" s="188"/>
      <c r="G80" s="188"/>
      <c r="H80" s="188"/>
      <c r="I80" s="188"/>
      <c r="J80" s="148"/>
    </row>
    <row r="81" spans="1:10" s="5" customFormat="1" ht="20.100000000000001" customHeight="1">
      <c r="A81" s="330" t="s">
        <v>313</v>
      </c>
      <c r="B81" s="331"/>
      <c r="C81" s="331"/>
      <c r="D81" s="331"/>
      <c r="E81" s="331"/>
      <c r="F81" s="331"/>
      <c r="G81" s="331"/>
      <c r="H81" s="331"/>
      <c r="I81" s="331"/>
      <c r="J81" s="332"/>
    </row>
    <row r="82" spans="1:10" ht="42.75" customHeight="1">
      <c r="A82" s="213" t="s">
        <v>291</v>
      </c>
      <c r="B82" s="98">
        <v>1300</v>
      </c>
      <c r="C82" s="190">
        <f t="shared" ref="C82:I82" si="11">C19-C59</f>
        <v>3740</v>
      </c>
      <c r="D82" s="190">
        <f t="shared" si="11"/>
        <v>4145</v>
      </c>
      <c r="E82" s="268">
        <f t="shared" si="11"/>
        <v>4145</v>
      </c>
      <c r="F82" s="190">
        <f t="shared" si="11"/>
        <v>1156</v>
      </c>
      <c r="G82" s="190">
        <f t="shared" si="11"/>
        <v>2287</v>
      </c>
      <c r="H82" s="190">
        <f t="shared" si="11"/>
        <v>3413</v>
      </c>
      <c r="I82" s="190">
        <f t="shared" si="11"/>
        <v>4489</v>
      </c>
      <c r="J82" s="148"/>
    </row>
    <row r="83" spans="1:10" ht="75">
      <c r="A83" s="105" t="s">
        <v>285</v>
      </c>
      <c r="B83" s="98">
        <v>1310</v>
      </c>
      <c r="C83" s="190">
        <f t="shared" ref="C83:I83" si="12">C66+C67-C68-C69</f>
        <v>0</v>
      </c>
      <c r="D83" s="190">
        <f t="shared" si="12"/>
        <v>0</v>
      </c>
      <c r="E83" s="268">
        <f t="shared" si="12"/>
        <v>0</v>
      </c>
      <c r="F83" s="190">
        <f t="shared" si="12"/>
        <v>0</v>
      </c>
      <c r="G83" s="190">
        <f t="shared" si="12"/>
        <v>0</v>
      </c>
      <c r="H83" s="190">
        <f t="shared" si="12"/>
        <v>0</v>
      </c>
      <c r="I83" s="190">
        <f t="shared" si="12"/>
        <v>0</v>
      </c>
      <c r="J83" s="148"/>
    </row>
    <row r="84" spans="1:10" ht="42.75" customHeight="1">
      <c r="A84" s="213" t="s">
        <v>286</v>
      </c>
      <c r="B84" s="98">
        <v>1320</v>
      </c>
      <c r="C84" s="190">
        <f>C70-C72</f>
        <v>0</v>
      </c>
      <c r="D84" s="190">
        <f t="shared" ref="D84:I84" si="13">D70-D72</f>
        <v>0</v>
      </c>
      <c r="E84" s="268">
        <f t="shared" si="13"/>
        <v>0</v>
      </c>
      <c r="F84" s="190">
        <f t="shared" si="13"/>
        <v>0</v>
      </c>
      <c r="G84" s="190">
        <f t="shared" si="13"/>
        <v>0</v>
      </c>
      <c r="H84" s="190">
        <f t="shared" si="13"/>
        <v>0</v>
      </c>
      <c r="I84" s="190">
        <f t="shared" si="13"/>
        <v>0</v>
      </c>
      <c r="J84" s="148"/>
    </row>
    <row r="85" spans="1:10" ht="56.25">
      <c r="A85" s="105" t="s">
        <v>371</v>
      </c>
      <c r="B85" s="211">
        <v>1330</v>
      </c>
      <c r="C85" s="190">
        <f t="shared" ref="C85:I85" si="14">C7+C19+C66+C67+C70</f>
        <v>3787</v>
      </c>
      <c r="D85" s="190">
        <f t="shared" si="14"/>
        <v>4283</v>
      </c>
      <c r="E85" s="268">
        <f t="shared" si="14"/>
        <v>4170</v>
      </c>
      <c r="F85" s="190">
        <f t="shared" si="14"/>
        <v>1181</v>
      </c>
      <c r="G85" s="190">
        <f t="shared" si="14"/>
        <v>2356</v>
      </c>
      <c r="H85" s="190">
        <f t="shared" si="14"/>
        <v>3527</v>
      </c>
      <c r="I85" s="190">
        <f t="shared" si="14"/>
        <v>4630</v>
      </c>
      <c r="J85" s="148"/>
    </row>
    <row r="86" spans="1:10" ht="75">
      <c r="A86" s="105" t="s">
        <v>372</v>
      </c>
      <c r="B86" s="211">
        <v>1340</v>
      </c>
      <c r="C86" s="190">
        <f t="shared" ref="C86:I86" si="15">C9+C22+C51+C59+C68+C69+C72+C75+C76</f>
        <v>3945</v>
      </c>
      <c r="D86" s="190">
        <f t="shared" si="15"/>
        <v>4283</v>
      </c>
      <c r="E86" s="268">
        <f t="shared" si="15"/>
        <v>4321</v>
      </c>
      <c r="F86" s="190">
        <f t="shared" si="15"/>
        <v>1181</v>
      </c>
      <c r="G86" s="190">
        <f t="shared" si="15"/>
        <v>2356</v>
      </c>
      <c r="H86" s="190">
        <f t="shared" si="15"/>
        <v>3527</v>
      </c>
      <c r="I86" s="190">
        <f t="shared" si="15"/>
        <v>4630</v>
      </c>
      <c r="J86" s="148"/>
    </row>
    <row r="87" spans="1:10" ht="20.100000000000001" customHeight="1">
      <c r="A87" s="330" t="s">
        <v>186</v>
      </c>
      <c r="B87" s="331"/>
      <c r="C87" s="331"/>
      <c r="D87" s="331"/>
      <c r="E87" s="331"/>
      <c r="F87" s="331"/>
      <c r="G87" s="331"/>
      <c r="H87" s="331"/>
      <c r="I87" s="331"/>
      <c r="J87" s="332"/>
    </row>
    <row r="88" spans="1:10" ht="37.5">
      <c r="A88" s="105" t="s">
        <v>287</v>
      </c>
      <c r="B88" s="211">
        <v>1400</v>
      </c>
      <c r="C88" s="190">
        <f>C65</f>
        <v>-158</v>
      </c>
      <c r="D88" s="190">
        <f t="shared" ref="D88:I88" si="16">D65</f>
        <v>0</v>
      </c>
      <c r="E88" s="268">
        <f t="shared" si="16"/>
        <v>-151</v>
      </c>
      <c r="F88" s="190">
        <f t="shared" si="16"/>
        <v>0</v>
      </c>
      <c r="G88" s="190">
        <f t="shared" si="16"/>
        <v>0</v>
      </c>
      <c r="H88" s="190">
        <f t="shared" si="16"/>
        <v>0</v>
      </c>
      <c r="I88" s="190">
        <f t="shared" si="16"/>
        <v>0</v>
      </c>
      <c r="J88" s="148"/>
    </row>
    <row r="89" spans="1:10">
      <c r="A89" s="105" t="s">
        <v>288</v>
      </c>
      <c r="B89" s="211">
        <v>1401</v>
      </c>
      <c r="C89" s="190">
        <f>C100</f>
        <v>150</v>
      </c>
      <c r="D89" s="190">
        <f t="shared" ref="D89:I89" si="17">D100</f>
        <v>140</v>
      </c>
      <c r="E89" s="268">
        <v>150</v>
      </c>
      <c r="F89" s="190">
        <f t="shared" si="17"/>
        <v>37</v>
      </c>
      <c r="G89" s="190">
        <f t="shared" si="17"/>
        <v>74</v>
      </c>
      <c r="H89" s="190">
        <f t="shared" si="17"/>
        <v>111</v>
      </c>
      <c r="I89" s="190">
        <f t="shared" si="17"/>
        <v>140</v>
      </c>
      <c r="J89" s="148"/>
    </row>
    <row r="90" spans="1:10" ht="37.5">
      <c r="A90" s="105" t="s">
        <v>289</v>
      </c>
      <c r="B90" s="211">
        <v>1402</v>
      </c>
      <c r="C90" s="190">
        <f t="shared" ref="C90:I90" si="18">C21</f>
        <v>0</v>
      </c>
      <c r="D90" s="190">
        <f t="shared" si="18"/>
        <v>0</v>
      </c>
      <c r="E90" s="268">
        <f t="shared" si="18"/>
        <v>0</v>
      </c>
      <c r="F90" s="190">
        <f t="shared" si="18"/>
        <v>0</v>
      </c>
      <c r="G90" s="190">
        <f t="shared" si="18"/>
        <v>0</v>
      </c>
      <c r="H90" s="190">
        <f t="shared" si="18"/>
        <v>0</v>
      </c>
      <c r="I90" s="190">
        <f t="shared" si="18"/>
        <v>0</v>
      </c>
      <c r="J90" s="148"/>
    </row>
    <row r="91" spans="1:10" ht="37.5">
      <c r="A91" s="105" t="s">
        <v>290</v>
      </c>
      <c r="B91" s="211">
        <v>1403</v>
      </c>
      <c r="C91" s="190">
        <f>C63</f>
        <v>0</v>
      </c>
      <c r="D91" s="190">
        <f t="shared" ref="D91:I91" si="19">D63</f>
        <v>0</v>
      </c>
      <c r="E91" s="268">
        <f t="shared" si="19"/>
        <v>0</v>
      </c>
      <c r="F91" s="190">
        <f t="shared" si="19"/>
        <v>0</v>
      </c>
      <c r="G91" s="190">
        <f t="shared" si="19"/>
        <v>0</v>
      </c>
      <c r="H91" s="190">
        <f t="shared" si="19"/>
        <v>0</v>
      </c>
      <c r="I91" s="190">
        <f t="shared" si="19"/>
        <v>0</v>
      </c>
      <c r="J91" s="148"/>
    </row>
    <row r="92" spans="1:10" ht="37.5">
      <c r="A92" s="105" t="s">
        <v>357</v>
      </c>
      <c r="B92" s="211">
        <v>1404</v>
      </c>
      <c r="C92" s="214"/>
      <c r="D92" s="214"/>
      <c r="E92" s="231"/>
      <c r="F92" s="214"/>
      <c r="G92" s="214"/>
      <c r="H92" s="214"/>
      <c r="I92" s="214"/>
      <c r="J92" s="148"/>
    </row>
    <row r="93" spans="1:10" s="5" customFormat="1" ht="20.100000000000001" customHeight="1">
      <c r="A93" s="107" t="s">
        <v>160</v>
      </c>
      <c r="B93" s="215">
        <v>1410</v>
      </c>
      <c r="C93" s="200">
        <f>C88+C89-C90+C91</f>
        <v>-8</v>
      </c>
      <c r="D93" s="200">
        <f t="shared" ref="D93:I93" si="20">D88+D89-D90+D91</f>
        <v>140</v>
      </c>
      <c r="E93" s="269">
        <f t="shared" si="20"/>
        <v>-1</v>
      </c>
      <c r="F93" s="200">
        <f t="shared" si="20"/>
        <v>37</v>
      </c>
      <c r="G93" s="200">
        <f t="shared" si="20"/>
        <v>74</v>
      </c>
      <c r="H93" s="200">
        <f t="shared" si="20"/>
        <v>111</v>
      </c>
      <c r="I93" s="200">
        <f t="shared" si="20"/>
        <v>140</v>
      </c>
      <c r="J93" s="149"/>
    </row>
    <row r="94" spans="1:10" ht="20.100000000000001" customHeight="1">
      <c r="A94" s="330" t="s">
        <v>255</v>
      </c>
      <c r="B94" s="331"/>
      <c r="C94" s="331"/>
      <c r="D94" s="331"/>
      <c r="E94" s="331"/>
      <c r="F94" s="331"/>
      <c r="G94" s="331"/>
      <c r="H94" s="331"/>
      <c r="I94" s="331"/>
      <c r="J94" s="332"/>
    </row>
    <row r="95" spans="1:10" ht="20.100000000000001" customHeight="1">
      <c r="A95" s="8" t="s">
        <v>314</v>
      </c>
      <c r="B95" s="74">
        <v>1500</v>
      </c>
      <c r="C95" s="188"/>
      <c r="D95" s="188"/>
      <c r="E95" s="229"/>
      <c r="F95" s="188"/>
      <c r="G95" s="188"/>
      <c r="H95" s="188"/>
      <c r="I95" s="188"/>
      <c r="J95" s="148"/>
    </row>
    <row r="96" spans="1:10" ht="20.100000000000001" customHeight="1">
      <c r="A96" s="8" t="s">
        <v>312</v>
      </c>
      <c r="B96" s="7">
        <v>1501</v>
      </c>
      <c r="C96" s="188"/>
      <c r="D96" s="188"/>
      <c r="E96" s="229"/>
      <c r="F96" s="188"/>
      <c r="G96" s="188"/>
      <c r="H96" s="188"/>
      <c r="I96" s="188"/>
      <c r="J96" s="148"/>
    </row>
    <row r="97" spans="1:16" ht="20.100000000000001" customHeight="1">
      <c r="A97" s="8" t="s">
        <v>29</v>
      </c>
      <c r="B97" s="7">
        <v>1502</v>
      </c>
      <c r="C97" s="188"/>
      <c r="D97" s="188"/>
      <c r="E97" s="229"/>
      <c r="F97" s="188"/>
      <c r="G97" s="188"/>
      <c r="H97" s="188"/>
      <c r="I97" s="188"/>
      <c r="J97" s="148"/>
    </row>
    <row r="98" spans="1:16" ht="20.100000000000001" customHeight="1">
      <c r="A98" s="8" t="s">
        <v>5</v>
      </c>
      <c r="B98" s="74">
        <v>1510</v>
      </c>
      <c r="C98" s="188">
        <f t="shared" ref="C98:I99" si="21">C13+C30</f>
        <v>2250</v>
      </c>
      <c r="D98" s="188">
        <f t="shared" si="21"/>
        <v>3138</v>
      </c>
      <c r="E98" s="229">
        <f t="shared" si="21"/>
        <v>3139</v>
      </c>
      <c r="F98" s="188">
        <f t="shared" si="21"/>
        <v>863</v>
      </c>
      <c r="G98" s="188">
        <f t="shared" si="21"/>
        <v>1726</v>
      </c>
      <c r="H98" s="188">
        <f t="shared" si="21"/>
        <v>2589</v>
      </c>
      <c r="I98" s="188">
        <f t="shared" si="21"/>
        <v>3452</v>
      </c>
      <c r="J98" s="148"/>
    </row>
    <row r="99" spans="1:16" ht="20.100000000000001" customHeight="1">
      <c r="A99" s="8" t="s">
        <v>6</v>
      </c>
      <c r="B99" s="74">
        <v>1520</v>
      </c>
      <c r="C99" s="188">
        <f t="shared" si="21"/>
        <v>702</v>
      </c>
      <c r="D99" s="188">
        <f t="shared" si="21"/>
        <v>681</v>
      </c>
      <c r="E99" s="229">
        <f t="shared" si="21"/>
        <v>681</v>
      </c>
      <c r="F99" s="188">
        <f t="shared" si="21"/>
        <v>187</v>
      </c>
      <c r="G99" s="188">
        <f t="shared" si="21"/>
        <v>375</v>
      </c>
      <c r="H99" s="188">
        <f t="shared" si="21"/>
        <v>562</v>
      </c>
      <c r="I99" s="188">
        <f t="shared" si="21"/>
        <v>750</v>
      </c>
      <c r="J99" s="148"/>
      <c r="K99" s="201">
        <f>ROUND(Лист1!C17,0)</f>
        <v>187</v>
      </c>
      <c r="L99" s="201">
        <f>ROUND(Лист1!D17,0)</f>
        <v>375</v>
      </c>
      <c r="M99" s="201">
        <f>ROUND(Лист1!E17,0)</f>
        <v>562</v>
      </c>
      <c r="N99" s="201">
        <f>ROUND(Лист1!F17,0)</f>
        <v>750</v>
      </c>
      <c r="O99" s="201"/>
      <c r="P99" s="201"/>
    </row>
    <row r="100" spans="1:16" ht="20.100000000000001" customHeight="1">
      <c r="A100" s="8" t="s">
        <v>7</v>
      </c>
      <c r="B100" s="74">
        <v>1530</v>
      </c>
      <c r="C100" s="188">
        <f t="shared" ref="C100:I100" si="22">C16+C32</f>
        <v>150</v>
      </c>
      <c r="D100" s="188">
        <f t="shared" si="22"/>
        <v>140</v>
      </c>
      <c r="E100" s="229">
        <f t="shared" si="22"/>
        <v>140</v>
      </c>
      <c r="F100" s="188">
        <f t="shared" si="22"/>
        <v>37</v>
      </c>
      <c r="G100" s="188">
        <f t="shared" si="22"/>
        <v>74</v>
      </c>
      <c r="H100" s="188">
        <f t="shared" si="22"/>
        <v>111</v>
      </c>
      <c r="I100" s="188">
        <f t="shared" si="22"/>
        <v>140</v>
      </c>
      <c r="J100" s="148"/>
      <c r="K100" s="201">
        <f>K99-F99</f>
        <v>0</v>
      </c>
      <c r="L100" s="201">
        <f>L99-G99</f>
        <v>0</v>
      </c>
      <c r="M100" s="201">
        <f>M99-H99</f>
        <v>0</v>
      </c>
      <c r="N100" s="201">
        <f>N99-I99</f>
        <v>0</v>
      </c>
    </row>
    <row r="101" spans="1:16" ht="20.100000000000001" customHeight="1">
      <c r="A101" s="8" t="s">
        <v>30</v>
      </c>
      <c r="B101" s="74">
        <v>1540</v>
      </c>
      <c r="C101" s="188">
        <v>843</v>
      </c>
      <c r="D101" s="188">
        <v>324</v>
      </c>
      <c r="E101" s="229">
        <v>361</v>
      </c>
      <c r="F101" s="188">
        <v>94</v>
      </c>
      <c r="G101" s="188">
        <v>181</v>
      </c>
      <c r="H101" s="188">
        <v>265</v>
      </c>
      <c r="I101" s="188">
        <v>288</v>
      </c>
      <c r="J101" s="148"/>
    </row>
    <row r="102" spans="1:16" s="5" customFormat="1" ht="20.100000000000001" customHeight="1">
      <c r="A102" s="9" t="s">
        <v>61</v>
      </c>
      <c r="B102" s="73">
        <v>1550</v>
      </c>
      <c r="C102" s="189">
        <f>SUM(C95,C98:C101)</f>
        <v>3945</v>
      </c>
      <c r="D102" s="189">
        <f t="shared" ref="D102:I102" si="23">SUM(D95,D98:D101)</f>
        <v>4283</v>
      </c>
      <c r="E102" s="271">
        <f t="shared" si="23"/>
        <v>4321</v>
      </c>
      <c r="F102" s="189">
        <f t="shared" si="23"/>
        <v>1181</v>
      </c>
      <c r="G102" s="189">
        <f t="shared" si="23"/>
        <v>2356</v>
      </c>
      <c r="H102" s="189">
        <f t="shared" si="23"/>
        <v>3527</v>
      </c>
      <c r="I102" s="189">
        <f t="shared" si="23"/>
        <v>4630</v>
      </c>
      <c r="J102" s="149"/>
    </row>
    <row r="103" spans="1:16" s="5" customFormat="1" ht="20.100000000000001" customHeight="1">
      <c r="A103" s="139"/>
      <c r="B103" s="143"/>
      <c r="C103" s="144"/>
      <c r="D103" s="144"/>
      <c r="E103" s="266"/>
      <c r="F103" s="145"/>
      <c r="G103" s="145"/>
      <c r="H103" s="145"/>
      <c r="I103" s="145"/>
      <c r="J103" s="146"/>
    </row>
    <row r="104" spans="1:16" s="5" customFormat="1" ht="15.75" customHeight="1">
      <c r="A104" s="139"/>
      <c r="B104" s="143"/>
      <c r="C104" s="144"/>
      <c r="D104" s="144"/>
      <c r="E104" s="266"/>
      <c r="F104" s="145"/>
      <c r="G104" s="145"/>
      <c r="H104" s="145"/>
      <c r="I104" s="145"/>
      <c r="J104" s="146"/>
    </row>
    <row r="105" spans="1:16" ht="16.5" customHeight="1">
      <c r="A105" s="115"/>
      <c r="B105" s="111"/>
      <c r="C105" s="137"/>
      <c r="D105" s="138"/>
      <c r="E105" s="267"/>
      <c r="F105" s="138"/>
      <c r="G105" s="138"/>
      <c r="H105" s="138"/>
      <c r="I105" s="138"/>
      <c r="J105" s="110"/>
    </row>
    <row r="106" spans="1:16">
      <c r="A106" s="139" t="s">
        <v>508</v>
      </c>
      <c r="B106" s="140"/>
      <c r="C106" s="333" t="s">
        <v>265</v>
      </c>
      <c r="D106" s="333"/>
      <c r="E106" s="333"/>
      <c r="F106" s="141"/>
      <c r="G106" s="334" t="s">
        <v>416</v>
      </c>
      <c r="H106" s="334"/>
      <c r="I106" s="334"/>
      <c r="J106" s="110"/>
    </row>
    <row r="107" spans="1:16" s="1" customFormat="1" ht="20.100000000000001" customHeight="1">
      <c r="A107" s="97" t="s">
        <v>264</v>
      </c>
      <c r="B107" s="110"/>
      <c r="C107" s="329" t="s">
        <v>342</v>
      </c>
      <c r="D107" s="329"/>
      <c r="E107" s="329"/>
      <c r="F107" s="142"/>
      <c r="G107" s="291" t="s">
        <v>116</v>
      </c>
      <c r="H107" s="291"/>
      <c r="I107" s="291"/>
      <c r="J107" s="147"/>
    </row>
    <row r="108" spans="1:16" ht="20.100000000000001" customHeight="1">
      <c r="A108" s="25"/>
      <c r="C108" s="30"/>
      <c r="D108" s="26"/>
      <c r="E108" s="232"/>
      <c r="F108" s="26"/>
      <c r="G108" s="26"/>
      <c r="H108" s="26"/>
      <c r="I108" s="26"/>
    </row>
    <row r="109" spans="1:16">
      <c r="A109" s="25"/>
      <c r="C109" s="30"/>
      <c r="D109" s="26"/>
      <c r="E109" s="232"/>
      <c r="F109" s="26"/>
      <c r="G109" s="26"/>
      <c r="H109" s="26"/>
      <c r="I109" s="26"/>
    </row>
    <row r="110" spans="1:16">
      <c r="A110" s="25"/>
      <c r="C110" s="30"/>
      <c r="D110" s="26"/>
      <c r="E110" s="232"/>
      <c r="F110" s="26"/>
      <c r="G110" s="26"/>
      <c r="H110" s="26"/>
      <c r="I110" s="26"/>
    </row>
    <row r="111" spans="1:16">
      <c r="A111" s="25"/>
      <c r="C111" s="30"/>
      <c r="D111" s="26"/>
      <c r="E111" s="232"/>
      <c r="F111" s="26"/>
      <c r="G111" s="26"/>
      <c r="H111" s="26"/>
      <c r="I111" s="26"/>
    </row>
    <row r="112" spans="1:16">
      <c r="A112" s="25"/>
      <c r="C112" s="30"/>
      <c r="D112" s="26"/>
      <c r="E112" s="232"/>
      <c r="F112" s="26"/>
      <c r="G112" s="26"/>
      <c r="H112" s="26"/>
      <c r="I112" s="26"/>
    </row>
    <row r="113" spans="1:9">
      <c r="A113" s="25"/>
      <c r="C113" s="30"/>
      <c r="D113" s="26"/>
      <c r="E113" s="232"/>
      <c r="F113" s="26"/>
      <c r="G113" s="26"/>
      <c r="H113" s="26"/>
      <c r="I113" s="26"/>
    </row>
    <row r="114" spans="1:9">
      <c r="A114" s="25"/>
      <c r="C114" s="30"/>
      <c r="D114" s="26"/>
      <c r="E114" s="232"/>
      <c r="F114" s="26"/>
      <c r="G114" s="26"/>
      <c r="H114" s="26"/>
      <c r="I114" s="26"/>
    </row>
    <row r="115" spans="1:9">
      <c r="A115" s="25"/>
      <c r="C115" s="30"/>
      <c r="D115" s="26"/>
      <c r="E115" s="232"/>
      <c r="F115" s="26"/>
      <c r="G115" s="26"/>
      <c r="H115" s="26"/>
      <c r="I115" s="26"/>
    </row>
    <row r="116" spans="1:9">
      <c r="A116" s="25"/>
      <c r="C116" s="30"/>
      <c r="D116" s="26"/>
      <c r="E116" s="232"/>
      <c r="F116" s="26"/>
      <c r="G116" s="26"/>
      <c r="H116" s="26"/>
      <c r="I116" s="26"/>
    </row>
    <row r="117" spans="1:9">
      <c r="A117" s="25"/>
      <c r="C117" s="30"/>
      <c r="D117" s="26"/>
      <c r="E117" s="232"/>
      <c r="F117" s="26"/>
      <c r="G117" s="26"/>
      <c r="H117" s="26"/>
      <c r="I117" s="26"/>
    </row>
    <row r="118" spans="1:9">
      <c r="A118" s="25"/>
      <c r="C118" s="30"/>
      <c r="D118" s="26"/>
      <c r="E118" s="232"/>
      <c r="F118" s="26"/>
      <c r="G118" s="26"/>
      <c r="H118" s="26"/>
      <c r="I118" s="26"/>
    </row>
    <row r="119" spans="1:9">
      <c r="A119" s="25"/>
      <c r="C119" s="30"/>
      <c r="D119" s="26"/>
      <c r="E119" s="232"/>
      <c r="F119" s="26"/>
      <c r="G119" s="26"/>
      <c r="H119" s="26"/>
      <c r="I119" s="26"/>
    </row>
    <row r="120" spans="1:9">
      <c r="A120" s="25"/>
      <c r="C120" s="30"/>
      <c r="D120" s="26"/>
      <c r="E120" s="232"/>
      <c r="F120" s="26"/>
      <c r="G120" s="26"/>
      <c r="H120" s="26"/>
      <c r="I120" s="26"/>
    </row>
    <row r="121" spans="1:9">
      <c r="A121" s="25"/>
      <c r="C121" s="30"/>
      <c r="D121" s="26"/>
      <c r="E121" s="232"/>
      <c r="F121" s="26"/>
      <c r="G121" s="26"/>
      <c r="H121" s="26"/>
      <c r="I121" s="26"/>
    </row>
    <row r="122" spans="1:9">
      <c r="A122" s="25"/>
      <c r="C122" s="30"/>
      <c r="D122" s="26"/>
      <c r="E122" s="232"/>
      <c r="F122" s="26"/>
      <c r="G122" s="26"/>
      <c r="H122" s="26"/>
      <c r="I122" s="26"/>
    </row>
    <row r="123" spans="1:9">
      <c r="A123" s="25"/>
      <c r="C123" s="30"/>
      <c r="D123" s="26"/>
      <c r="E123" s="232"/>
      <c r="F123" s="26"/>
      <c r="G123" s="26"/>
      <c r="H123" s="26"/>
      <c r="I123" s="26"/>
    </row>
    <row r="124" spans="1:9">
      <c r="A124" s="25"/>
      <c r="C124" s="30"/>
      <c r="D124" s="26"/>
      <c r="E124" s="232"/>
      <c r="F124" s="26"/>
      <c r="G124" s="26"/>
      <c r="H124" s="26"/>
      <c r="I124" s="26"/>
    </row>
    <row r="125" spans="1:9">
      <c r="A125" s="25"/>
      <c r="C125" s="30"/>
      <c r="D125" s="26"/>
      <c r="E125" s="232"/>
      <c r="F125" s="26"/>
      <c r="G125" s="26"/>
      <c r="H125" s="26"/>
      <c r="I125" s="26"/>
    </row>
    <row r="126" spans="1:9">
      <c r="A126" s="25"/>
      <c r="C126" s="30"/>
      <c r="D126" s="26"/>
      <c r="E126" s="232"/>
      <c r="F126" s="26"/>
      <c r="G126" s="26"/>
      <c r="H126" s="26"/>
      <c r="I126" s="26"/>
    </row>
    <row r="127" spans="1:9">
      <c r="A127" s="25"/>
      <c r="C127" s="30"/>
      <c r="D127" s="26"/>
      <c r="E127" s="232"/>
      <c r="F127" s="26"/>
      <c r="G127" s="26"/>
      <c r="H127" s="26"/>
      <c r="I127" s="26"/>
    </row>
    <row r="128" spans="1:9">
      <c r="A128" s="25"/>
      <c r="C128" s="30"/>
      <c r="D128" s="26"/>
      <c r="E128" s="232"/>
      <c r="F128" s="26"/>
      <c r="G128" s="26"/>
      <c r="H128" s="26"/>
      <c r="I128" s="26"/>
    </row>
    <row r="129" spans="1:9">
      <c r="A129" s="25"/>
      <c r="C129" s="30"/>
      <c r="D129" s="26"/>
      <c r="E129" s="232"/>
      <c r="F129" s="26"/>
      <c r="G129" s="26"/>
      <c r="H129" s="26"/>
      <c r="I129" s="26"/>
    </row>
    <row r="130" spans="1:9">
      <c r="A130" s="25"/>
      <c r="C130" s="30"/>
      <c r="D130" s="26"/>
      <c r="E130" s="232"/>
      <c r="F130" s="26"/>
      <c r="G130" s="26"/>
      <c r="H130" s="26"/>
      <c r="I130" s="26"/>
    </row>
    <row r="131" spans="1:9">
      <c r="A131" s="25"/>
      <c r="C131" s="30"/>
      <c r="D131" s="26"/>
      <c r="E131" s="232"/>
      <c r="F131" s="26"/>
      <c r="G131" s="26"/>
      <c r="H131" s="26"/>
      <c r="I131" s="26"/>
    </row>
    <row r="132" spans="1:9">
      <c r="A132" s="25"/>
      <c r="C132" s="30"/>
      <c r="D132" s="26"/>
      <c r="E132" s="232"/>
      <c r="F132" s="26"/>
      <c r="G132" s="26"/>
      <c r="H132" s="26"/>
      <c r="I132" s="26"/>
    </row>
    <row r="133" spans="1:9">
      <c r="A133" s="25"/>
      <c r="C133" s="30"/>
      <c r="D133" s="26"/>
      <c r="E133" s="232"/>
      <c r="F133" s="26"/>
      <c r="G133" s="26"/>
      <c r="H133" s="26"/>
      <c r="I133" s="26"/>
    </row>
    <row r="134" spans="1:9">
      <c r="A134" s="25"/>
      <c r="C134" s="30"/>
      <c r="D134" s="26"/>
      <c r="E134" s="232"/>
      <c r="F134" s="26"/>
      <c r="G134" s="26"/>
      <c r="H134" s="26"/>
      <c r="I134" s="26"/>
    </row>
    <row r="135" spans="1:9">
      <c r="A135" s="25"/>
      <c r="C135" s="30"/>
      <c r="D135" s="26"/>
      <c r="E135" s="232"/>
      <c r="F135" s="26"/>
      <c r="G135" s="26"/>
      <c r="H135" s="26"/>
      <c r="I135" s="26"/>
    </row>
    <row r="136" spans="1:9">
      <c r="A136" s="25"/>
      <c r="C136" s="30"/>
      <c r="D136" s="26"/>
      <c r="E136" s="232"/>
      <c r="F136" s="26"/>
      <c r="G136" s="26"/>
      <c r="H136" s="26"/>
      <c r="I136" s="26"/>
    </row>
    <row r="137" spans="1:9">
      <c r="A137" s="25"/>
      <c r="C137" s="30"/>
      <c r="D137" s="26"/>
      <c r="E137" s="232"/>
      <c r="F137" s="26"/>
      <c r="G137" s="26"/>
      <c r="H137" s="26"/>
      <c r="I137" s="26"/>
    </row>
    <row r="138" spans="1:9">
      <c r="A138" s="25"/>
      <c r="C138" s="30"/>
      <c r="D138" s="26"/>
      <c r="E138" s="232"/>
      <c r="F138" s="26"/>
      <c r="G138" s="26"/>
      <c r="H138" s="26"/>
      <c r="I138" s="26"/>
    </row>
    <row r="139" spans="1:9">
      <c r="A139" s="25"/>
      <c r="C139" s="30"/>
      <c r="D139" s="26"/>
      <c r="E139" s="232"/>
      <c r="F139" s="26"/>
      <c r="G139" s="26"/>
      <c r="H139" s="26"/>
      <c r="I139" s="26"/>
    </row>
    <row r="140" spans="1:9">
      <c r="A140" s="25"/>
      <c r="C140" s="30"/>
      <c r="D140" s="26"/>
      <c r="E140" s="232"/>
      <c r="F140" s="26"/>
      <c r="G140" s="26"/>
      <c r="H140" s="26"/>
      <c r="I140" s="26"/>
    </row>
    <row r="141" spans="1:9">
      <c r="A141" s="25"/>
      <c r="C141" s="30"/>
      <c r="D141" s="26"/>
      <c r="E141" s="232"/>
      <c r="F141" s="26"/>
      <c r="G141" s="26"/>
      <c r="H141" s="26"/>
      <c r="I141" s="26"/>
    </row>
    <row r="142" spans="1:9">
      <c r="A142" s="25"/>
      <c r="C142" s="30"/>
      <c r="D142" s="26"/>
      <c r="E142" s="232"/>
      <c r="F142" s="26"/>
      <c r="G142" s="26"/>
      <c r="H142" s="26"/>
      <c r="I142" s="26"/>
    </row>
    <row r="143" spans="1:9">
      <c r="A143" s="25"/>
      <c r="C143" s="30"/>
      <c r="D143" s="26"/>
      <c r="E143" s="232"/>
      <c r="F143" s="26"/>
      <c r="G143" s="26"/>
      <c r="H143" s="26"/>
      <c r="I143" s="26"/>
    </row>
    <row r="144" spans="1:9">
      <c r="A144" s="25"/>
      <c r="C144" s="30"/>
      <c r="D144" s="26"/>
      <c r="E144" s="232"/>
      <c r="F144" s="26"/>
      <c r="G144" s="26"/>
      <c r="H144" s="26"/>
      <c r="I144" s="26"/>
    </row>
    <row r="145" spans="1:9">
      <c r="A145" s="25"/>
      <c r="C145" s="30"/>
      <c r="D145" s="26"/>
      <c r="E145" s="232"/>
      <c r="F145" s="26"/>
      <c r="G145" s="26"/>
      <c r="H145" s="26"/>
      <c r="I145" s="26"/>
    </row>
    <row r="146" spans="1:9">
      <c r="A146" s="25"/>
      <c r="C146" s="30"/>
      <c r="D146" s="26"/>
      <c r="E146" s="232"/>
      <c r="F146" s="26"/>
      <c r="G146" s="26"/>
      <c r="H146" s="26"/>
      <c r="I146" s="26"/>
    </row>
    <row r="147" spans="1:9">
      <c r="A147" s="25"/>
      <c r="C147" s="30"/>
      <c r="D147" s="26"/>
      <c r="E147" s="232"/>
      <c r="F147" s="26"/>
      <c r="G147" s="26"/>
      <c r="H147" s="26"/>
      <c r="I147" s="26"/>
    </row>
    <row r="148" spans="1:9">
      <c r="A148" s="25"/>
      <c r="C148" s="30"/>
      <c r="D148" s="26"/>
      <c r="E148" s="232"/>
      <c r="F148" s="26"/>
      <c r="G148" s="26"/>
      <c r="H148" s="26"/>
      <c r="I148" s="26"/>
    </row>
    <row r="149" spans="1:9">
      <c r="A149" s="25"/>
      <c r="C149" s="30"/>
      <c r="D149" s="26"/>
      <c r="E149" s="232"/>
      <c r="F149" s="26"/>
      <c r="G149" s="26"/>
      <c r="H149" s="26"/>
      <c r="I149" s="26"/>
    </row>
    <row r="150" spans="1:9">
      <c r="A150" s="25"/>
      <c r="C150" s="30"/>
      <c r="D150" s="26"/>
      <c r="E150" s="232"/>
      <c r="F150" s="26"/>
      <c r="G150" s="26"/>
      <c r="H150" s="26"/>
      <c r="I150" s="26"/>
    </row>
    <row r="151" spans="1:9">
      <c r="A151" s="25"/>
      <c r="C151" s="30"/>
      <c r="D151" s="26"/>
      <c r="E151" s="232"/>
      <c r="F151" s="26"/>
      <c r="G151" s="26"/>
      <c r="H151" s="26"/>
      <c r="I151" s="26"/>
    </row>
    <row r="152" spans="1:9">
      <c r="A152" s="25"/>
      <c r="C152" s="30"/>
      <c r="D152" s="26"/>
      <c r="E152" s="232"/>
      <c r="F152" s="26"/>
      <c r="G152" s="26"/>
      <c r="H152" s="26"/>
      <c r="I152" s="26"/>
    </row>
    <row r="153" spans="1:9">
      <c r="A153" s="25"/>
      <c r="C153" s="30"/>
      <c r="D153" s="26"/>
      <c r="E153" s="232"/>
      <c r="F153" s="26"/>
      <c r="G153" s="26"/>
      <c r="H153" s="26"/>
      <c r="I153" s="26"/>
    </row>
    <row r="154" spans="1:9">
      <c r="A154" s="25"/>
      <c r="C154" s="30"/>
      <c r="D154" s="26"/>
      <c r="E154" s="232"/>
      <c r="F154" s="26"/>
      <c r="G154" s="26"/>
      <c r="H154" s="26"/>
      <c r="I154" s="26"/>
    </row>
    <row r="155" spans="1:9">
      <c r="A155" s="25"/>
      <c r="C155" s="30"/>
      <c r="D155" s="26"/>
      <c r="E155" s="232"/>
      <c r="F155" s="26"/>
      <c r="G155" s="26"/>
      <c r="H155" s="26"/>
      <c r="I155" s="26"/>
    </row>
    <row r="156" spans="1:9">
      <c r="A156" s="25"/>
      <c r="C156" s="30"/>
      <c r="D156" s="26"/>
      <c r="E156" s="232"/>
      <c r="F156" s="26"/>
      <c r="G156" s="26"/>
      <c r="H156" s="26"/>
      <c r="I156" s="26"/>
    </row>
    <row r="157" spans="1:9">
      <c r="A157" s="25"/>
      <c r="C157" s="30"/>
      <c r="D157" s="26"/>
      <c r="E157" s="232"/>
      <c r="F157" s="26"/>
      <c r="G157" s="26"/>
      <c r="H157" s="26"/>
      <c r="I157" s="26"/>
    </row>
    <row r="158" spans="1:9">
      <c r="A158" s="25"/>
      <c r="C158" s="30"/>
      <c r="D158" s="26"/>
      <c r="E158" s="232"/>
      <c r="F158" s="26"/>
      <c r="G158" s="26"/>
      <c r="H158" s="26"/>
      <c r="I158" s="26"/>
    </row>
    <row r="159" spans="1:9">
      <c r="A159" s="25"/>
      <c r="C159" s="30"/>
      <c r="D159" s="26"/>
      <c r="E159" s="232"/>
      <c r="F159" s="26"/>
      <c r="G159" s="26"/>
      <c r="H159" s="26"/>
      <c r="I159" s="26"/>
    </row>
    <row r="160" spans="1:9">
      <c r="A160" s="25"/>
      <c r="C160" s="30"/>
      <c r="D160" s="26"/>
      <c r="E160" s="232"/>
      <c r="F160" s="26"/>
      <c r="G160" s="26"/>
      <c r="H160" s="26"/>
      <c r="I160" s="26"/>
    </row>
    <row r="161" spans="1:9">
      <c r="A161" s="25"/>
      <c r="C161" s="30"/>
      <c r="D161" s="26"/>
      <c r="E161" s="232"/>
      <c r="F161" s="26"/>
      <c r="G161" s="26"/>
      <c r="H161" s="26"/>
      <c r="I161" s="26"/>
    </row>
    <row r="162" spans="1:9">
      <c r="A162" s="25"/>
      <c r="C162" s="30"/>
      <c r="D162" s="26"/>
      <c r="E162" s="232"/>
      <c r="F162" s="26"/>
      <c r="G162" s="26"/>
      <c r="H162" s="26"/>
      <c r="I162" s="26"/>
    </row>
    <row r="163" spans="1:9">
      <c r="A163" s="25"/>
      <c r="C163" s="30"/>
      <c r="D163" s="26"/>
      <c r="E163" s="232"/>
      <c r="F163" s="26"/>
      <c r="G163" s="26"/>
      <c r="H163" s="26"/>
      <c r="I163" s="26"/>
    </row>
    <row r="164" spans="1:9">
      <c r="A164" s="25"/>
      <c r="C164" s="30"/>
      <c r="D164" s="26"/>
      <c r="E164" s="232"/>
      <c r="F164" s="26"/>
      <c r="G164" s="26"/>
      <c r="H164" s="26"/>
      <c r="I164" s="26"/>
    </row>
    <row r="165" spans="1:9">
      <c r="A165" s="25"/>
      <c r="C165" s="30"/>
      <c r="D165" s="26"/>
      <c r="E165" s="232"/>
      <c r="F165" s="26"/>
      <c r="G165" s="26"/>
      <c r="H165" s="26"/>
      <c r="I165" s="26"/>
    </row>
    <row r="166" spans="1:9">
      <c r="A166" s="48"/>
    </row>
    <row r="167" spans="1:9">
      <c r="A167" s="48"/>
    </row>
    <row r="168" spans="1:9">
      <c r="A168" s="48"/>
    </row>
    <row r="169" spans="1:9">
      <c r="A169" s="48"/>
    </row>
    <row r="170" spans="1:9">
      <c r="A170" s="48"/>
    </row>
    <row r="171" spans="1:9">
      <c r="A171" s="48"/>
    </row>
    <row r="172" spans="1:9">
      <c r="A172" s="48"/>
    </row>
    <row r="173" spans="1:9">
      <c r="A173" s="48"/>
    </row>
    <row r="174" spans="1:9">
      <c r="A174" s="48"/>
    </row>
    <row r="175" spans="1:9">
      <c r="A175" s="48"/>
    </row>
    <row r="176" spans="1:9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  <row r="321" spans="1:1">
      <c r="A321" s="48"/>
    </row>
    <row r="322" spans="1:1">
      <c r="A322" s="48"/>
    </row>
    <row r="323" spans="1:1">
      <c r="A323" s="48"/>
    </row>
    <row r="324" spans="1:1">
      <c r="A324" s="48"/>
    </row>
    <row r="325" spans="1:1">
      <c r="A325" s="48"/>
    </row>
    <row r="326" spans="1:1">
      <c r="A326" s="48"/>
    </row>
    <row r="327" spans="1:1">
      <c r="A327" s="48"/>
    </row>
    <row r="328" spans="1:1">
      <c r="A328" s="48"/>
    </row>
    <row r="329" spans="1:1">
      <c r="A329" s="48"/>
    </row>
    <row r="330" spans="1:1">
      <c r="A330" s="48"/>
    </row>
    <row r="331" spans="1:1">
      <c r="A331" s="48"/>
    </row>
    <row r="332" spans="1:1">
      <c r="A332" s="48"/>
    </row>
  </sheetData>
  <sheetProtection formatCells="0" formatColumns="0" formatRows="0" insertRows="0" deleteRows="0"/>
  <mergeCells count="16">
    <mergeCell ref="A1:J1"/>
    <mergeCell ref="C107:E107"/>
    <mergeCell ref="G107:I107"/>
    <mergeCell ref="J3:J4"/>
    <mergeCell ref="A6:J6"/>
    <mergeCell ref="A81:J81"/>
    <mergeCell ref="A87:J87"/>
    <mergeCell ref="B3:B4"/>
    <mergeCell ref="A3:A4"/>
    <mergeCell ref="C3:C4"/>
    <mergeCell ref="F3:I3"/>
    <mergeCell ref="A94:J94"/>
    <mergeCell ref="C106:E106"/>
    <mergeCell ref="G106:I106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92"/>
  <sheetViews>
    <sheetView view="pageBreakPreview" zoomScale="75" zoomScaleNormal="65" zoomScaleSheetLayoutView="50" workbookViewId="0">
      <pane ySplit="5" topLeftCell="A6" activePane="bottomLeft" state="frozen"/>
      <selection pane="bottomLeft" activeCell="F29" sqref="F29"/>
    </sheetView>
  </sheetViews>
  <sheetFormatPr defaultColWidth="77.85546875" defaultRowHeight="18.75" outlineLevelRow="1"/>
  <cols>
    <col min="1" max="1" width="61.28515625" style="43" customWidth="1"/>
    <col min="2" max="2" width="15.28515625" style="46" customWidth="1"/>
    <col min="3" max="3" width="13" style="46" customWidth="1"/>
    <col min="4" max="4" width="14.85546875" style="46" customWidth="1"/>
    <col min="5" max="5" width="13.42578125" style="234" customWidth="1"/>
    <col min="6" max="6" width="13.7109375" style="43" customWidth="1"/>
    <col min="7" max="7" width="13.28515625" style="43" customWidth="1"/>
    <col min="8" max="8" width="13" style="43" customWidth="1"/>
    <col min="9" max="9" width="11.7109375" style="43" customWidth="1"/>
    <col min="10" max="10" width="10" style="43" customWidth="1"/>
    <col min="11" max="11" width="9.5703125" style="43" customWidth="1"/>
    <col min="12" max="254" width="9.140625" style="43" customWidth="1"/>
    <col min="255" max="16384" width="77.85546875" style="43"/>
  </cols>
  <sheetData>
    <row r="1" spans="1:9">
      <c r="A1" s="341" t="s">
        <v>377</v>
      </c>
      <c r="B1" s="341"/>
      <c r="C1" s="341"/>
      <c r="D1" s="341"/>
      <c r="E1" s="341"/>
      <c r="F1" s="341"/>
      <c r="G1" s="341"/>
      <c r="H1" s="341"/>
      <c r="I1" s="341"/>
    </row>
    <row r="2" spans="1:9" outlineLevel="1">
      <c r="A2" s="42"/>
      <c r="B2" s="51"/>
      <c r="C2" s="42"/>
      <c r="D2" s="42"/>
      <c r="E2" s="275"/>
      <c r="F2" s="42"/>
      <c r="G2" s="42"/>
      <c r="H2" s="42"/>
      <c r="I2" s="42"/>
    </row>
    <row r="3" spans="1:9" ht="38.25" customHeight="1">
      <c r="A3" s="342" t="s">
        <v>277</v>
      </c>
      <c r="B3" s="343" t="s">
        <v>18</v>
      </c>
      <c r="C3" s="343" t="s">
        <v>32</v>
      </c>
      <c r="D3" s="343" t="s">
        <v>40</v>
      </c>
      <c r="E3" s="344" t="s">
        <v>185</v>
      </c>
      <c r="F3" s="345" t="s">
        <v>373</v>
      </c>
      <c r="G3" s="345"/>
      <c r="H3" s="345"/>
      <c r="I3" s="345"/>
    </row>
    <row r="4" spans="1:9" ht="50.25" customHeight="1">
      <c r="A4" s="342"/>
      <c r="B4" s="343"/>
      <c r="C4" s="343"/>
      <c r="D4" s="343"/>
      <c r="E4" s="344"/>
      <c r="F4" s="11" t="s">
        <v>374</v>
      </c>
      <c r="G4" s="11" t="s">
        <v>375</v>
      </c>
      <c r="H4" s="11" t="s">
        <v>376</v>
      </c>
      <c r="I4" s="11" t="s">
        <v>87</v>
      </c>
    </row>
    <row r="5" spans="1:9" ht="18" customHeight="1">
      <c r="A5" s="49">
        <v>1</v>
      </c>
      <c r="B5" s="50">
        <v>2</v>
      </c>
      <c r="C5" s="50">
        <v>3</v>
      </c>
      <c r="D5" s="50">
        <v>4</v>
      </c>
      <c r="E5" s="276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37" t="s">
        <v>169</v>
      </c>
      <c r="B6" s="338"/>
      <c r="C6" s="338"/>
      <c r="D6" s="338"/>
      <c r="E6" s="338"/>
      <c r="F6" s="338"/>
      <c r="G6" s="338"/>
      <c r="H6" s="338"/>
      <c r="I6" s="339"/>
    </row>
    <row r="7" spans="1:9" ht="42.75" customHeight="1">
      <c r="A7" s="56" t="s">
        <v>63</v>
      </c>
      <c r="B7" s="7">
        <v>2000</v>
      </c>
      <c r="C7" s="188">
        <v>-220</v>
      </c>
      <c r="D7" s="188">
        <v>-378</v>
      </c>
      <c r="E7" s="277">
        <v>-220</v>
      </c>
      <c r="F7" s="223">
        <f>E17</f>
        <v>-371</v>
      </c>
      <c r="G7" s="223">
        <f>E17</f>
        <v>-371</v>
      </c>
      <c r="H7" s="223">
        <f>E17</f>
        <v>-371</v>
      </c>
      <c r="I7" s="223">
        <f>E17</f>
        <v>-371</v>
      </c>
    </row>
    <row r="8" spans="1:9" ht="37.5">
      <c r="A8" s="44" t="s">
        <v>226</v>
      </c>
      <c r="B8" s="7">
        <v>2010</v>
      </c>
      <c r="C8" s="187">
        <f>C9+C10</f>
        <v>0</v>
      </c>
      <c r="D8" s="187">
        <f t="shared" ref="D8:I8" si="0">D9+D10</f>
        <v>0</v>
      </c>
      <c r="E8" s="270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87">
        <f t="shared" si="0"/>
        <v>0</v>
      </c>
    </row>
    <row r="9" spans="1:9" ht="42.75" customHeight="1">
      <c r="A9" s="8" t="s">
        <v>379</v>
      </c>
      <c r="B9" s="7">
        <v>2011</v>
      </c>
      <c r="C9" s="188"/>
      <c r="D9" s="188"/>
      <c r="E9" s="229"/>
      <c r="F9" s="188">
        <f>ROUND('I. Фін результат'!F78*15%,0)</f>
        <v>0</v>
      </c>
      <c r="G9" s="188">
        <f>ROUND('I. Фін результат'!G78*15%,0)</f>
        <v>0</v>
      </c>
      <c r="H9" s="188">
        <f>ROUND('I. Фін результат'!H78*15%,0)</f>
        <v>0</v>
      </c>
      <c r="I9" s="188">
        <f>ROUND('I. Фін результат'!I78*15%,0)</f>
        <v>0</v>
      </c>
    </row>
    <row r="10" spans="1:9" ht="93.75">
      <c r="A10" s="8" t="s">
        <v>380</v>
      </c>
      <c r="B10" s="7">
        <v>2012</v>
      </c>
      <c r="C10" s="188"/>
      <c r="D10" s="188"/>
      <c r="E10" s="229"/>
      <c r="F10" s="188">
        <f>ROUND(('I. Фін результат'!F78-'ІІ. Розр. з бюджетом'!F9)*60%,0)</f>
        <v>0</v>
      </c>
      <c r="G10" s="188">
        <f>ROUND(('I. Фін результат'!G78-'ІІ. Розр. з бюджетом'!G9)*60%,0)</f>
        <v>0</v>
      </c>
      <c r="H10" s="188">
        <f>ROUND(('I. Фін результат'!H78-'ІІ. Розр. з бюджетом'!H9)*60%,0)</f>
        <v>0</v>
      </c>
      <c r="I10" s="188">
        <f>ROUND(('I. Фін результат'!I78-'ІІ. Розр. з бюджетом'!I9)*60%,0)</f>
        <v>0</v>
      </c>
    </row>
    <row r="11" spans="1:9" ht="20.100000000000001" customHeight="1">
      <c r="A11" s="8" t="s">
        <v>212</v>
      </c>
      <c r="B11" s="7">
        <v>2020</v>
      </c>
      <c r="C11" s="188"/>
      <c r="D11" s="188"/>
      <c r="E11" s="229"/>
      <c r="F11" s="188"/>
      <c r="G11" s="188"/>
      <c r="H11" s="188"/>
      <c r="I11" s="188"/>
    </row>
    <row r="12" spans="1:9" s="45" customFormat="1" ht="20.100000000000001" customHeight="1">
      <c r="A12" s="44" t="s">
        <v>76</v>
      </c>
      <c r="B12" s="7">
        <v>2030</v>
      </c>
      <c r="C12" s="188"/>
      <c r="D12" s="188"/>
      <c r="E12" s="229"/>
      <c r="F12" s="188"/>
      <c r="G12" s="188"/>
      <c r="H12" s="188"/>
      <c r="I12" s="188"/>
    </row>
    <row r="13" spans="1:9" ht="37.5">
      <c r="A13" s="44" t="s">
        <v>149</v>
      </c>
      <c r="B13" s="7">
        <v>2031</v>
      </c>
      <c r="C13" s="188"/>
      <c r="D13" s="188"/>
      <c r="E13" s="229"/>
      <c r="F13" s="188"/>
      <c r="G13" s="188"/>
      <c r="H13" s="188"/>
      <c r="I13" s="188"/>
    </row>
    <row r="14" spans="1:9" ht="20.100000000000001" customHeight="1">
      <c r="A14" s="44" t="s">
        <v>27</v>
      </c>
      <c r="B14" s="7">
        <v>2040</v>
      </c>
      <c r="C14" s="188"/>
      <c r="D14" s="188"/>
      <c r="E14" s="229"/>
      <c r="F14" s="188"/>
      <c r="G14" s="188"/>
      <c r="H14" s="188"/>
      <c r="I14" s="188"/>
    </row>
    <row r="15" spans="1:9" ht="20.100000000000001" customHeight="1">
      <c r="A15" s="182" t="s">
        <v>130</v>
      </c>
      <c r="B15" s="7">
        <v>2050</v>
      </c>
      <c r="C15" s="188"/>
      <c r="D15" s="188"/>
      <c r="E15" s="229"/>
      <c r="F15" s="188"/>
      <c r="G15" s="188"/>
      <c r="H15" s="188"/>
      <c r="I15" s="188"/>
    </row>
    <row r="16" spans="1:9" ht="20.100000000000001" customHeight="1">
      <c r="A16" s="182" t="s">
        <v>131</v>
      </c>
      <c r="B16" s="7">
        <v>2060</v>
      </c>
      <c r="C16" s="188"/>
      <c r="D16" s="188"/>
      <c r="E16" s="229"/>
      <c r="F16" s="188"/>
      <c r="G16" s="188"/>
      <c r="H16" s="188"/>
      <c r="I16" s="188"/>
    </row>
    <row r="17" spans="1:10" ht="42.75" customHeight="1">
      <c r="A17" s="56" t="s">
        <v>64</v>
      </c>
      <c r="B17" s="92">
        <v>2070</v>
      </c>
      <c r="C17" s="224">
        <f>'I. Фін результат'!C77+'ІІ.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-378</v>
      </c>
      <c r="D17" s="224">
        <f>'I. Фін результат'!D77+'ІІ.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-378</v>
      </c>
      <c r="E17" s="278">
        <f>'I. Фін результат'!E77+'ІІ.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-371</v>
      </c>
      <c r="F17" s="224">
        <f>'I. Фін результат'!F77+'ІІ.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-371</v>
      </c>
      <c r="G17" s="224">
        <f>'I. Фін результат'!G77+'ІІ.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-371</v>
      </c>
      <c r="H17" s="224">
        <f>'I. Фін результат'!H77+'ІІ.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-371</v>
      </c>
      <c r="I17" s="224">
        <f>'I. Фін результат'!I77+'ІІ.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-371</v>
      </c>
    </row>
    <row r="18" spans="1:10" ht="20.100000000000001" customHeight="1">
      <c r="A18" s="337" t="s">
        <v>170</v>
      </c>
      <c r="B18" s="338"/>
      <c r="C18" s="338"/>
      <c r="D18" s="338"/>
      <c r="E18" s="338"/>
      <c r="F18" s="338"/>
      <c r="G18" s="338"/>
      <c r="H18" s="338"/>
      <c r="I18" s="339"/>
    </row>
    <row r="19" spans="1:10" ht="37.5">
      <c r="A19" s="182" t="s">
        <v>226</v>
      </c>
      <c r="B19" s="168">
        <v>2100</v>
      </c>
      <c r="C19" s="187">
        <f t="shared" ref="C19:I19" si="1">SUM(C20:C21)</f>
        <v>0</v>
      </c>
      <c r="D19" s="187">
        <f t="shared" si="1"/>
        <v>0</v>
      </c>
      <c r="E19" s="270">
        <f t="shared" si="1"/>
        <v>0</v>
      </c>
      <c r="F19" s="187">
        <f t="shared" si="1"/>
        <v>0</v>
      </c>
      <c r="G19" s="187">
        <f t="shared" si="1"/>
        <v>0</v>
      </c>
      <c r="H19" s="187">
        <f t="shared" si="1"/>
        <v>0</v>
      </c>
      <c r="I19" s="187">
        <f t="shared" si="1"/>
        <v>0</v>
      </c>
    </row>
    <row r="20" spans="1:10" ht="42.75" customHeight="1">
      <c r="A20" s="72" t="s">
        <v>379</v>
      </c>
      <c r="B20" s="168">
        <v>2101</v>
      </c>
      <c r="C20" s="187">
        <f>C9</f>
        <v>0</v>
      </c>
      <c r="D20" s="187">
        <f t="shared" ref="D20:I20" si="2">D9</f>
        <v>0</v>
      </c>
      <c r="E20" s="270">
        <f t="shared" si="2"/>
        <v>0</v>
      </c>
      <c r="F20" s="187">
        <f t="shared" si="2"/>
        <v>0</v>
      </c>
      <c r="G20" s="187">
        <f t="shared" si="2"/>
        <v>0</v>
      </c>
      <c r="H20" s="187">
        <f t="shared" si="2"/>
        <v>0</v>
      </c>
      <c r="I20" s="187">
        <f t="shared" si="2"/>
        <v>0</v>
      </c>
    </row>
    <row r="21" spans="1:10" ht="93.75">
      <c r="A21" s="72" t="s">
        <v>380</v>
      </c>
      <c r="B21" s="168">
        <v>2102</v>
      </c>
      <c r="C21" s="187">
        <f>C10</f>
        <v>0</v>
      </c>
      <c r="D21" s="187">
        <f t="shared" ref="D21:I21" si="3">D10</f>
        <v>0</v>
      </c>
      <c r="E21" s="270">
        <f t="shared" si="3"/>
        <v>0</v>
      </c>
      <c r="F21" s="187">
        <f t="shared" si="3"/>
        <v>0</v>
      </c>
      <c r="G21" s="187">
        <f t="shared" si="3"/>
        <v>0</v>
      </c>
      <c r="H21" s="187">
        <f t="shared" si="3"/>
        <v>0</v>
      </c>
      <c r="I21" s="187">
        <f t="shared" si="3"/>
        <v>0</v>
      </c>
    </row>
    <row r="22" spans="1:10" s="45" customFormat="1" ht="20.100000000000001" customHeight="1">
      <c r="A22" s="182" t="s">
        <v>172</v>
      </c>
      <c r="B22" s="183">
        <v>2110</v>
      </c>
      <c r="C22" s="187">
        <f>'I. Фін результат'!C75</f>
        <v>0</v>
      </c>
      <c r="D22" s="187">
        <f>'I. Фін результат'!D75</f>
        <v>0</v>
      </c>
      <c r="E22" s="270">
        <f>'I. Фін результат'!E75</f>
        <v>0</v>
      </c>
      <c r="F22" s="187">
        <f>'I. Фін результат'!F75</f>
        <v>0</v>
      </c>
      <c r="G22" s="187">
        <f>'I. Фін результат'!G75</f>
        <v>0</v>
      </c>
      <c r="H22" s="187">
        <f>'I. Фін результат'!H75</f>
        <v>0</v>
      </c>
      <c r="I22" s="187">
        <f>'I. Фін результат'!I75</f>
        <v>0</v>
      </c>
    </row>
    <row r="23" spans="1:10" ht="56.25">
      <c r="A23" s="182" t="s">
        <v>343</v>
      </c>
      <c r="B23" s="183">
        <v>2120</v>
      </c>
      <c r="C23" s="188"/>
      <c r="D23" s="188"/>
      <c r="E23" s="229"/>
      <c r="F23" s="188"/>
      <c r="G23" s="188"/>
      <c r="H23" s="188"/>
      <c r="I23" s="188"/>
    </row>
    <row r="24" spans="1:10" ht="56.25">
      <c r="A24" s="182" t="s">
        <v>344</v>
      </c>
      <c r="B24" s="183">
        <v>2130</v>
      </c>
      <c r="C24" s="188"/>
      <c r="D24" s="188"/>
      <c r="E24" s="229"/>
      <c r="F24" s="188"/>
      <c r="G24" s="188"/>
      <c r="H24" s="188"/>
      <c r="I24" s="188"/>
    </row>
    <row r="25" spans="1:10" s="47" customFormat="1" ht="56.25">
      <c r="A25" s="184" t="s">
        <v>263</v>
      </c>
      <c r="B25" s="185">
        <v>2140</v>
      </c>
      <c r="C25" s="189">
        <f t="shared" ref="C25:I25" si="4">SUM(C26:C30,C33,C34)</f>
        <v>432</v>
      </c>
      <c r="D25" s="189">
        <f t="shared" si="4"/>
        <v>612</v>
      </c>
      <c r="E25" s="271">
        <f t="shared" si="4"/>
        <v>610</v>
      </c>
      <c r="F25" s="189">
        <f t="shared" si="4"/>
        <v>168</v>
      </c>
      <c r="G25" s="189">
        <f t="shared" si="4"/>
        <v>337</v>
      </c>
      <c r="H25" s="189">
        <f t="shared" si="4"/>
        <v>505</v>
      </c>
      <c r="I25" s="189">
        <f t="shared" si="4"/>
        <v>673</v>
      </c>
      <c r="J25" s="43"/>
    </row>
    <row r="26" spans="1:10" ht="20.100000000000001" customHeight="1">
      <c r="A26" s="182" t="s">
        <v>92</v>
      </c>
      <c r="B26" s="183">
        <v>2141</v>
      </c>
      <c r="C26" s="188"/>
      <c r="D26" s="188"/>
      <c r="E26" s="229"/>
      <c r="F26" s="188"/>
      <c r="G26" s="188"/>
      <c r="H26" s="188"/>
      <c r="I26" s="188"/>
    </row>
    <row r="27" spans="1:10" ht="20.100000000000001" customHeight="1">
      <c r="A27" s="182" t="s">
        <v>119</v>
      </c>
      <c r="B27" s="183">
        <v>2142</v>
      </c>
      <c r="C27" s="188"/>
      <c r="D27" s="188"/>
      <c r="E27" s="229"/>
      <c r="F27" s="188"/>
      <c r="G27" s="188"/>
      <c r="H27" s="188"/>
      <c r="I27" s="188"/>
    </row>
    <row r="28" spans="1:10" ht="20.100000000000001" customHeight="1">
      <c r="A28" s="182" t="s">
        <v>110</v>
      </c>
      <c r="B28" s="183">
        <v>2143</v>
      </c>
      <c r="C28" s="188"/>
      <c r="D28" s="188"/>
      <c r="E28" s="229"/>
      <c r="F28" s="188"/>
      <c r="G28" s="188"/>
      <c r="H28" s="188"/>
      <c r="I28" s="188"/>
    </row>
    <row r="29" spans="1:10" ht="20.100000000000001" customHeight="1">
      <c r="A29" s="182" t="s">
        <v>90</v>
      </c>
      <c r="B29" s="183">
        <v>2144</v>
      </c>
      <c r="C29" s="188">
        <v>399</v>
      </c>
      <c r="D29" s="188">
        <v>565</v>
      </c>
      <c r="E29" s="277">
        <v>563</v>
      </c>
      <c r="F29" s="190">
        <f>ROUND(Лист1!C18,0)</f>
        <v>155</v>
      </c>
      <c r="G29" s="190">
        <f>ROUND(Лист1!D18,0)</f>
        <v>311</v>
      </c>
      <c r="H29" s="190">
        <f>ROUND(Лист1!E18,0)</f>
        <v>466</v>
      </c>
      <c r="I29" s="190">
        <f>ROUND(Лист1!F18,0)</f>
        <v>621</v>
      </c>
    </row>
    <row r="30" spans="1:10" s="45" customFormat="1" ht="20.100000000000001" customHeight="1">
      <c r="A30" s="182" t="s">
        <v>192</v>
      </c>
      <c r="B30" s="183">
        <v>2145</v>
      </c>
      <c r="C30" s="188"/>
      <c r="D30" s="188"/>
      <c r="E30" s="229"/>
      <c r="F30" s="188"/>
      <c r="G30" s="188"/>
      <c r="H30" s="188"/>
      <c r="I30" s="188"/>
    </row>
    <row r="31" spans="1:10" ht="56.25">
      <c r="A31" s="182" t="s">
        <v>274</v>
      </c>
      <c r="B31" s="183" t="s">
        <v>241</v>
      </c>
      <c r="C31" s="188"/>
      <c r="D31" s="188"/>
      <c r="E31" s="229"/>
      <c r="F31" s="188"/>
      <c r="G31" s="188"/>
      <c r="H31" s="188"/>
      <c r="I31" s="188"/>
    </row>
    <row r="32" spans="1:10" ht="20.100000000000001" customHeight="1">
      <c r="A32" s="182" t="s">
        <v>28</v>
      </c>
      <c r="B32" s="183" t="s">
        <v>242</v>
      </c>
      <c r="C32" s="188"/>
      <c r="D32" s="188"/>
      <c r="E32" s="229"/>
      <c r="F32" s="188"/>
      <c r="G32" s="188"/>
      <c r="H32" s="188"/>
      <c r="I32" s="188"/>
    </row>
    <row r="33" spans="1:11" s="45" customFormat="1" ht="20.100000000000001" customHeight="1">
      <c r="A33" s="182" t="s">
        <v>132</v>
      </c>
      <c r="B33" s="183">
        <v>2146</v>
      </c>
      <c r="C33" s="188"/>
      <c r="D33" s="188"/>
      <c r="E33" s="229"/>
      <c r="F33" s="188"/>
      <c r="G33" s="188"/>
      <c r="H33" s="188"/>
      <c r="I33" s="188"/>
    </row>
    <row r="34" spans="1:11" ht="20.100000000000001" customHeight="1">
      <c r="A34" s="182" t="s">
        <v>98</v>
      </c>
      <c r="B34" s="183">
        <v>2147</v>
      </c>
      <c r="C34" s="188">
        <v>33</v>
      </c>
      <c r="D34" s="188">
        <v>47</v>
      </c>
      <c r="E34" s="229">
        <v>47</v>
      </c>
      <c r="F34" s="225">
        <v>13</v>
      </c>
      <c r="G34" s="225">
        <v>26</v>
      </c>
      <c r="H34" s="225">
        <v>39</v>
      </c>
      <c r="I34" s="225">
        <v>52</v>
      </c>
    </row>
    <row r="35" spans="1:11" ht="20.100000000000001" customHeight="1">
      <c r="A35" s="182" t="s">
        <v>428</v>
      </c>
      <c r="B35" s="183"/>
      <c r="C35" s="188"/>
      <c r="D35" s="188"/>
      <c r="E35" s="229"/>
      <c r="F35" s="188"/>
      <c r="G35" s="188"/>
      <c r="H35" s="188"/>
      <c r="I35" s="188"/>
    </row>
    <row r="36" spans="1:11" ht="20.100000000000001" customHeight="1">
      <c r="A36" s="182" t="s">
        <v>391</v>
      </c>
      <c r="B36" s="183" t="s">
        <v>401</v>
      </c>
      <c r="C36" s="188">
        <v>33</v>
      </c>
      <c r="D36" s="188">
        <v>47</v>
      </c>
      <c r="E36" s="277">
        <v>47</v>
      </c>
      <c r="F36" s="190">
        <f>ROUND(Лист1!C19,0)</f>
        <v>13</v>
      </c>
      <c r="G36" s="190">
        <f>ROUND(Лист1!D19,0)</f>
        <v>26</v>
      </c>
      <c r="H36" s="190">
        <f>ROUND(Лист1!E19,0)</f>
        <v>39</v>
      </c>
      <c r="I36" s="190">
        <f>ROUND(Лист1!F19,0)</f>
        <v>52</v>
      </c>
    </row>
    <row r="37" spans="1:11" s="45" customFormat="1" ht="37.5">
      <c r="A37" s="182" t="s">
        <v>91</v>
      </c>
      <c r="B37" s="183">
        <v>2150</v>
      </c>
      <c r="C37" s="188">
        <v>702</v>
      </c>
      <c r="D37" s="188">
        <v>681</v>
      </c>
      <c r="E37" s="277">
        <v>681</v>
      </c>
      <c r="F37" s="190">
        <f>ROUND(Лист1!C17,0)</f>
        <v>187</v>
      </c>
      <c r="G37" s="190">
        <f>ROUND(Лист1!D17,0)</f>
        <v>375</v>
      </c>
      <c r="H37" s="190">
        <f>ROUND(Лист1!E17,0)</f>
        <v>562</v>
      </c>
      <c r="I37" s="190">
        <f>ROUND(Лист1!F17,0)</f>
        <v>750</v>
      </c>
    </row>
    <row r="38" spans="1:11" s="45" customFormat="1" ht="20.100000000000001" customHeight="1">
      <c r="A38" s="184" t="s">
        <v>370</v>
      </c>
      <c r="B38" s="185">
        <v>2200</v>
      </c>
      <c r="C38" s="200">
        <f t="shared" ref="C38:I38" si="5">SUM(C19,C22:C24,C25,C37)</f>
        <v>1134</v>
      </c>
      <c r="D38" s="200">
        <f t="shared" si="5"/>
        <v>1293</v>
      </c>
      <c r="E38" s="269">
        <f t="shared" si="5"/>
        <v>1291</v>
      </c>
      <c r="F38" s="200">
        <f t="shared" si="5"/>
        <v>355</v>
      </c>
      <c r="G38" s="200">
        <f t="shared" si="5"/>
        <v>712</v>
      </c>
      <c r="H38" s="200">
        <f t="shared" si="5"/>
        <v>1067</v>
      </c>
      <c r="I38" s="200">
        <f t="shared" si="5"/>
        <v>1423</v>
      </c>
      <c r="J38" s="43"/>
    </row>
    <row r="39" spans="1:11" s="45" customFormat="1" ht="20.100000000000001" customHeight="1">
      <c r="A39" s="151"/>
      <c r="B39" s="152"/>
      <c r="C39" s="153"/>
      <c r="D39" s="154"/>
      <c r="E39" s="279"/>
      <c r="F39" s="154"/>
      <c r="G39" s="154"/>
      <c r="H39" s="154"/>
      <c r="I39" s="154"/>
    </row>
    <row r="40" spans="1:11" s="45" customFormat="1" ht="20.100000000000001" customHeight="1">
      <c r="A40" s="151"/>
      <c r="B40" s="152"/>
      <c r="C40" s="153"/>
      <c r="D40" s="154"/>
      <c r="E40" s="279"/>
      <c r="F40" s="154"/>
      <c r="G40" s="154"/>
      <c r="H40" s="154"/>
      <c r="I40" s="154"/>
    </row>
    <row r="41" spans="1:11" s="2" customFormat="1" ht="20.100000000000001" customHeight="1">
      <c r="A41" s="139" t="s">
        <v>509</v>
      </c>
      <c r="B41" s="140"/>
      <c r="C41" s="333" t="s">
        <v>120</v>
      </c>
      <c r="D41" s="340"/>
      <c r="E41" s="340"/>
      <c r="F41" s="141"/>
      <c r="G41" s="334" t="s">
        <v>417</v>
      </c>
      <c r="H41" s="334"/>
      <c r="I41" s="334"/>
    </row>
    <row r="42" spans="1:11" s="1" customFormat="1" ht="20.100000000000001" customHeight="1">
      <c r="A42" s="97" t="s">
        <v>308</v>
      </c>
      <c r="B42" s="110"/>
      <c r="C42" s="329" t="s">
        <v>307</v>
      </c>
      <c r="D42" s="329"/>
      <c r="E42" s="329"/>
      <c r="F42" s="142"/>
      <c r="G42" s="291" t="s">
        <v>116</v>
      </c>
      <c r="H42" s="291"/>
      <c r="I42" s="291"/>
    </row>
    <row r="43" spans="1:11" s="46" customFormat="1">
      <c r="A43" s="59"/>
      <c r="E43" s="234"/>
      <c r="F43" s="43"/>
      <c r="G43" s="43"/>
      <c r="H43" s="43"/>
      <c r="I43" s="43"/>
      <c r="J43" s="43"/>
      <c r="K43" s="43"/>
    </row>
    <row r="44" spans="1:11" s="46" customFormat="1">
      <c r="A44" s="59"/>
      <c r="E44" s="234"/>
      <c r="F44" s="43"/>
      <c r="G44" s="43"/>
      <c r="H44" s="43"/>
      <c r="I44" s="43"/>
      <c r="J44" s="43"/>
      <c r="K44" s="43"/>
    </row>
    <row r="45" spans="1:11" s="46" customFormat="1">
      <c r="A45" s="59"/>
      <c r="E45" s="234"/>
      <c r="F45" s="43"/>
      <c r="G45" s="43"/>
      <c r="H45" s="43"/>
      <c r="I45" s="43"/>
      <c r="J45" s="43"/>
      <c r="K45" s="43"/>
    </row>
    <row r="46" spans="1:11" s="46" customFormat="1">
      <c r="A46" s="59"/>
      <c r="E46" s="234"/>
      <c r="F46" s="43"/>
      <c r="G46" s="43"/>
      <c r="H46" s="43"/>
      <c r="I46" s="43"/>
      <c r="J46" s="43"/>
      <c r="K46" s="43"/>
    </row>
    <row r="47" spans="1:11" s="46" customFormat="1">
      <c r="A47" s="59"/>
      <c r="E47" s="234"/>
      <c r="F47" s="43"/>
      <c r="G47" s="43"/>
      <c r="H47" s="43"/>
      <c r="I47" s="43"/>
      <c r="J47" s="43"/>
      <c r="K47" s="43"/>
    </row>
    <row r="48" spans="1:11" s="46" customFormat="1">
      <c r="A48" s="59"/>
      <c r="E48" s="234"/>
      <c r="F48" s="43"/>
      <c r="G48" s="43"/>
      <c r="H48" s="43"/>
      <c r="I48" s="43"/>
      <c r="J48" s="43"/>
      <c r="K48" s="43"/>
    </row>
    <row r="49" spans="1:11" s="46" customFormat="1">
      <c r="A49" s="59"/>
      <c r="E49" s="234"/>
      <c r="F49" s="43"/>
      <c r="G49" s="43"/>
      <c r="H49" s="43"/>
      <c r="I49" s="43"/>
      <c r="J49" s="43"/>
      <c r="K49" s="43"/>
    </row>
    <row r="50" spans="1:11" s="46" customFormat="1">
      <c r="A50" s="59"/>
      <c r="E50" s="234"/>
      <c r="F50" s="43"/>
      <c r="G50" s="43"/>
      <c r="H50" s="43"/>
      <c r="I50" s="43"/>
      <c r="J50" s="43"/>
      <c r="K50" s="43"/>
    </row>
    <row r="51" spans="1:11" s="46" customFormat="1">
      <c r="A51" s="59"/>
      <c r="E51" s="234"/>
      <c r="F51" s="43"/>
      <c r="G51" s="43"/>
      <c r="H51" s="43"/>
      <c r="I51" s="43"/>
      <c r="J51" s="43"/>
      <c r="K51" s="43"/>
    </row>
    <row r="52" spans="1:11" s="46" customFormat="1">
      <c r="A52" s="59"/>
      <c r="E52" s="234"/>
      <c r="F52" s="43"/>
      <c r="G52" s="43"/>
      <c r="H52" s="43"/>
      <c r="I52" s="43"/>
      <c r="J52" s="43"/>
      <c r="K52" s="43"/>
    </row>
    <row r="53" spans="1:11" s="46" customFormat="1">
      <c r="A53" s="59"/>
      <c r="E53" s="234"/>
      <c r="F53" s="43"/>
      <c r="G53" s="43"/>
      <c r="H53" s="43"/>
      <c r="I53" s="43"/>
      <c r="J53" s="43"/>
      <c r="K53" s="43"/>
    </row>
    <row r="54" spans="1:11" s="46" customFormat="1">
      <c r="A54" s="59"/>
      <c r="E54" s="234"/>
      <c r="F54" s="43"/>
      <c r="G54" s="43"/>
      <c r="H54" s="43"/>
      <c r="I54" s="43"/>
      <c r="J54" s="43"/>
      <c r="K54" s="43"/>
    </row>
    <row r="55" spans="1:11" s="46" customFormat="1">
      <c r="A55" s="59"/>
      <c r="E55" s="234"/>
      <c r="F55" s="43"/>
      <c r="G55" s="43"/>
      <c r="H55" s="43"/>
      <c r="I55" s="43"/>
      <c r="J55" s="43"/>
      <c r="K55" s="43"/>
    </row>
    <row r="56" spans="1:11" s="46" customFormat="1">
      <c r="A56" s="59"/>
      <c r="E56" s="234"/>
      <c r="F56" s="43"/>
      <c r="G56" s="43"/>
      <c r="H56" s="43"/>
      <c r="I56" s="43"/>
      <c r="J56" s="43"/>
      <c r="K56" s="43"/>
    </row>
    <row r="57" spans="1:11" s="46" customFormat="1">
      <c r="A57" s="59"/>
      <c r="E57" s="234"/>
      <c r="F57" s="43"/>
      <c r="G57" s="43"/>
      <c r="H57" s="43"/>
      <c r="I57" s="43"/>
      <c r="J57" s="43"/>
      <c r="K57" s="43"/>
    </row>
    <row r="58" spans="1:11" s="46" customFormat="1">
      <c r="A58" s="59"/>
      <c r="E58" s="234"/>
      <c r="F58" s="43"/>
      <c r="G58" s="43"/>
      <c r="H58" s="43"/>
      <c r="I58" s="43"/>
      <c r="J58" s="43"/>
      <c r="K58" s="43"/>
    </row>
    <row r="59" spans="1:11" s="46" customFormat="1">
      <c r="A59" s="59"/>
      <c r="E59" s="234"/>
      <c r="F59" s="43"/>
      <c r="G59" s="43"/>
      <c r="H59" s="43"/>
      <c r="I59" s="43"/>
      <c r="J59" s="43"/>
      <c r="K59" s="43"/>
    </row>
    <row r="60" spans="1:11" s="46" customFormat="1">
      <c r="A60" s="59"/>
      <c r="E60" s="234"/>
      <c r="F60" s="43"/>
      <c r="G60" s="43"/>
      <c r="H60" s="43"/>
      <c r="I60" s="43"/>
      <c r="J60" s="43"/>
      <c r="K60" s="43"/>
    </row>
    <row r="61" spans="1:11" s="46" customFormat="1">
      <c r="A61" s="59"/>
      <c r="E61" s="234"/>
      <c r="F61" s="43"/>
      <c r="G61" s="43"/>
      <c r="H61" s="43"/>
      <c r="I61" s="43"/>
      <c r="J61" s="43"/>
      <c r="K61" s="43"/>
    </row>
    <row r="62" spans="1:11" s="46" customFormat="1">
      <c r="A62" s="59"/>
      <c r="E62" s="234"/>
      <c r="F62" s="43"/>
      <c r="G62" s="43"/>
      <c r="H62" s="43"/>
      <c r="I62" s="43"/>
      <c r="J62" s="43"/>
      <c r="K62" s="43"/>
    </row>
    <row r="63" spans="1:11" s="46" customFormat="1">
      <c r="A63" s="59"/>
      <c r="E63" s="234"/>
      <c r="F63" s="43"/>
      <c r="G63" s="43"/>
      <c r="H63" s="43"/>
      <c r="I63" s="43"/>
      <c r="J63" s="43"/>
      <c r="K63" s="43"/>
    </row>
    <row r="64" spans="1:11" s="46" customFormat="1">
      <c r="A64" s="59"/>
      <c r="E64" s="234"/>
      <c r="F64" s="43"/>
      <c r="G64" s="43"/>
      <c r="H64" s="43"/>
      <c r="I64" s="43"/>
      <c r="J64" s="43"/>
      <c r="K64" s="43"/>
    </row>
    <row r="65" spans="1:11" s="46" customFormat="1">
      <c r="A65" s="59"/>
      <c r="E65" s="234"/>
      <c r="F65" s="43"/>
      <c r="G65" s="43"/>
      <c r="H65" s="43"/>
      <c r="I65" s="43"/>
      <c r="J65" s="43"/>
      <c r="K65" s="43"/>
    </row>
    <row r="66" spans="1:11" s="46" customFormat="1">
      <c r="A66" s="59"/>
      <c r="E66" s="234"/>
      <c r="F66" s="43"/>
      <c r="G66" s="43"/>
      <c r="H66" s="43"/>
      <c r="I66" s="43"/>
      <c r="J66" s="43"/>
      <c r="K66" s="43"/>
    </row>
    <row r="67" spans="1:11" s="46" customFormat="1">
      <c r="A67" s="59"/>
      <c r="E67" s="234"/>
      <c r="F67" s="43"/>
      <c r="G67" s="43"/>
      <c r="H67" s="43"/>
      <c r="I67" s="43"/>
      <c r="J67" s="43"/>
      <c r="K67" s="43"/>
    </row>
    <row r="68" spans="1:11" s="46" customFormat="1">
      <c r="A68" s="59"/>
      <c r="E68" s="234"/>
      <c r="F68" s="43"/>
      <c r="G68" s="43"/>
      <c r="H68" s="43"/>
      <c r="I68" s="43"/>
      <c r="J68" s="43"/>
      <c r="K68" s="43"/>
    </row>
    <row r="69" spans="1:11" s="46" customFormat="1">
      <c r="A69" s="59"/>
      <c r="E69" s="234"/>
      <c r="F69" s="43"/>
      <c r="G69" s="43"/>
      <c r="H69" s="43"/>
      <c r="I69" s="43"/>
      <c r="J69" s="43"/>
      <c r="K69" s="43"/>
    </row>
    <row r="70" spans="1:11" s="46" customFormat="1">
      <c r="A70" s="59"/>
      <c r="E70" s="234"/>
      <c r="F70" s="43"/>
      <c r="G70" s="43"/>
      <c r="H70" s="43"/>
      <c r="I70" s="43"/>
      <c r="J70" s="43"/>
      <c r="K70" s="43"/>
    </row>
    <row r="71" spans="1:11" s="46" customFormat="1">
      <c r="A71" s="59"/>
      <c r="E71" s="234"/>
      <c r="F71" s="43"/>
      <c r="G71" s="43"/>
      <c r="H71" s="43"/>
      <c r="I71" s="43"/>
      <c r="J71" s="43"/>
      <c r="K71" s="43"/>
    </row>
    <row r="72" spans="1:11" s="46" customFormat="1">
      <c r="A72" s="59"/>
      <c r="E72" s="234"/>
      <c r="F72" s="43"/>
      <c r="G72" s="43"/>
      <c r="H72" s="43"/>
      <c r="I72" s="43"/>
      <c r="J72" s="43"/>
      <c r="K72" s="43"/>
    </row>
    <row r="73" spans="1:11" s="46" customFormat="1">
      <c r="A73" s="59"/>
      <c r="E73" s="234"/>
      <c r="F73" s="43"/>
      <c r="G73" s="43"/>
      <c r="H73" s="43"/>
      <c r="I73" s="43"/>
      <c r="J73" s="43"/>
      <c r="K73" s="43"/>
    </row>
    <row r="74" spans="1:11" s="46" customFormat="1">
      <c r="A74" s="59"/>
      <c r="E74" s="234"/>
      <c r="F74" s="43"/>
      <c r="G74" s="43"/>
      <c r="H74" s="43"/>
      <c r="I74" s="43"/>
      <c r="J74" s="43"/>
      <c r="K74" s="43"/>
    </row>
    <row r="75" spans="1:11" s="46" customFormat="1">
      <c r="A75" s="59"/>
      <c r="E75" s="234"/>
      <c r="F75" s="43"/>
      <c r="G75" s="43"/>
      <c r="H75" s="43"/>
      <c r="I75" s="43"/>
      <c r="J75" s="43"/>
      <c r="K75" s="43"/>
    </row>
    <row r="76" spans="1:11" s="46" customFormat="1">
      <c r="A76" s="59"/>
      <c r="E76" s="234"/>
      <c r="F76" s="43"/>
      <c r="G76" s="43"/>
      <c r="H76" s="43"/>
      <c r="I76" s="43"/>
      <c r="J76" s="43"/>
      <c r="K76" s="43"/>
    </row>
    <row r="77" spans="1:11" s="46" customFormat="1">
      <c r="A77" s="59"/>
      <c r="E77" s="234"/>
      <c r="F77" s="43"/>
      <c r="G77" s="43"/>
      <c r="H77" s="43"/>
      <c r="I77" s="43"/>
      <c r="J77" s="43"/>
      <c r="K77" s="43"/>
    </row>
    <row r="78" spans="1:11" s="46" customFormat="1">
      <c r="A78" s="59"/>
      <c r="E78" s="234"/>
      <c r="F78" s="43"/>
      <c r="G78" s="43"/>
      <c r="H78" s="43"/>
      <c r="I78" s="43"/>
      <c r="J78" s="43"/>
      <c r="K78" s="43"/>
    </row>
    <row r="79" spans="1:11" s="46" customFormat="1">
      <c r="A79" s="59"/>
      <c r="E79" s="234"/>
      <c r="F79" s="43"/>
      <c r="G79" s="43"/>
      <c r="H79" s="43"/>
      <c r="I79" s="43"/>
      <c r="J79" s="43"/>
      <c r="K79" s="43"/>
    </row>
    <row r="80" spans="1:11" s="46" customFormat="1">
      <c r="A80" s="59"/>
      <c r="E80" s="234"/>
      <c r="F80" s="43"/>
      <c r="G80" s="43"/>
      <c r="H80" s="43"/>
      <c r="I80" s="43"/>
      <c r="J80" s="43"/>
      <c r="K80" s="43"/>
    </row>
    <row r="81" spans="1:11" s="46" customFormat="1">
      <c r="A81" s="59"/>
      <c r="E81" s="234"/>
      <c r="F81" s="43"/>
      <c r="G81" s="43"/>
      <c r="H81" s="43"/>
      <c r="I81" s="43"/>
      <c r="J81" s="43"/>
      <c r="K81" s="43"/>
    </row>
    <row r="82" spans="1:11" s="46" customFormat="1">
      <c r="A82" s="59"/>
      <c r="E82" s="234"/>
      <c r="F82" s="43"/>
      <c r="G82" s="43"/>
      <c r="H82" s="43"/>
      <c r="I82" s="43"/>
      <c r="J82" s="43"/>
      <c r="K82" s="43"/>
    </row>
    <row r="83" spans="1:11" s="46" customFormat="1">
      <c r="A83" s="59"/>
      <c r="E83" s="234"/>
      <c r="F83" s="43"/>
      <c r="G83" s="43"/>
      <c r="H83" s="43"/>
      <c r="I83" s="43"/>
      <c r="J83" s="43"/>
      <c r="K83" s="43"/>
    </row>
    <row r="84" spans="1:11" s="46" customFormat="1">
      <c r="A84" s="59"/>
      <c r="E84" s="234"/>
      <c r="F84" s="43"/>
      <c r="G84" s="43"/>
      <c r="H84" s="43"/>
      <c r="I84" s="43"/>
      <c r="J84" s="43"/>
      <c r="K84" s="43"/>
    </row>
    <row r="85" spans="1:11" s="46" customFormat="1">
      <c r="A85" s="59"/>
      <c r="E85" s="234"/>
      <c r="F85" s="43"/>
      <c r="G85" s="43"/>
      <c r="H85" s="43"/>
      <c r="I85" s="43"/>
      <c r="J85" s="43"/>
      <c r="K85" s="43"/>
    </row>
    <row r="86" spans="1:11" s="46" customFormat="1">
      <c r="A86" s="59"/>
      <c r="E86" s="234"/>
      <c r="F86" s="43"/>
      <c r="G86" s="43"/>
      <c r="H86" s="43"/>
      <c r="I86" s="43"/>
      <c r="J86" s="43"/>
      <c r="K86" s="43"/>
    </row>
    <row r="87" spans="1:11" s="46" customFormat="1">
      <c r="A87" s="59"/>
      <c r="E87" s="234"/>
      <c r="F87" s="43"/>
      <c r="G87" s="43"/>
      <c r="H87" s="43"/>
      <c r="I87" s="43"/>
      <c r="J87" s="43"/>
      <c r="K87" s="43"/>
    </row>
    <row r="88" spans="1:11" s="46" customFormat="1">
      <c r="A88" s="59"/>
      <c r="E88" s="234"/>
      <c r="F88" s="43"/>
      <c r="G88" s="43"/>
      <c r="H88" s="43"/>
      <c r="I88" s="43"/>
      <c r="J88" s="43"/>
      <c r="K88" s="43"/>
    </row>
    <row r="89" spans="1:11" s="46" customFormat="1">
      <c r="A89" s="59"/>
      <c r="E89" s="234"/>
      <c r="F89" s="43"/>
      <c r="G89" s="43"/>
      <c r="H89" s="43"/>
      <c r="I89" s="43"/>
      <c r="J89" s="43"/>
      <c r="K89" s="43"/>
    </row>
    <row r="90" spans="1:11" s="46" customFormat="1">
      <c r="A90" s="59"/>
      <c r="E90" s="234"/>
      <c r="F90" s="43"/>
      <c r="G90" s="43"/>
      <c r="H90" s="43"/>
      <c r="I90" s="43"/>
      <c r="J90" s="43"/>
      <c r="K90" s="43"/>
    </row>
    <row r="91" spans="1:11" s="46" customFormat="1">
      <c r="A91" s="59"/>
      <c r="E91" s="234"/>
      <c r="F91" s="43"/>
      <c r="G91" s="43"/>
      <c r="H91" s="43"/>
      <c r="I91" s="43"/>
      <c r="J91" s="43"/>
      <c r="K91" s="43"/>
    </row>
    <row r="92" spans="1:11" s="46" customFormat="1">
      <c r="A92" s="59"/>
      <c r="E92" s="234"/>
      <c r="F92" s="43"/>
      <c r="G92" s="43"/>
      <c r="H92" s="43"/>
      <c r="I92" s="43"/>
      <c r="J92" s="43"/>
      <c r="K92" s="43"/>
    </row>
    <row r="93" spans="1:11" s="46" customFormat="1">
      <c r="A93" s="59"/>
      <c r="E93" s="234"/>
      <c r="F93" s="43"/>
      <c r="G93" s="43"/>
      <c r="H93" s="43"/>
      <c r="I93" s="43"/>
      <c r="J93" s="43"/>
      <c r="K93" s="43"/>
    </row>
    <row r="94" spans="1:11" s="46" customFormat="1">
      <c r="A94" s="59"/>
      <c r="E94" s="234"/>
      <c r="F94" s="43"/>
      <c r="G94" s="43"/>
      <c r="H94" s="43"/>
      <c r="I94" s="43"/>
      <c r="J94" s="43"/>
      <c r="K94" s="43"/>
    </row>
    <row r="95" spans="1:11" s="46" customFormat="1">
      <c r="A95" s="59"/>
      <c r="E95" s="234"/>
      <c r="F95" s="43"/>
      <c r="G95" s="43"/>
      <c r="H95" s="43"/>
      <c r="I95" s="43"/>
      <c r="J95" s="43"/>
      <c r="K95" s="43"/>
    </row>
    <row r="96" spans="1:11" s="46" customFormat="1">
      <c r="A96" s="59"/>
      <c r="E96" s="234"/>
      <c r="F96" s="43"/>
      <c r="G96" s="43"/>
      <c r="H96" s="43"/>
      <c r="I96" s="43"/>
      <c r="J96" s="43"/>
      <c r="K96" s="43"/>
    </row>
    <row r="97" spans="1:11" s="46" customFormat="1">
      <c r="A97" s="59"/>
      <c r="E97" s="234"/>
      <c r="F97" s="43"/>
      <c r="G97" s="43"/>
      <c r="H97" s="43"/>
      <c r="I97" s="43"/>
      <c r="J97" s="43"/>
      <c r="K97" s="43"/>
    </row>
    <row r="98" spans="1:11" s="46" customFormat="1">
      <c r="A98" s="59"/>
      <c r="E98" s="234"/>
      <c r="F98" s="43"/>
      <c r="G98" s="43"/>
      <c r="H98" s="43"/>
      <c r="I98" s="43"/>
      <c r="J98" s="43"/>
      <c r="K98" s="43"/>
    </row>
    <row r="99" spans="1:11" s="46" customFormat="1">
      <c r="A99" s="59"/>
      <c r="E99" s="234"/>
      <c r="F99" s="43"/>
      <c r="G99" s="43"/>
      <c r="H99" s="43"/>
      <c r="I99" s="43"/>
      <c r="J99" s="43"/>
      <c r="K99" s="43"/>
    </row>
    <row r="100" spans="1:11" s="46" customFormat="1">
      <c r="A100" s="59"/>
      <c r="E100" s="234"/>
      <c r="F100" s="43"/>
      <c r="G100" s="43"/>
      <c r="H100" s="43"/>
      <c r="I100" s="43"/>
      <c r="J100" s="43"/>
      <c r="K100" s="43"/>
    </row>
    <row r="101" spans="1:11" s="46" customFormat="1">
      <c r="A101" s="59"/>
      <c r="E101" s="234"/>
      <c r="F101" s="43"/>
      <c r="G101" s="43"/>
      <c r="H101" s="43"/>
      <c r="I101" s="43"/>
      <c r="J101" s="43"/>
      <c r="K101" s="43"/>
    </row>
    <row r="102" spans="1:11" s="46" customFormat="1">
      <c r="A102" s="59"/>
      <c r="E102" s="234"/>
      <c r="F102" s="43"/>
      <c r="G102" s="43"/>
      <c r="H102" s="43"/>
      <c r="I102" s="43"/>
      <c r="J102" s="43"/>
      <c r="K102" s="43"/>
    </row>
    <row r="103" spans="1:11" s="46" customFormat="1">
      <c r="A103" s="59"/>
      <c r="E103" s="234"/>
      <c r="F103" s="43"/>
      <c r="G103" s="43"/>
      <c r="H103" s="43"/>
      <c r="I103" s="43"/>
      <c r="J103" s="43"/>
      <c r="K103" s="43"/>
    </row>
    <row r="104" spans="1:11" s="46" customFormat="1">
      <c r="A104" s="59"/>
      <c r="E104" s="234"/>
      <c r="F104" s="43"/>
      <c r="G104" s="43"/>
      <c r="H104" s="43"/>
      <c r="I104" s="43"/>
      <c r="J104" s="43"/>
      <c r="K104" s="43"/>
    </row>
    <row r="105" spans="1:11" s="46" customFormat="1">
      <c r="A105" s="59"/>
      <c r="E105" s="234"/>
      <c r="F105" s="43"/>
      <c r="G105" s="43"/>
      <c r="H105" s="43"/>
      <c r="I105" s="43"/>
      <c r="J105" s="43"/>
      <c r="K105" s="43"/>
    </row>
    <row r="106" spans="1:11" s="46" customFormat="1">
      <c r="A106" s="59"/>
      <c r="E106" s="234"/>
      <c r="F106" s="43"/>
      <c r="G106" s="43"/>
      <c r="H106" s="43"/>
      <c r="I106" s="43"/>
      <c r="J106" s="43"/>
      <c r="K106" s="43"/>
    </row>
    <row r="107" spans="1:11" s="46" customFormat="1">
      <c r="A107" s="59"/>
      <c r="E107" s="234"/>
      <c r="F107" s="43"/>
      <c r="G107" s="43"/>
      <c r="H107" s="43"/>
      <c r="I107" s="43"/>
      <c r="J107" s="43"/>
      <c r="K107" s="43"/>
    </row>
    <row r="108" spans="1:11" s="46" customFormat="1">
      <c r="A108" s="59"/>
      <c r="E108" s="234"/>
      <c r="F108" s="43"/>
      <c r="G108" s="43"/>
      <c r="H108" s="43"/>
      <c r="I108" s="43"/>
      <c r="J108" s="43"/>
      <c r="K108" s="43"/>
    </row>
    <row r="109" spans="1:11" s="46" customFormat="1">
      <c r="A109" s="59"/>
      <c r="E109" s="234"/>
      <c r="F109" s="43"/>
      <c r="G109" s="43"/>
      <c r="H109" s="43"/>
      <c r="I109" s="43"/>
      <c r="J109" s="43"/>
      <c r="K109" s="43"/>
    </row>
    <row r="110" spans="1:11" s="46" customFormat="1">
      <c r="A110" s="59"/>
      <c r="E110" s="234"/>
      <c r="F110" s="43"/>
      <c r="G110" s="43"/>
      <c r="H110" s="43"/>
      <c r="I110" s="43"/>
      <c r="J110" s="43"/>
      <c r="K110" s="43"/>
    </row>
    <row r="111" spans="1:11" s="46" customFormat="1">
      <c r="A111" s="59"/>
      <c r="E111" s="234"/>
      <c r="F111" s="43"/>
      <c r="G111" s="43"/>
      <c r="H111" s="43"/>
      <c r="I111" s="43"/>
      <c r="J111" s="43"/>
      <c r="K111" s="43"/>
    </row>
    <row r="112" spans="1:11" s="46" customFormat="1">
      <c r="A112" s="59"/>
      <c r="E112" s="234"/>
      <c r="F112" s="43"/>
      <c r="G112" s="43"/>
      <c r="H112" s="43"/>
      <c r="I112" s="43"/>
      <c r="J112" s="43"/>
      <c r="K112" s="43"/>
    </row>
    <row r="113" spans="1:11" s="46" customFormat="1">
      <c r="A113" s="59"/>
      <c r="E113" s="234"/>
      <c r="F113" s="43"/>
      <c r="G113" s="43"/>
      <c r="H113" s="43"/>
      <c r="I113" s="43"/>
      <c r="J113" s="43"/>
      <c r="K113" s="43"/>
    </row>
    <row r="114" spans="1:11" s="46" customFormat="1">
      <c r="A114" s="59"/>
      <c r="E114" s="234"/>
      <c r="F114" s="43"/>
      <c r="G114" s="43"/>
      <c r="H114" s="43"/>
      <c r="I114" s="43"/>
      <c r="J114" s="43"/>
      <c r="K114" s="43"/>
    </row>
    <row r="115" spans="1:11" s="46" customFormat="1">
      <c r="A115" s="59"/>
      <c r="E115" s="234"/>
      <c r="F115" s="43"/>
      <c r="G115" s="43"/>
      <c r="H115" s="43"/>
      <c r="I115" s="43"/>
      <c r="J115" s="43"/>
      <c r="K115" s="43"/>
    </row>
    <row r="116" spans="1:11" s="46" customFormat="1">
      <c r="A116" s="59"/>
      <c r="E116" s="234"/>
      <c r="F116" s="43"/>
      <c r="G116" s="43"/>
      <c r="H116" s="43"/>
      <c r="I116" s="43"/>
      <c r="J116" s="43"/>
      <c r="K116" s="43"/>
    </row>
    <row r="117" spans="1:11" s="46" customFormat="1">
      <c r="A117" s="59"/>
      <c r="E117" s="234"/>
      <c r="F117" s="43"/>
      <c r="G117" s="43"/>
      <c r="H117" s="43"/>
      <c r="I117" s="43"/>
      <c r="J117" s="43"/>
      <c r="K117" s="43"/>
    </row>
    <row r="118" spans="1:11" s="46" customFormat="1">
      <c r="A118" s="59"/>
      <c r="E118" s="234"/>
      <c r="F118" s="43"/>
      <c r="G118" s="43"/>
      <c r="H118" s="43"/>
      <c r="I118" s="43"/>
      <c r="J118" s="43"/>
      <c r="K118" s="43"/>
    </row>
    <row r="119" spans="1:11" s="46" customFormat="1">
      <c r="A119" s="59"/>
      <c r="E119" s="234"/>
      <c r="F119" s="43"/>
      <c r="G119" s="43"/>
      <c r="H119" s="43"/>
      <c r="I119" s="43"/>
      <c r="J119" s="43"/>
      <c r="K119" s="43"/>
    </row>
    <row r="120" spans="1:11" s="46" customFormat="1">
      <c r="A120" s="59"/>
      <c r="E120" s="234"/>
      <c r="F120" s="43"/>
      <c r="G120" s="43"/>
      <c r="H120" s="43"/>
      <c r="I120" s="43"/>
      <c r="J120" s="43"/>
      <c r="K120" s="43"/>
    </row>
    <row r="121" spans="1:11" s="46" customFormat="1">
      <c r="A121" s="59"/>
      <c r="E121" s="234"/>
      <c r="F121" s="43"/>
      <c r="G121" s="43"/>
      <c r="H121" s="43"/>
      <c r="I121" s="43"/>
      <c r="J121" s="43"/>
      <c r="K121" s="43"/>
    </row>
    <row r="122" spans="1:11" s="46" customFormat="1">
      <c r="A122" s="59"/>
      <c r="E122" s="234"/>
      <c r="F122" s="43"/>
      <c r="G122" s="43"/>
      <c r="H122" s="43"/>
      <c r="I122" s="43"/>
      <c r="J122" s="43"/>
      <c r="K122" s="43"/>
    </row>
    <row r="123" spans="1:11" s="46" customFormat="1">
      <c r="A123" s="59"/>
      <c r="E123" s="234"/>
      <c r="F123" s="43"/>
      <c r="G123" s="43"/>
      <c r="H123" s="43"/>
      <c r="I123" s="43"/>
      <c r="J123" s="43"/>
      <c r="K123" s="43"/>
    </row>
    <row r="124" spans="1:11" s="46" customFormat="1">
      <c r="A124" s="59"/>
      <c r="E124" s="234"/>
      <c r="F124" s="43"/>
      <c r="G124" s="43"/>
      <c r="H124" s="43"/>
      <c r="I124" s="43"/>
      <c r="J124" s="43"/>
      <c r="K124" s="43"/>
    </row>
    <row r="125" spans="1:11" s="46" customFormat="1">
      <c r="A125" s="59"/>
      <c r="E125" s="234"/>
      <c r="F125" s="43"/>
      <c r="G125" s="43"/>
      <c r="H125" s="43"/>
      <c r="I125" s="43"/>
      <c r="J125" s="43"/>
      <c r="K125" s="43"/>
    </row>
    <row r="126" spans="1:11" s="46" customFormat="1">
      <c r="A126" s="59"/>
      <c r="E126" s="234"/>
      <c r="F126" s="43"/>
      <c r="G126" s="43"/>
      <c r="H126" s="43"/>
      <c r="I126" s="43"/>
      <c r="J126" s="43"/>
      <c r="K126" s="43"/>
    </row>
    <row r="127" spans="1:11" s="46" customFormat="1">
      <c r="A127" s="59"/>
      <c r="E127" s="234"/>
      <c r="F127" s="43"/>
      <c r="G127" s="43"/>
      <c r="H127" s="43"/>
      <c r="I127" s="43"/>
      <c r="J127" s="43"/>
      <c r="K127" s="43"/>
    </row>
    <row r="128" spans="1:11" s="46" customFormat="1">
      <c r="A128" s="59"/>
      <c r="E128" s="234"/>
      <c r="F128" s="43"/>
      <c r="G128" s="43"/>
      <c r="H128" s="43"/>
      <c r="I128" s="43"/>
      <c r="J128" s="43"/>
      <c r="K128" s="43"/>
    </row>
    <row r="129" spans="1:11" s="46" customFormat="1">
      <c r="A129" s="59"/>
      <c r="E129" s="234"/>
      <c r="F129" s="43"/>
      <c r="G129" s="43"/>
      <c r="H129" s="43"/>
      <c r="I129" s="43"/>
      <c r="J129" s="43"/>
      <c r="K129" s="43"/>
    </row>
    <row r="130" spans="1:11" s="46" customFormat="1">
      <c r="A130" s="59"/>
      <c r="E130" s="234"/>
      <c r="F130" s="43"/>
      <c r="G130" s="43"/>
      <c r="H130" s="43"/>
      <c r="I130" s="43"/>
      <c r="J130" s="43"/>
      <c r="K130" s="43"/>
    </row>
    <row r="131" spans="1:11" s="46" customFormat="1">
      <c r="A131" s="59"/>
      <c r="E131" s="234"/>
      <c r="F131" s="43"/>
      <c r="G131" s="43"/>
      <c r="H131" s="43"/>
      <c r="I131" s="43"/>
      <c r="J131" s="43"/>
      <c r="K131" s="43"/>
    </row>
    <row r="132" spans="1:11" s="46" customFormat="1">
      <c r="A132" s="59"/>
      <c r="E132" s="234"/>
      <c r="F132" s="43"/>
      <c r="G132" s="43"/>
      <c r="H132" s="43"/>
      <c r="I132" s="43"/>
      <c r="J132" s="43"/>
      <c r="K132" s="43"/>
    </row>
    <row r="133" spans="1:11" s="46" customFormat="1">
      <c r="A133" s="59"/>
      <c r="E133" s="234"/>
      <c r="F133" s="43"/>
      <c r="G133" s="43"/>
      <c r="H133" s="43"/>
      <c r="I133" s="43"/>
      <c r="J133" s="43"/>
      <c r="K133" s="43"/>
    </row>
    <row r="134" spans="1:11" s="46" customFormat="1">
      <c r="A134" s="59"/>
      <c r="E134" s="234"/>
      <c r="F134" s="43"/>
      <c r="G134" s="43"/>
      <c r="H134" s="43"/>
      <c r="I134" s="43"/>
      <c r="J134" s="43"/>
      <c r="K134" s="43"/>
    </row>
    <row r="135" spans="1:11" s="46" customFormat="1">
      <c r="A135" s="59"/>
      <c r="E135" s="234"/>
      <c r="F135" s="43"/>
      <c r="G135" s="43"/>
      <c r="H135" s="43"/>
      <c r="I135" s="43"/>
      <c r="J135" s="43"/>
      <c r="K135" s="43"/>
    </row>
    <row r="136" spans="1:11" s="46" customFormat="1">
      <c r="A136" s="59"/>
      <c r="E136" s="234"/>
      <c r="F136" s="43"/>
      <c r="G136" s="43"/>
      <c r="H136" s="43"/>
      <c r="I136" s="43"/>
      <c r="J136" s="43"/>
      <c r="K136" s="43"/>
    </row>
    <row r="137" spans="1:11" s="46" customFormat="1">
      <c r="A137" s="59"/>
      <c r="E137" s="234"/>
      <c r="F137" s="43"/>
      <c r="G137" s="43"/>
      <c r="H137" s="43"/>
      <c r="I137" s="43"/>
      <c r="J137" s="43"/>
      <c r="K137" s="43"/>
    </row>
    <row r="138" spans="1:11" s="46" customFormat="1">
      <c r="A138" s="59"/>
      <c r="E138" s="234"/>
      <c r="F138" s="43"/>
      <c r="G138" s="43"/>
      <c r="H138" s="43"/>
      <c r="I138" s="43"/>
      <c r="J138" s="43"/>
      <c r="K138" s="43"/>
    </row>
    <row r="139" spans="1:11" s="46" customFormat="1">
      <c r="A139" s="59"/>
      <c r="E139" s="234"/>
      <c r="F139" s="43"/>
      <c r="G139" s="43"/>
      <c r="H139" s="43"/>
      <c r="I139" s="43"/>
      <c r="J139" s="43"/>
      <c r="K139" s="43"/>
    </row>
    <row r="140" spans="1:11" s="46" customFormat="1">
      <c r="A140" s="59"/>
      <c r="E140" s="234"/>
      <c r="F140" s="43"/>
      <c r="G140" s="43"/>
      <c r="H140" s="43"/>
      <c r="I140" s="43"/>
      <c r="J140" s="43"/>
      <c r="K140" s="43"/>
    </row>
    <row r="141" spans="1:11" s="46" customFormat="1">
      <c r="A141" s="59"/>
      <c r="E141" s="234"/>
      <c r="F141" s="43"/>
      <c r="G141" s="43"/>
      <c r="H141" s="43"/>
      <c r="I141" s="43"/>
      <c r="J141" s="43"/>
      <c r="K141" s="43"/>
    </row>
    <row r="142" spans="1:11" s="46" customFormat="1">
      <c r="A142" s="59"/>
      <c r="E142" s="234"/>
      <c r="F142" s="43"/>
      <c r="G142" s="43"/>
      <c r="H142" s="43"/>
      <c r="I142" s="43"/>
      <c r="J142" s="43"/>
      <c r="K142" s="43"/>
    </row>
    <row r="143" spans="1:11" s="46" customFormat="1">
      <c r="A143" s="59"/>
      <c r="E143" s="234"/>
      <c r="F143" s="43"/>
      <c r="G143" s="43"/>
      <c r="H143" s="43"/>
      <c r="I143" s="43"/>
      <c r="J143" s="43"/>
      <c r="K143" s="43"/>
    </row>
    <row r="144" spans="1:11" s="46" customFormat="1">
      <c r="A144" s="59"/>
      <c r="E144" s="234"/>
      <c r="F144" s="43"/>
      <c r="G144" s="43"/>
      <c r="H144" s="43"/>
      <c r="I144" s="43"/>
      <c r="J144" s="43"/>
      <c r="K144" s="43"/>
    </row>
    <row r="145" spans="1:11" s="46" customFormat="1">
      <c r="A145" s="59"/>
      <c r="E145" s="234"/>
      <c r="F145" s="43"/>
      <c r="G145" s="43"/>
      <c r="H145" s="43"/>
      <c r="I145" s="43"/>
      <c r="J145" s="43"/>
      <c r="K145" s="43"/>
    </row>
    <row r="146" spans="1:11" s="46" customFormat="1">
      <c r="A146" s="59"/>
      <c r="E146" s="234"/>
      <c r="F146" s="43"/>
      <c r="G146" s="43"/>
      <c r="H146" s="43"/>
      <c r="I146" s="43"/>
      <c r="J146" s="43"/>
      <c r="K146" s="43"/>
    </row>
    <row r="147" spans="1:11" s="46" customFormat="1">
      <c r="A147" s="59"/>
      <c r="E147" s="234"/>
      <c r="F147" s="43"/>
      <c r="G147" s="43"/>
      <c r="H147" s="43"/>
      <c r="I147" s="43"/>
      <c r="J147" s="43"/>
      <c r="K147" s="43"/>
    </row>
    <row r="148" spans="1:11" s="46" customFormat="1">
      <c r="A148" s="59"/>
      <c r="E148" s="234"/>
      <c r="F148" s="43"/>
      <c r="G148" s="43"/>
      <c r="H148" s="43"/>
      <c r="I148" s="43"/>
      <c r="J148" s="43"/>
      <c r="K148" s="43"/>
    </row>
    <row r="149" spans="1:11" s="46" customFormat="1">
      <c r="A149" s="59"/>
      <c r="E149" s="234"/>
      <c r="F149" s="43"/>
      <c r="G149" s="43"/>
      <c r="H149" s="43"/>
      <c r="I149" s="43"/>
      <c r="J149" s="43"/>
      <c r="K149" s="43"/>
    </row>
    <row r="150" spans="1:11" s="46" customFormat="1">
      <c r="A150" s="59"/>
      <c r="E150" s="234"/>
      <c r="F150" s="43"/>
      <c r="G150" s="43"/>
      <c r="H150" s="43"/>
      <c r="I150" s="43"/>
      <c r="J150" s="43"/>
      <c r="K150" s="43"/>
    </row>
    <row r="151" spans="1:11" s="46" customFormat="1">
      <c r="A151" s="59"/>
      <c r="E151" s="234"/>
      <c r="F151" s="43"/>
      <c r="G151" s="43"/>
      <c r="H151" s="43"/>
      <c r="I151" s="43"/>
      <c r="J151" s="43"/>
      <c r="K151" s="43"/>
    </row>
    <row r="152" spans="1:11" s="46" customFormat="1">
      <c r="A152" s="59"/>
      <c r="E152" s="234"/>
      <c r="F152" s="43"/>
      <c r="G152" s="43"/>
      <c r="H152" s="43"/>
      <c r="I152" s="43"/>
      <c r="J152" s="43"/>
      <c r="K152" s="43"/>
    </row>
    <row r="153" spans="1:11" s="46" customFormat="1">
      <c r="A153" s="59"/>
      <c r="E153" s="234"/>
      <c r="F153" s="43"/>
      <c r="G153" s="43"/>
      <c r="H153" s="43"/>
      <c r="I153" s="43"/>
      <c r="J153" s="43"/>
      <c r="K153" s="43"/>
    </row>
    <row r="154" spans="1:11" s="46" customFormat="1">
      <c r="A154" s="59"/>
      <c r="E154" s="234"/>
      <c r="F154" s="43"/>
      <c r="G154" s="43"/>
      <c r="H154" s="43"/>
      <c r="I154" s="43"/>
      <c r="J154" s="43"/>
      <c r="K154" s="43"/>
    </row>
    <row r="155" spans="1:11" s="46" customFormat="1">
      <c r="A155" s="59"/>
      <c r="E155" s="234"/>
      <c r="F155" s="43"/>
      <c r="G155" s="43"/>
      <c r="H155" s="43"/>
      <c r="I155" s="43"/>
      <c r="J155" s="43"/>
      <c r="K155" s="43"/>
    </row>
    <row r="156" spans="1:11" s="46" customFormat="1">
      <c r="A156" s="59"/>
      <c r="E156" s="234"/>
      <c r="F156" s="43"/>
      <c r="G156" s="43"/>
      <c r="H156" s="43"/>
      <c r="I156" s="43"/>
      <c r="J156" s="43"/>
      <c r="K156" s="43"/>
    </row>
    <row r="157" spans="1:11" s="46" customFormat="1">
      <c r="A157" s="59"/>
      <c r="E157" s="234"/>
      <c r="F157" s="43"/>
      <c r="G157" s="43"/>
      <c r="H157" s="43"/>
      <c r="I157" s="43"/>
      <c r="J157" s="43"/>
      <c r="K157" s="43"/>
    </row>
    <row r="158" spans="1:11" s="46" customFormat="1">
      <c r="A158" s="59"/>
      <c r="E158" s="234"/>
      <c r="F158" s="43"/>
      <c r="G158" s="43"/>
      <c r="H158" s="43"/>
      <c r="I158" s="43"/>
      <c r="J158" s="43"/>
      <c r="K158" s="43"/>
    </row>
    <row r="159" spans="1:11" s="46" customFormat="1">
      <c r="A159" s="59"/>
      <c r="E159" s="234"/>
      <c r="F159" s="43"/>
      <c r="G159" s="43"/>
      <c r="H159" s="43"/>
      <c r="I159" s="43"/>
      <c r="J159" s="43"/>
      <c r="K159" s="43"/>
    </row>
    <row r="160" spans="1:11" s="46" customFormat="1">
      <c r="A160" s="59"/>
      <c r="E160" s="234"/>
      <c r="F160" s="43"/>
      <c r="G160" s="43"/>
      <c r="H160" s="43"/>
      <c r="I160" s="43"/>
      <c r="J160" s="43"/>
      <c r="K160" s="43"/>
    </row>
    <row r="161" spans="1:11" s="46" customFormat="1">
      <c r="A161" s="59"/>
      <c r="E161" s="234"/>
      <c r="F161" s="43"/>
      <c r="G161" s="43"/>
      <c r="H161" s="43"/>
      <c r="I161" s="43"/>
      <c r="J161" s="43"/>
      <c r="K161" s="43"/>
    </row>
    <row r="162" spans="1:11" s="46" customFormat="1">
      <c r="A162" s="59"/>
      <c r="E162" s="234"/>
      <c r="F162" s="43"/>
      <c r="G162" s="43"/>
      <c r="H162" s="43"/>
      <c r="I162" s="43"/>
      <c r="J162" s="43"/>
      <c r="K162" s="43"/>
    </row>
    <row r="163" spans="1:11" s="46" customFormat="1">
      <c r="A163" s="59"/>
      <c r="E163" s="234"/>
      <c r="F163" s="43"/>
      <c r="G163" s="43"/>
      <c r="H163" s="43"/>
      <c r="I163" s="43"/>
      <c r="J163" s="43"/>
      <c r="K163" s="43"/>
    </row>
    <row r="164" spans="1:11" s="46" customFormat="1">
      <c r="A164" s="59"/>
      <c r="E164" s="234"/>
      <c r="F164" s="43"/>
      <c r="G164" s="43"/>
      <c r="H164" s="43"/>
      <c r="I164" s="43"/>
      <c r="J164" s="43"/>
      <c r="K164" s="43"/>
    </row>
    <row r="165" spans="1:11" s="46" customFormat="1">
      <c r="A165" s="59"/>
      <c r="E165" s="234"/>
      <c r="F165" s="43"/>
      <c r="G165" s="43"/>
      <c r="H165" s="43"/>
      <c r="I165" s="43"/>
      <c r="J165" s="43"/>
      <c r="K165" s="43"/>
    </row>
    <row r="166" spans="1:11" s="46" customFormat="1">
      <c r="A166" s="59"/>
      <c r="E166" s="234"/>
      <c r="F166" s="43"/>
      <c r="G166" s="43"/>
      <c r="H166" s="43"/>
      <c r="I166" s="43"/>
      <c r="J166" s="43"/>
      <c r="K166" s="43"/>
    </row>
    <row r="167" spans="1:11" s="46" customFormat="1">
      <c r="A167" s="59"/>
      <c r="E167" s="234"/>
      <c r="F167" s="43"/>
      <c r="G167" s="43"/>
      <c r="H167" s="43"/>
      <c r="I167" s="43"/>
      <c r="J167" s="43"/>
      <c r="K167" s="43"/>
    </row>
    <row r="168" spans="1:11" s="46" customFormat="1">
      <c r="A168" s="59"/>
      <c r="E168" s="234"/>
      <c r="F168" s="43"/>
      <c r="G168" s="43"/>
      <c r="H168" s="43"/>
      <c r="I168" s="43"/>
      <c r="J168" s="43"/>
      <c r="K168" s="43"/>
    </row>
    <row r="169" spans="1:11" s="46" customFormat="1">
      <c r="A169" s="59"/>
      <c r="E169" s="234"/>
      <c r="F169" s="43"/>
      <c r="G169" s="43"/>
      <c r="H169" s="43"/>
      <c r="I169" s="43"/>
      <c r="J169" s="43"/>
      <c r="K169" s="43"/>
    </row>
    <row r="170" spans="1:11" s="46" customFormat="1">
      <c r="A170" s="59"/>
      <c r="E170" s="234"/>
      <c r="F170" s="43"/>
      <c r="G170" s="43"/>
      <c r="H170" s="43"/>
      <c r="I170" s="43"/>
      <c r="J170" s="43"/>
      <c r="K170" s="43"/>
    </row>
    <row r="171" spans="1:11" s="46" customFormat="1">
      <c r="A171" s="59"/>
      <c r="E171" s="234"/>
      <c r="F171" s="43"/>
      <c r="G171" s="43"/>
      <c r="H171" s="43"/>
      <c r="I171" s="43"/>
      <c r="J171" s="43"/>
      <c r="K171" s="43"/>
    </row>
    <row r="172" spans="1:11" s="46" customFormat="1">
      <c r="A172" s="59"/>
      <c r="E172" s="234"/>
      <c r="F172" s="43"/>
      <c r="G172" s="43"/>
      <c r="H172" s="43"/>
      <c r="I172" s="43"/>
      <c r="J172" s="43"/>
      <c r="K172" s="43"/>
    </row>
    <row r="173" spans="1:11" s="46" customFormat="1">
      <c r="A173" s="59"/>
      <c r="E173" s="234"/>
      <c r="F173" s="43"/>
      <c r="G173" s="43"/>
      <c r="H173" s="43"/>
      <c r="I173" s="43"/>
      <c r="J173" s="43"/>
      <c r="K173" s="43"/>
    </row>
    <row r="174" spans="1:11" s="46" customFormat="1">
      <c r="A174" s="59"/>
      <c r="E174" s="234"/>
      <c r="F174" s="43"/>
      <c r="G174" s="43"/>
      <c r="H174" s="43"/>
      <c r="I174" s="43"/>
      <c r="J174" s="43"/>
      <c r="K174" s="43"/>
    </row>
    <row r="175" spans="1:11" s="46" customFormat="1">
      <c r="A175" s="59"/>
      <c r="E175" s="234"/>
      <c r="F175" s="43"/>
      <c r="G175" s="43"/>
      <c r="H175" s="43"/>
      <c r="I175" s="43"/>
      <c r="J175" s="43"/>
      <c r="K175" s="43"/>
    </row>
    <row r="176" spans="1:11" s="46" customFormat="1">
      <c r="A176" s="59"/>
      <c r="E176" s="234"/>
      <c r="F176" s="43"/>
      <c r="G176" s="43"/>
      <c r="H176" s="43"/>
      <c r="I176" s="43"/>
      <c r="J176" s="43"/>
      <c r="K176" s="43"/>
    </row>
    <row r="177" spans="1:11" s="46" customFormat="1">
      <c r="A177" s="59"/>
      <c r="E177" s="234"/>
      <c r="F177" s="43"/>
      <c r="G177" s="43"/>
      <c r="H177" s="43"/>
      <c r="I177" s="43"/>
      <c r="J177" s="43"/>
      <c r="K177" s="43"/>
    </row>
    <row r="178" spans="1:11" s="46" customFormat="1">
      <c r="A178" s="59"/>
      <c r="E178" s="234"/>
      <c r="F178" s="43"/>
      <c r="G178" s="43"/>
      <c r="H178" s="43"/>
      <c r="I178" s="43"/>
      <c r="J178" s="43"/>
      <c r="K178" s="43"/>
    </row>
    <row r="179" spans="1:11" s="46" customFormat="1">
      <c r="A179" s="59"/>
      <c r="E179" s="234"/>
      <c r="F179" s="43"/>
      <c r="G179" s="43"/>
      <c r="H179" s="43"/>
      <c r="I179" s="43"/>
      <c r="J179" s="43"/>
      <c r="K179" s="43"/>
    </row>
    <row r="180" spans="1:11" s="46" customFormat="1">
      <c r="A180" s="59"/>
      <c r="E180" s="234"/>
      <c r="F180" s="43"/>
      <c r="G180" s="43"/>
      <c r="H180" s="43"/>
      <c r="I180" s="43"/>
      <c r="J180" s="43"/>
      <c r="K180" s="43"/>
    </row>
    <row r="181" spans="1:11" s="46" customFormat="1">
      <c r="A181" s="59"/>
      <c r="E181" s="234"/>
      <c r="F181" s="43"/>
      <c r="G181" s="43"/>
      <c r="H181" s="43"/>
      <c r="I181" s="43"/>
      <c r="J181" s="43"/>
      <c r="K181" s="43"/>
    </row>
    <row r="182" spans="1:11" s="46" customFormat="1">
      <c r="A182" s="59"/>
      <c r="E182" s="234"/>
      <c r="F182" s="43"/>
      <c r="G182" s="43"/>
      <c r="H182" s="43"/>
      <c r="I182" s="43"/>
      <c r="J182" s="43"/>
      <c r="K182" s="43"/>
    </row>
    <row r="183" spans="1:11" s="46" customFormat="1">
      <c r="A183" s="59"/>
      <c r="E183" s="234"/>
      <c r="F183" s="43"/>
      <c r="G183" s="43"/>
      <c r="H183" s="43"/>
      <c r="I183" s="43"/>
      <c r="J183" s="43"/>
      <c r="K183" s="43"/>
    </row>
    <row r="184" spans="1:11" s="46" customFormat="1">
      <c r="A184" s="59"/>
      <c r="E184" s="234"/>
      <c r="F184" s="43"/>
      <c r="G184" s="43"/>
      <c r="H184" s="43"/>
      <c r="I184" s="43"/>
      <c r="J184" s="43"/>
      <c r="K184" s="43"/>
    </row>
    <row r="185" spans="1:11" s="46" customFormat="1">
      <c r="A185" s="59"/>
      <c r="E185" s="234"/>
      <c r="F185" s="43"/>
      <c r="G185" s="43"/>
      <c r="H185" s="43"/>
      <c r="I185" s="43"/>
      <c r="J185" s="43"/>
      <c r="K185" s="43"/>
    </row>
    <row r="186" spans="1:11" s="46" customFormat="1">
      <c r="A186" s="59"/>
      <c r="E186" s="234"/>
      <c r="F186" s="43"/>
      <c r="G186" s="43"/>
      <c r="H186" s="43"/>
      <c r="I186" s="43"/>
      <c r="J186" s="43"/>
      <c r="K186" s="43"/>
    </row>
    <row r="187" spans="1:11" s="46" customFormat="1">
      <c r="A187" s="59"/>
      <c r="E187" s="234"/>
      <c r="F187" s="43"/>
      <c r="G187" s="43"/>
      <c r="H187" s="43"/>
      <c r="I187" s="43"/>
      <c r="J187" s="43"/>
      <c r="K187" s="43"/>
    </row>
    <row r="188" spans="1:11" s="46" customFormat="1">
      <c r="A188" s="59"/>
      <c r="E188" s="234"/>
      <c r="F188" s="43"/>
      <c r="G188" s="43"/>
      <c r="H188" s="43"/>
      <c r="I188" s="43"/>
      <c r="J188" s="43"/>
      <c r="K188" s="43"/>
    </row>
    <row r="189" spans="1:11" s="46" customFormat="1">
      <c r="A189" s="59"/>
      <c r="E189" s="234"/>
      <c r="F189" s="43"/>
      <c r="G189" s="43"/>
      <c r="H189" s="43"/>
      <c r="I189" s="43"/>
      <c r="J189" s="43"/>
      <c r="K189" s="43"/>
    </row>
    <row r="190" spans="1:11" s="46" customFormat="1">
      <c r="A190" s="59"/>
      <c r="E190" s="234"/>
      <c r="F190" s="43"/>
      <c r="G190" s="43"/>
      <c r="H190" s="43"/>
      <c r="I190" s="43"/>
      <c r="J190" s="43"/>
      <c r="K190" s="43"/>
    </row>
    <row r="191" spans="1:11" s="46" customFormat="1">
      <c r="A191" s="59"/>
      <c r="E191" s="234"/>
      <c r="F191" s="43"/>
      <c r="G191" s="43"/>
      <c r="H191" s="43"/>
      <c r="I191" s="43"/>
      <c r="J191" s="43"/>
      <c r="K191" s="43"/>
    </row>
    <row r="192" spans="1:11" s="46" customFormat="1">
      <c r="A192" s="59"/>
      <c r="E192" s="234"/>
      <c r="F192" s="43"/>
      <c r="G192" s="43"/>
      <c r="H192" s="43"/>
      <c r="I192" s="43"/>
      <c r="J192" s="43"/>
      <c r="K192" s="43"/>
    </row>
  </sheetData>
  <sheetProtection password="C6FB" sheet="1"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  <mergeCell ref="G41:I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09"/>
  <sheetViews>
    <sheetView view="pageBreakPreview" zoomScale="75" zoomScaleNormal="75" zoomScaleSheetLayoutView="50" workbookViewId="0">
      <pane ySplit="5" topLeftCell="A6" activePane="bottomLeft" state="frozen"/>
      <selection pane="bottomLeft" activeCell="D15" sqref="D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235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317" t="s">
        <v>381</v>
      </c>
      <c r="B1" s="317"/>
      <c r="C1" s="317"/>
      <c r="D1" s="317"/>
      <c r="E1" s="317"/>
      <c r="F1" s="317"/>
      <c r="G1" s="317"/>
      <c r="H1" s="317"/>
      <c r="I1" s="317"/>
    </row>
    <row r="2" spans="1:9" outlineLevel="1">
      <c r="A2" s="18"/>
      <c r="B2" s="18"/>
      <c r="C2" s="18"/>
      <c r="D2" s="18"/>
      <c r="E2" s="272"/>
      <c r="F2" s="18"/>
      <c r="G2" s="18"/>
      <c r="H2" s="18"/>
      <c r="I2" s="18"/>
    </row>
    <row r="3" spans="1:9" ht="48" customHeight="1">
      <c r="A3" s="346" t="s">
        <v>277</v>
      </c>
      <c r="B3" s="348" t="s">
        <v>0</v>
      </c>
      <c r="C3" s="348" t="s">
        <v>32</v>
      </c>
      <c r="D3" s="348" t="s">
        <v>71</v>
      </c>
      <c r="E3" s="344" t="s">
        <v>185</v>
      </c>
      <c r="F3" s="345" t="s">
        <v>373</v>
      </c>
      <c r="G3" s="345"/>
      <c r="H3" s="345"/>
      <c r="I3" s="345"/>
    </row>
    <row r="4" spans="1:9" ht="38.25" customHeight="1">
      <c r="A4" s="347"/>
      <c r="B4" s="348"/>
      <c r="C4" s="348"/>
      <c r="D4" s="348"/>
      <c r="E4" s="344"/>
      <c r="F4" s="11" t="s">
        <v>382</v>
      </c>
      <c r="G4" s="11" t="s">
        <v>375</v>
      </c>
      <c r="H4" s="11" t="s">
        <v>376</v>
      </c>
      <c r="I4" s="11" t="s">
        <v>87</v>
      </c>
    </row>
    <row r="5" spans="1:9" ht="18" customHeight="1">
      <c r="A5" s="7">
        <v>1</v>
      </c>
      <c r="B5" s="11">
        <v>2</v>
      </c>
      <c r="C5" s="11">
        <v>3</v>
      </c>
      <c r="D5" s="11">
        <v>4</v>
      </c>
      <c r="E5" s="273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57" customFormat="1" ht="20.100000000000001" customHeight="1">
      <c r="A6" s="337" t="s">
        <v>175</v>
      </c>
      <c r="B6" s="338"/>
      <c r="C6" s="338"/>
      <c r="D6" s="338"/>
      <c r="E6" s="338"/>
      <c r="F6" s="338"/>
      <c r="G6" s="338"/>
      <c r="H6" s="338"/>
      <c r="I6" s="339"/>
    </row>
    <row r="7" spans="1:9" ht="37.5">
      <c r="A7" s="182" t="s">
        <v>195</v>
      </c>
      <c r="B7" s="167">
        <v>1170</v>
      </c>
      <c r="C7" s="187">
        <f>'I. Фін результат'!C74</f>
        <v>-158</v>
      </c>
      <c r="D7" s="187">
        <f>'I. Фін результат'!D74</f>
        <v>0</v>
      </c>
      <c r="E7" s="270">
        <f>'I. Фін результат'!E74</f>
        <v>-151</v>
      </c>
      <c r="F7" s="187">
        <f>'I. Фін результат'!F74</f>
        <v>0</v>
      </c>
      <c r="G7" s="187">
        <f>'I. Фін результат'!G74</f>
        <v>0</v>
      </c>
      <c r="H7" s="187">
        <f>'I. Фін результат'!H74</f>
        <v>0</v>
      </c>
      <c r="I7" s="187">
        <f>'I. Фін результат'!I74</f>
        <v>0</v>
      </c>
    </row>
    <row r="8" spans="1:9" ht="20.100000000000001" customHeight="1">
      <c r="A8" s="182" t="s">
        <v>196</v>
      </c>
      <c r="B8" s="221"/>
      <c r="C8" s="192"/>
      <c r="D8" s="192"/>
      <c r="E8" s="265"/>
      <c r="F8" s="192"/>
      <c r="G8" s="192"/>
      <c r="H8" s="192"/>
      <c r="I8" s="192"/>
    </row>
    <row r="9" spans="1:9" ht="20.100000000000001" customHeight="1">
      <c r="A9" s="182" t="s">
        <v>199</v>
      </c>
      <c r="B9" s="186">
        <v>3000</v>
      </c>
      <c r="C9" s="187">
        <f>'I. Фін результат'!C100</f>
        <v>150</v>
      </c>
      <c r="D9" s="187">
        <f>'I. Фін результат'!D100</f>
        <v>140</v>
      </c>
      <c r="E9" s="270">
        <f>'I. Фін результат'!E100</f>
        <v>140</v>
      </c>
      <c r="F9" s="187">
        <f>'I. Фін результат'!F100</f>
        <v>37</v>
      </c>
      <c r="G9" s="187">
        <f>'I. Фін результат'!G100</f>
        <v>74</v>
      </c>
      <c r="H9" s="187">
        <f>'I. Фін результат'!H100</f>
        <v>111</v>
      </c>
      <c r="I9" s="187">
        <f>'I. Фін результат'!I100</f>
        <v>140</v>
      </c>
    </row>
    <row r="10" spans="1:9" ht="20.100000000000001" customHeight="1">
      <c r="A10" s="182" t="s">
        <v>200</v>
      </c>
      <c r="B10" s="186">
        <v>3010</v>
      </c>
      <c r="C10" s="188"/>
      <c r="D10" s="188"/>
      <c r="E10" s="229"/>
      <c r="F10" s="188"/>
      <c r="G10" s="188"/>
      <c r="H10" s="188"/>
      <c r="I10" s="188"/>
    </row>
    <row r="11" spans="1:9" ht="37.5">
      <c r="A11" s="182" t="s">
        <v>201</v>
      </c>
      <c r="B11" s="186">
        <v>3020</v>
      </c>
      <c r="C11" s="188"/>
      <c r="D11" s="188"/>
      <c r="E11" s="229"/>
      <c r="F11" s="188"/>
      <c r="G11" s="188"/>
      <c r="H11" s="188"/>
      <c r="I11" s="188"/>
    </row>
    <row r="12" spans="1:9" ht="56.25">
      <c r="A12" s="182" t="s">
        <v>202</v>
      </c>
      <c r="B12" s="186">
        <v>3030</v>
      </c>
      <c r="C12" s="188">
        <v>9</v>
      </c>
      <c r="D12" s="188"/>
      <c r="E12" s="229"/>
      <c r="F12" s="188"/>
      <c r="G12" s="188"/>
      <c r="H12" s="188"/>
      <c r="I12" s="188"/>
    </row>
    <row r="13" spans="1:9" ht="42.75" customHeight="1">
      <c r="A13" s="184" t="s">
        <v>262</v>
      </c>
      <c r="B13" s="222">
        <v>3040</v>
      </c>
      <c r="C13" s="189">
        <f t="shared" ref="C13:I13" si="0">SUM(C7:C12)</f>
        <v>1</v>
      </c>
      <c r="D13" s="189">
        <f t="shared" si="0"/>
        <v>140</v>
      </c>
      <c r="E13" s="271">
        <f t="shared" si="0"/>
        <v>-11</v>
      </c>
      <c r="F13" s="189">
        <f t="shared" si="0"/>
        <v>37</v>
      </c>
      <c r="G13" s="189">
        <f t="shared" si="0"/>
        <v>74</v>
      </c>
      <c r="H13" s="189">
        <f t="shared" si="0"/>
        <v>111</v>
      </c>
      <c r="I13" s="189">
        <f t="shared" si="0"/>
        <v>140</v>
      </c>
    </row>
    <row r="14" spans="1:9" ht="37.5">
      <c r="A14" s="182" t="s">
        <v>203</v>
      </c>
      <c r="B14" s="186">
        <v>3050</v>
      </c>
      <c r="C14" s="229">
        <f>C15</f>
        <v>64</v>
      </c>
      <c r="D14" s="188"/>
      <c r="E14" s="229"/>
      <c r="F14" s="188"/>
      <c r="G14" s="188"/>
      <c r="H14" s="188"/>
      <c r="I14" s="188"/>
    </row>
    <row r="15" spans="1:9">
      <c r="A15" s="182" t="s">
        <v>427</v>
      </c>
      <c r="B15" s="226" t="s">
        <v>430</v>
      </c>
      <c r="C15" s="229">
        <v>64</v>
      </c>
      <c r="D15" s="225"/>
      <c r="E15" s="229"/>
      <c r="F15" s="188"/>
      <c r="G15" s="188"/>
      <c r="H15" s="188"/>
      <c r="I15" s="188"/>
    </row>
    <row r="16" spans="1:9" ht="37.5">
      <c r="A16" s="182" t="s">
        <v>204</v>
      </c>
      <c r="B16" s="226">
        <v>3060</v>
      </c>
      <c r="C16" s="229">
        <f>C17</f>
        <v>-75</v>
      </c>
      <c r="D16" s="225"/>
      <c r="E16" s="229">
        <v>33</v>
      </c>
      <c r="F16" s="188"/>
      <c r="G16" s="188"/>
      <c r="H16" s="188"/>
      <c r="I16" s="188"/>
    </row>
    <row r="17" spans="1:9">
      <c r="A17" s="182" t="s">
        <v>429</v>
      </c>
      <c r="B17" s="226" t="s">
        <v>431</v>
      </c>
      <c r="C17" s="229">
        <v>-75</v>
      </c>
      <c r="D17" s="225"/>
      <c r="E17" s="229">
        <v>33</v>
      </c>
      <c r="F17" s="188"/>
      <c r="G17" s="188"/>
      <c r="H17" s="188"/>
      <c r="I17" s="188"/>
    </row>
    <row r="18" spans="1:9" ht="20.100000000000001" customHeight="1">
      <c r="A18" s="184" t="s">
        <v>197</v>
      </c>
      <c r="B18" s="222">
        <v>3070</v>
      </c>
      <c r="C18" s="189">
        <f>SUM(C13:C14)+C16</f>
        <v>-10</v>
      </c>
      <c r="D18" s="189">
        <f t="shared" ref="D18:I18" si="1">SUM(D13:D14)+D16</f>
        <v>140</v>
      </c>
      <c r="E18" s="271">
        <f t="shared" si="1"/>
        <v>22</v>
      </c>
      <c r="F18" s="189">
        <f t="shared" si="1"/>
        <v>37</v>
      </c>
      <c r="G18" s="189">
        <f t="shared" si="1"/>
        <v>74</v>
      </c>
      <c r="H18" s="189">
        <f t="shared" si="1"/>
        <v>111</v>
      </c>
      <c r="I18" s="189">
        <f t="shared" si="1"/>
        <v>140</v>
      </c>
    </row>
    <row r="19" spans="1:9" ht="20.100000000000001" customHeight="1">
      <c r="A19" s="182" t="s">
        <v>198</v>
      </c>
      <c r="B19" s="186">
        <v>3080</v>
      </c>
      <c r="C19" s="187">
        <f>'I. Фін результат'!C75</f>
        <v>0</v>
      </c>
      <c r="D19" s="187">
        <f>'I. Фін результат'!D75</f>
        <v>0</v>
      </c>
      <c r="E19" s="270">
        <f>'I. Фін результат'!E75</f>
        <v>0</v>
      </c>
      <c r="F19" s="187">
        <f>'I. Фін результат'!F75</f>
        <v>0</v>
      </c>
      <c r="G19" s="187">
        <f>'I. Фін результат'!G75</f>
        <v>0</v>
      </c>
      <c r="H19" s="187">
        <f>'I. Фін результат'!H75</f>
        <v>0</v>
      </c>
      <c r="I19" s="187">
        <f>'I. Фін результат'!I75</f>
        <v>0</v>
      </c>
    </row>
    <row r="20" spans="1:9" ht="37.5">
      <c r="A20" s="166" t="s">
        <v>174</v>
      </c>
      <c r="B20" s="222">
        <v>3090</v>
      </c>
      <c r="C20" s="189">
        <f>C18-C19</f>
        <v>-10</v>
      </c>
      <c r="D20" s="189">
        <f t="shared" ref="D20:I20" si="2">D18-D19</f>
        <v>140</v>
      </c>
      <c r="E20" s="271">
        <f t="shared" si="2"/>
        <v>22</v>
      </c>
      <c r="F20" s="189">
        <f t="shared" si="2"/>
        <v>37</v>
      </c>
      <c r="G20" s="189">
        <f t="shared" si="2"/>
        <v>74</v>
      </c>
      <c r="H20" s="189">
        <f t="shared" si="2"/>
        <v>111</v>
      </c>
      <c r="I20" s="189">
        <f t="shared" si="2"/>
        <v>140</v>
      </c>
    </row>
    <row r="21" spans="1:9" ht="20.100000000000001" customHeight="1">
      <c r="A21" s="337" t="s">
        <v>176</v>
      </c>
      <c r="B21" s="338"/>
      <c r="C21" s="338"/>
      <c r="D21" s="338"/>
      <c r="E21" s="338"/>
      <c r="F21" s="338"/>
      <c r="G21" s="338"/>
      <c r="H21" s="338"/>
      <c r="I21" s="339"/>
    </row>
    <row r="22" spans="1:9" ht="20.100000000000001" customHeight="1">
      <c r="A22" s="184" t="s">
        <v>292</v>
      </c>
      <c r="B22" s="167"/>
      <c r="C22" s="188"/>
      <c r="D22" s="188"/>
      <c r="E22" s="229"/>
      <c r="F22" s="188"/>
      <c r="G22" s="188"/>
      <c r="H22" s="188"/>
      <c r="I22" s="188"/>
    </row>
    <row r="23" spans="1:9" ht="20.100000000000001" customHeight="1">
      <c r="A23" s="72" t="s">
        <v>33</v>
      </c>
      <c r="B23" s="167">
        <v>3200</v>
      </c>
      <c r="C23" s="188"/>
      <c r="D23" s="188"/>
      <c r="E23" s="229"/>
      <c r="F23" s="188"/>
      <c r="G23" s="188"/>
      <c r="H23" s="188"/>
      <c r="I23" s="188"/>
    </row>
    <row r="24" spans="1:9" ht="20.100000000000001" customHeight="1">
      <c r="A24" s="72" t="s">
        <v>34</v>
      </c>
      <c r="B24" s="167">
        <v>3210</v>
      </c>
      <c r="C24" s="188"/>
      <c r="D24" s="188"/>
      <c r="E24" s="229"/>
      <c r="F24" s="188"/>
      <c r="G24" s="188"/>
      <c r="H24" s="188"/>
      <c r="I24" s="188"/>
    </row>
    <row r="25" spans="1:9" ht="20.100000000000001" customHeight="1">
      <c r="A25" s="72" t="s">
        <v>57</v>
      </c>
      <c r="B25" s="167">
        <v>3220</v>
      </c>
      <c r="C25" s="188"/>
      <c r="D25" s="188"/>
      <c r="E25" s="229"/>
      <c r="F25" s="188"/>
      <c r="G25" s="188"/>
      <c r="H25" s="188"/>
      <c r="I25" s="188"/>
    </row>
    <row r="26" spans="1:9" ht="20.100000000000001" customHeight="1">
      <c r="A26" s="182" t="s">
        <v>180</v>
      </c>
      <c r="B26" s="167"/>
      <c r="C26" s="188"/>
      <c r="D26" s="188"/>
      <c r="E26" s="229"/>
      <c r="F26" s="188"/>
      <c r="G26" s="188"/>
      <c r="H26" s="188"/>
      <c r="I26" s="188"/>
    </row>
    <row r="27" spans="1:9" ht="20.100000000000001" customHeight="1">
      <c r="A27" s="72" t="s">
        <v>181</v>
      </c>
      <c r="B27" s="167">
        <v>3230</v>
      </c>
      <c r="C27" s="188"/>
      <c r="D27" s="188"/>
      <c r="E27" s="229"/>
      <c r="F27" s="188"/>
      <c r="G27" s="188"/>
      <c r="H27" s="188"/>
      <c r="I27" s="188"/>
    </row>
    <row r="28" spans="1:9" ht="20.100000000000001" customHeight="1">
      <c r="A28" s="72" t="s">
        <v>182</v>
      </c>
      <c r="B28" s="167">
        <v>3240</v>
      </c>
      <c r="C28" s="188"/>
      <c r="D28" s="188"/>
      <c r="E28" s="229"/>
      <c r="F28" s="188"/>
      <c r="G28" s="188"/>
      <c r="H28" s="188"/>
      <c r="I28" s="188"/>
    </row>
    <row r="29" spans="1:9" ht="20.100000000000001" customHeight="1">
      <c r="A29" s="182" t="s">
        <v>183</v>
      </c>
      <c r="B29" s="167">
        <v>3250</v>
      </c>
      <c r="C29" s="188"/>
      <c r="D29" s="188"/>
      <c r="E29" s="229"/>
      <c r="F29" s="188"/>
      <c r="G29" s="188"/>
      <c r="H29" s="188"/>
      <c r="I29" s="188"/>
    </row>
    <row r="30" spans="1:9" ht="20.100000000000001" customHeight="1">
      <c r="A30" s="72" t="s">
        <v>134</v>
      </c>
      <c r="B30" s="167">
        <v>3260</v>
      </c>
      <c r="C30" s="188"/>
      <c r="D30" s="188"/>
      <c r="E30" s="229"/>
      <c r="F30" s="188"/>
      <c r="G30" s="188"/>
      <c r="H30" s="188"/>
      <c r="I30" s="188"/>
    </row>
    <row r="31" spans="1:9" ht="20.100000000000001" customHeight="1">
      <c r="A31" s="184" t="s">
        <v>294</v>
      </c>
      <c r="B31" s="167"/>
      <c r="C31" s="188"/>
      <c r="D31" s="188"/>
      <c r="E31" s="229"/>
      <c r="F31" s="188"/>
      <c r="G31" s="188"/>
      <c r="H31" s="188"/>
      <c r="I31" s="188"/>
    </row>
    <row r="32" spans="1:9" ht="37.5">
      <c r="A32" s="72" t="s">
        <v>135</v>
      </c>
      <c r="B32" s="167">
        <v>3270</v>
      </c>
      <c r="C32" s="188"/>
      <c r="D32" s="188"/>
      <c r="E32" s="229"/>
      <c r="F32" s="188"/>
      <c r="G32" s="188"/>
      <c r="H32" s="188"/>
      <c r="I32" s="188"/>
    </row>
    <row r="33" spans="1:9">
      <c r="A33" s="72" t="s">
        <v>421</v>
      </c>
      <c r="B33" s="226" t="s">
        <v>432</v>
      </c>
      <c r="C33" s="188"/>
      <c r="D33" s="188"/>
      <c r="E33" s="229"/>
      <c r="F33" s="188"/>
      <c r="G33" s="188"/>
      <c r="H33" s="188"/>
      <c r="I33" s="188"/>
    </row>
    <row r="34" spans="1:9">
      <c r="A34" s="72" t="s">
        <v>422</v>
      </c>
      <c r="B34" s="226" t="s">
        <v>433</v>
      </c>
      <c r="C34" s="188"/>
      <c r="D34" s="188"/>
      <c r="E34" s="229"/>
      <c r="F34" s="188"/>
      <c r="G34" s="188"/>
      <c r="H34" s="188"/>
      <c r="I34" s="188"/>
    </row>
    <row r="35" spans="1:9">
      <c r="A35" s="72" t="s">
        <v>423</v>
      </c>
      <c r="B35" s="226" t="s">
        <v>434</v>
      </c>
      <c r="C35" s="188"/>
      <c r="D35" s="188"/>
      <c r="E35" s="229"/>
      <c r="F35" s="188"/>
      <c r="G35" s="188"/>
      <c r="H35" s="188"/>
      <c r="I35" s="188"/>
    </row>
    <row r="36" spans="1:9">
      <c r="A36" s="72" t="s">
        <v>424</v>
      </c>
      <c r="B36" s="226" t="s">
        <v>435</v>
      </c>
      <c r="C36" s="188"/>
      <c r="D36" s="188"/>
      <c r="E36" s="229"/>
      <c r="F36" s="188"/>
      <c r="G36" s="188"/>
      <c r="H36" s="188"/>
      <c r="I36" s="188"/>
    </row>
    <row r="37" spans="1:9" ht="20.100000000000001" customHeight="1">
      <c r="A37" s="72" t="s">
        <v>136</v>
      </c>
      <c r="B37" s="167">
        <v>3280</v>
      </c>
      <c r="C37" s="188"/>
      <c r="D37" s="188"/>
      <c r="E37" s="229"/>
      <c r="F37" s="188"/>
      <c r="G37" s="188"/>
      <c r="H37" s="188"/>
      <c r="I37" s="188"/>
    </row>
    <row r="38" spans="1:9" ht="37.5">
      <c r="A38" s="72" t="s">
        <v>137</v>
      </c>
      <c r="B38" s="167">
        <v>3290</v>
      </c>
      <c r="C38" s="188"/>
      <c r="D38" s="188"/>
      <c r="E38" s="229"/>
      <c r="F38" s="188"/>
      <c r="G38" s="188"/>
      <c r="H38" s="188"/>
      <c r="I38" s="188"/>
    </row>
    <row r="39" spans="1:9" ht="20.100000000000001" customHeight="1">
      <c r="A39" s="72" t="s">
        <v>58</v>
      </c>
      <c r="B39" s="167">
        <v>3300</v>
      </c>
      <c r="C39" s="188"/>
      <c r="D39" s="188"/>
      <c r="E39" s="229"/>
      <c r="F39" s="188"/>
      <c r="G39" s="188"/>
      <c r="H39" s="188"/>
      <c r="I39" s="188"/>
    </row>
    <row r="40" spans="1:9" ht="20.100000000000001" customHeight="1">
      <c r="A40" s="72" t="s">
        <v>129</v>
      </c>
      <c r="B40" s="167">
        <v>3310</v>
      </c>
      <c r="C40" s="188"/>
      <c r="D40" s="188"/>
      <c r="E40" s="229"/>
      <c r="F40" s="188"/>
      <c r="G40" s="188"/>
      <c r="H40" s="188"/>
      <c r="I40" s="188"/>
    </row>
    <row r="41" spans="1:9" ht="37.5">
      <c r="A41" s="184" t="s">
        <v>177</v>
      </c>
      <c r="B41" s="219">
        <v>3320</v>
      </c>
      <c r="C41" s="189">
        <f>(C23+C24+C25+C27+C28+C29+C30)-(C32+C37+C38+C39+C40)</f>
        <v>0</v>
      </c>
      <c r="D41" s="189">
        <f t="shared" ref="D41:I41" si="3">(D23+D24+D25+D27+D28+D29+D30)-(D32+D37+D38+D39+D40)</f>
        <v>0</v>
      </c>
      <c r="E41" s="271">
        <f t="shared" si="3"/>
        <v>0</v>
      </c>
      <c r="F41" s="189">
        <f t="shared" si="3"/>
        <v>0</v>
      </c>
      <c r="G41" s="189">
        <f t="shared" si="3"/>
        <v>0</v>
      </c>
      <c r="H41" s="189">
        <f t="shared" si="3"/>
        <v>0</v>
      </c>
      <c r="I41" s="189">
        <f t="shared" si="3"/>
        <v>0</v>
      </c>
    </row>
    <row r="42" spans="1:9" ht="20.100000000000001" customHeight="1">
      <c r="A42" s="337" t="s">
        <v>178</v>
      </c>
      <c r="B42" s="338"/>
      <c r="C42" s="338"/>
      <c r="D42" s="338"/>
      <c r="E42" s="338"/>
      <c r="F42" s="338"/>
      <c r="G42" s="338"/>
      <c r="H42" s="338"/>
      <c r="I42" s="339"/>
    </row>
    <row r="43" spans="1:9" ht="20.100000000000001" customHeight="1">
      <c r="A43" s="184" t="s">
        <v>293</v>
      </c>
      <c r="B43" s="167"/>
      <c r="C43" s="188"/>
      <c r="D43" s="188"/>
      <c r="E43" s="229"/>
      <c r="F43" s="188"/>
      <c r="G43" s="188"/>
      <c r="H43" s="188"/>
      <c r="I43" s="188"/>
    </row>
    <row r="44" spans="1:9" ht="20.100000000000001" customHeight="1">
      <c r="A44" s="182" t="s">
        <v>184</v>
      </c>
      <c r="B44" s="167">
        <v>3400</v>
      </c>
      <c r="C44" s="188"/>
      <c r="D44" s="188"/>
      <c r="E44" s="229"/>
      <c r="F44" s="188"/>
      <c r="G44" s="188"/>
      <c r="H44" s="188"/>
      <c r="I44" s="188"/>
    </row>
    <row r="45" spans="1:9" ht="37.5">
      <c r="A45" s="72" t="s">
        <v>101</v>
      </c>
      <c r="B45" s="147"/>
      <c r="C45" s="188"/>
      <c r="D45" s="188"/>
      <c r="E45" s="229"/>
      <c r="F45" s="188"/>
      <c r="G45" s="188"/>
      <c r="H45" s="188"/>
      <c r="I45" s="188"/>
    </row>
    <row r="46" spans="1:9" ht="20.100000000000001" customHeight="1">
      <c r="A46" s="72" t="s">
        <v>100</v>
      </c>
      <c r="B46" s="167">
        <v>3410</v>
      </c>
      <c r="C46" s="188"/>
      <c r="D46" s="188"/>
      <c r="E46" s="229"/>
      <c r="F46" s="188"/>
      <c r="G46" s="188"/>
      <c r="H46" s="188"/>
      <c r="I46" s="188"/>
    </row>
    <row r="47" spans="1:9" ht="20.100000000000001" customHeight="1">
      <c r="A47" s="72" t="s">
        <v>105</v>
      </c>
      <c r="B47" s="186">
        <v>3420</v>
      </c>
      <c r="C47" s="188"/>
      <c r="D47" s="188"/>
      <c r="E47" s="229"/>
      <c r="F47" s="188"/>
      <c r="G47" s="188"/>
      <c r="H47" s="188"/>
      <c r="I47" s="188"/>
    </row>
    <row r="48" spans="1:9" ht="20.100000000000001" customHeight="1">
      <c r="A48" s="72" t="s">
        <v>138</v>
      </c>
      <c r="B48" s="167">
        <v>3430</v>
      </c>
      <c r="C48" s="188"/>
      <c r="D48" s="188"/>
      <c r="E48" s="229"/>
      <c r="F48" s="188"/>
      <c r="G48" s="188"/>
      <c r="H48" s="188"/>
      <c r="I48" s="188"/>
    </row>
    <row r="49" spans="1:9" ht="37.5">
      <c r="A49" s="72" t="s">
        <v>103</v>
      </c>
      <c r="B49" s="167"/>
      <c r="C49" s="188"/>
      <c r="D49" s="188"/>
      <c r="E49" s="229"/>
      <c r="F49" s="188"/>
      <c r="G49" s="188"/>
      <c r="H49" s="188"/>
      <c r="I49" s="188"/>
    </row>
    <row r="50" spans="1:9" ht="20.100000000000001" customHeight="1">
      <c r="A50" s="72" t="s">
        <v>100</v>
      </c>
      <c r="B50" s="186">
        <v>3440</v>
      </c>
      <c r="C50" s="188"/>
      <c r="D50" s="188"/>
      <c r="E50" s="229"/>
      <c r="F50" s="188"/>
      <c r="G50" s="188"/>
      <c r="H50" s="188"/>
      <c r="I50" s="188"/>
    </row>
    <row r="51" spans="1:9" ht="20.100000000000001" customHeight="1">
      <c r="A51" s="72" t="s">
        <v>105</v>
      </c>
      <c r="B51" s="186">
        <v>3450</v>
      </c>
      <c r="C51" s="188"/>
      <c r="D51" s="188"/>
      <c r="E51" s="229"/>
      <c r="F51" s="188"/>
      <c r="G51" s="188"/>
      <c r="H51" s="188"/>
      <c r="I51" s="188"/>
    </row>
    <row r="52" spans="1:9" ht="20.100000000000001" customHeight="1">
      <c r="A52" s="72" t="s">
        <v>138</v>
      </c>
      <c r="B52" s="186">
        <v>3460</v>
      </c>
      <c r="C52" s="188"/>
      <c r="D52" s="188"/>
      <c r="E52" s="229"/>
      <c r="F52" s="188"/>
      <c r="G52" s="188"/>
      <c r="H52" s="188"/>
      <c r="I52" s="188"/>
    </row>
    <row r="53" spans="1:9" ht="20.100000000000001" customHeight="1">
      <c r="A53" s="72" t="s">
        <v>133</v>
      </c>
      <c r="B53" s="186">
        <v>3470</v>
      </c>
      <c r="C53" s="188"/>
      <c r="D53" s="188"/>
      <c r="E53" s="229"/>
      <c r="F53" s="188"/>
      <c r="G53" s="188"/>
      <c r="H53" s="188"/>
      <c r="I53" s="188"/>
    </row>
    <row r="54" spans="1:9" ht="20.100000000000001" customHeight="1">
      <c r="A54" s="72" t="s">
        <v>134</v>
      </c>
      <c r="B54" s="186">
        <v>3480</v>
      </c>
      <c r="C54" s="188"/>
      <c r="D54" s="188"/>
      <c r="E54" s="229"/>
      <c r="F54" s="188"/>
      <c r="G54" s="188"/>
      <c r="H54" s="188"/>
      <c r="I54" s="188"/>
    </row>
    <row r="55" spans="1:9" ht="40.5" customHeight="1">
      <c r="A55" s="72" t="s">
        <v>425</v>
      </c>
      <c r="B55" s="186" t="s">
        <v>426</v>
      </c>
      <c r="C55" s="188"/>
      <c r="D55" s="188"/>
      <c r="E55" s="229"/>
      <c r="F55" s="188"/>
      <c r="G55" s="188"/>
      <c r="H55" s="188"/>
      <c r="I55" s="188"/>
    </row>
    <row r="56" spans="1:9" ht="20.100000000000001" customHeight="1">
      <c r="A56" s="184" t="s">
        <v>294</v>
      </c>
      <c r="B56" s="167"/>
      <c r="C56" s="188"/>
      <c r="D56" s="188"/>
      <c r="E56" s="229"/>
      <c r="F56" s="188"/>
      <c r="G56" s="188"/>
      <c r="H56" s="188"/>
      <c r="I56" s="188"/>
    </row>
    <row r="57" spans="1:9" ht="37.5">
      <c r="A57" s="72" t="s">
        <v>379</v>
      </c>
      <c r="B57" s="167">
        <v>3490</v>
      </c>
      <c r="C57" s="187">
        <f>'ІІ. Розр. з бюджетом'!C9</f>
        <v>0</v>
      </c>
      <c r="D57" s="187">
        <f>'ІІ. Розр. з бюджетом'!D9</f>
        <v>0</v>
      </c>
      <c r="E57" s="270">
        <f>'ІІ. Розр. з бюджетом'!E9</f>
        <v>0</v>
      </c>
      <c r="F57" s="187">
        <f>'ІІ. Розр. з бюджетом'!F9</f>
        <v>0</v>
      </c>
      <c r="G57" s="187">
        <f>'ІІ. Розр. з бюджетом'!G9</f>
        <v>0</v>
      </c>
      <c r="H57" s="187">
        <f>'ІІ. Розр. з бюджетом'!H9</f>
        <v>0</v>
      </c>
      <c r="I57" s="187">
        <f>'ІІ. Розр. з бюджетом'!I9</f>
        <v>0</v>
      </c>
    </row>
    <row r="58" spans="1:9" ht="112.5">
      <c r="A58" s="72" t="s">
        <v>380</v>
      </c>
      <c r="B58" s="167">
        <v>3500</v>
      </c>
      <c r="C58" s="187">
        <f>'ІІ. Розр. з бюджетом'!C10</f>
        <v>0</v>
      </c>
      <c r="D58" s="187">
        <f>'ІІ. Розр. з бюджетом'!D10</f>
        <v>0</v>
      </c>
      <c r="E58" s="270">
        <f>'ІІ. Розр. з бюджетом'!E10</f>
        <v>0</v>
      </c>
      <c r="F58" s="187">
        <f>'ІІ. Розр. з бюджетом'!F10</f>
        <v>0</v>
      </c>
      <c r="G58" s="187">
        <f>'ІІ. Розр. з бюджетом'!G10</f>
        <v>0</v>
      </c>
      <c r="H58" s="187">
        <f>'ІІ. Розр. з бюджетом'!H10</f>
        <v>0</v>
      </c>
      <c r="I58" s="187">
        <f>'ІІ. Розр. з бюджетом'!I10</f>
        <v>0</v>
      </c>
    </row>
    <row r="59" spans="1:9" ht="37.5">
      <c r="A59" s="72" t="s">
        <v>104</v>
      </c>
      <c r="B59" s="167"/>
      <c r="C59" s="188"/>
      <c r="D59" s="188"/>
      <c r="E59" s="229"/>
      <c r="F59" s="188"/>
      <c r="G59" s="188"/>
      <c r="H59" s="188"/>
      <c r="I59" s="188"/>
    </row>
    <row r="60" spans="1:9" ht="20.100000000000001" customHeight="1">
      <c r="A60" s="72" t="s">
        <v>100</v>
      </c>
      <c r="B60" s="186">
        <v>3510</v>
      </c>
      <c r="C60" s="188"/>
      <c r="D60" s="188"/>
      <c r="E60" s="229"/>
      <c r="F60" s="188"/>
      <c r="G60" s="188"/>
      <c r="H60" s="188"/>
      <c r="I60" s="188"/>
    </row>
    <row r="61" spans="1:9" ht="20.100000000000001" customHeight="1">
      <c r="A61" s="72" t="s">
        <v>105</v>
      </c>
      <c r="B61" s="186">
        <v>3520</v>
      </c>
      <c r="C61" s="188"/>
      <c r="D61" s="188"/>
      <c r="E61" s="229"/>
      <c r="F61" s="188"/>
      <c r="G61" s="188"/>
      <c r="H61" s="188"/>
      <c r="I61" s="188"/>
    </row>
    <row r="62" spans="1:9" ht="20.100000000000001" customHeight="1">
      <c r="A62" s="72" t="s">
        <v>138</v>
      </c>
      <c r="B62" s="186">
        <v>3530</v>
      </c>
      <c r="C62" s="188"/>
      <c r="D62" s="188"/>
      <c r="E62" s="229"/>
      <c r="F62" s="188"/>
      <c r="G62" s="188"/>
      <c r="H62" s="188"/>
      <c r="I62" s="188"/>
    </row>
    <row r="63" spans="1:9" ht="37.5">
      <c r="A63" s="72" t="s">
        <v>102</v>
      </c>
      <c r="B63" s="167"/>
      <c r="C63" s="188"/>
      <c r="D63" s="188"/>
      <c r="E63" s="229"/>
      <c r="F63" s="188"/>
      <c r="G63" s="188"/>
      <c r="H63" s="188"/>
      <c r="I63" s="188"/>
    </row>
    <row r="64" spans="1:9" ht="20.100000000000001" customHeight="1">
      <c r="A64" s="72" t="s">
        <v>100</v>
      </c>
      <c r="B64" s="186">
        <v>3540</v>
      </c>
      <c r="C64" s="188"/>
      <c r="D64" s="188"/>
      <c r="E64" s="229"/>
      <c r="F64" s="188"/>
      <c r="G64" s="188"/>
      <c r="H64" s="188"/>
      <c r="I64" s="188"/>
    </row>
    <row r="65" spans="1:9" ht="20.100000000000001" customHeight="1">
      <c r="A65" s="72" t="s">
        <v>105</v>
      </c>
      <c r="B65" s="186">
        <v>3550</v>
      </c>
      <c r="C65" s="188"/>
      <c r="D65" s="188"/>
      <c r="E65" s="229"/>
      <c r="F65" s="188"/>
      <c r="G65" s="188"/>
      <c r="H65" s="188"/>
      <c r="I65" s="188"/>
    </row>
    <row r="66" spans="1:9" ht="20.100000000000001" customHeight="1">
      <c r="A66" s="72" t="s">
        <v>138</v>
      </c>
      <c r="B66" s="186">
        <v>3560</v>
      </c>
      <c r="C66" s="188"/>
      <c r="D66" s="188"/>
      <c r="E66" s="229"/>
      <c r="F66" s="188"/>
      <c r="G66" s="188"/>
      <c r="H66" s="188"/>
      <c r="I66" s="188"/>
    </row>
    <row r="67" spans="1:9" ht="20.100000000000001" customHeight="1">
      <c r="A67" s="72" t="s">
        <v>129</v>
      </c>
      <c r="B67" s="186">
        <v>3570</v>
      </c>
      <c r="C67" s="188"/>
      <c r="D67" s="188"/>
      <c r="E67" s="229"/>
      <c r="F67" s="188"/>
      <c r="G67" s="188"/>
      <c r="H67" s="188"/>
      <c r="I67" s="188"/>
    </row>
    <row r="68" spans="1:9" ht="37.5">
      <c r="A68" s="56" t="s">
        <v>179</v>
      </c>
      <c r="B68" s="91">
        <v>3580</v>
      </c>
      <c r="C68" s="189">
        <f t="shared" ref="C68:I68" si="4">(C44+C46+C47+C48+C50+C51+C52+C53+C54)-(C57+C58+C60+C61+C62+C64+C65+C66+C67)</f>
        <v>0</v>
      </c>
      <c r="D68" s="189">
        <f t="shared" si="4"/>
        <v>0</v>
      </c>
      <c r="E68" s="271">
        <f t="shared" si="4"/>
        <v>0</v>
      </c>
      <c r="F68" s="189">
        <f t="shared" si="4"/>
        <v>0</v>
      </c>
      <c r="G68" s="189">
        <f t="shared" si="4"/>
        <v>0</v>
      </c>
      <c r="H68" s="189">
        <f t="shared" si="4"/>
        <v>0</v>
      </c>
      <c r="I68" s="189">
        <f t="shared" si="4"/>
        <v>0</v>
      </c>
    </row>
    <row r="69" spans="1:9" s="12" customFormat="1" ht="20.100000000000001" customHeight="1">
      <c r="A69" s="8" t="s">
        <v>35</v>
      </c>
      <c r="B69" s="6"/>
      <c r="C69" s="192"/>
      <c r="D69" s="192"/>
      <c r="E69" s="265"/>
      <c r="F69" s="192"/>
      <c r="G69" s="192"/>
      <c r="H69" s="192"/>
      <c r="I69" s="192"/>
    </row>
    <row r="70" spans="1:9" s="12" customFormat="1" ht="20.100000000000001" customHeight="1">
      <c r="A70" s="9" t="s">
        <v>36</v>
      </c>
      <c r="B70" s="6">
        <v>3600</v>
      </c>
      <c r="C70" s="225">
        <v>13</v>
      </c>
      <c r="D70" s="188">
        <v>3</v>
      </c>
      <c r="E70" s="270">
        <f>C72</f>
        <v>3</v>
      </c>
      <c r="F70" s="187">
        <f>E72</f>
        <v>25</v>
      </c>
      <c r="G70" s="187">
        <f>E72</f>
        <v>25</v>
      </c>
      <c r="H70" s="187">
        <f>E72</f>
        <v>25</v>
      </c>
      <c r="I70" s="187">
        <f>E72</f>
        <v>25</v>
      </c>
    </row>
    <row r="71" spans="1:9" s="12" customFormat="1" ht="37.5">
      <c r="A71" s="72" t="s">
        <v>188</v>
      </c>
      <c r="B71" s="6">
        <v>3610</v>
      </c>
      <c r="C71" s="188"/>
      <c r="D71" s="188"/>
      <c r="E71" s="229"/>
      <c r="F71" s="188"/>
      <c r="G71" s="188"/>
      <c r="H71" s="188"/>
      <c r="I71" s="188"/>
    </row>
    <row r="72" spans="1:9" s="12" customFormat="1" ht="20.100000000000001" customHeight="1">
      <c r="A72" s="9" t="s">
        <v>59</v>
      </c>
      <c r="B72" s="6">
        <v>3620</v>
      </c>
      <c r="C72" s="189">
        <f t="shared" ref="C72:I72" si="5">C70+C20+C41+C68</f>
        <v>3</v>
      </c>
      <c r="D72" s="189">
        <f t="shared" si="5"/>
        <v>143</v>
      </c>
      <c r="E72" s="271">
        <f t="shared" si="5"/>
        <v>25</v>
      </c>
      <c r="F72" s="189">
        <f t="shared" si="5"/>
        <v>62</v>
      </c>
      <c r="G72" s="189">
        <f t="shared" si="5"/>
        <v>99</v>
      </c>
      <c r="H72" s="189">
        <f t="shared" si="5"/>
        <v>136</v>
      </c>
      <c r="I72" s="189">
        <f t="shared" si="5"/>
        <v>165</v>
      </c>
    </row>
    <row r="73" spans="1:9" s="12" customFormat="1" ht="20.100000000000001" customHeight="1">
      <c r="A73" s="9" t="s">
        <v>37</v>
      </c>
      <c r="B73" s="6">
        <v>3630</v>
      </c>
      <c r="C73" s="189">
        <f t="shared" ref="C73:I73" si="6">SUM(C20,C41,C68)</f>
        <v>-10</v>
      </c>
      <c r="D73" s="189">
        <f t="shared" si="6"/>
        <v>140</v>
      </c>
      <c r="E73" s="271">
        <f t="shared" si="6"/>
        <v>22</v>
      </c>
      <c r="F73" s="189">
        <f t="shared" si="6"/>
        <v>37</v>
      </c>
      <c r="G73" s="189">
        <f t="shared" si="6"/>
        <v>74</v>
      </c>
      <c r="H73" s="189">
        <f t="shared" si="6"/>
        <v>111</v>
      </c>
      <c r="I73" s="189">
        <f t="shared" si="6"/>
        <v>140</v>
      </c>
    </row>
    <row r="74" spans="1:9" s="12" customFormat="1" ht="20.100000000000001" customHeight="1">
      <c r="A74" s="147"/>
      <c r="B74" s="155"/>
      <c r="C74" s="156"/>
      <c r="D74" s="157"/>
      <c r="E74" s="274"/>
      <c r="F74" s="157"/>
      <c r="G74" s="157"/>
      <c r="H74" s="157"/>
      <c r="I74" s="157"/>
    </row>
    <row r="75" spans="1:9" s="12" customFormat="1" ht="20.100000000000001" customHeight="1">
      <c r="A75" s="147"/>
      <c r="B75" s="155"/>
      <c r="C75" s="156"/>
      <c r="D75" s="157"/>
      <c r="E75" s="274"/>
      <c r="F75" s="157"/>
      <c r="G75" s="157"/>
      <c r="H75" s="157"/>
      <c r="I75" s="157"/>
    </row>
    <row r="76" spans="1:9" s="12" customFormat="1" ht="20.100000000000001" customHeight="1">
      <c r="A76" s="147"/>
      <c r="B76" s="155"/>
      <c r="C76" s="156"/>
      <c r="D76" s="157"/>
      <c r="E76" s="274"/>
      <c r="F76" s="157"/>
      <c r="G76" s="157"/>
      <c r="H76" s="157"/>
      <c r="I76" s="157"/>
    </row>
    <row r="77" spans="1:9" s="2" customFormat="1">
      <c r="A77" s="139" t="s">
        <v>510</v>
      </c>
      <c r="B77" s="140"/>
      <c r="C77" s="294" t="s">
        <v>120</v>
      </c>
      <c r="D77" s="295"/>
      <c r="E77" s="295"/>
      <c r="F77" s="141"/>
      <c r="G77" s="296" t="s">
        <v>511</v>
      </c>
      <c r="H77" s="296"/>
      <c r="I77" s="296"/>
    </row>
    <row r="78" spans="1:9" ht="20.100000000000001" customHeight="1">
      <c r="A78" s="97" t="s">
        <v>390</v>
      </c>
      <c r="B78" s="110"/>
      <c r="C78" s="290" t="s">
        <v>85</v>
      </c>
      <c r="D78" s="290"/>
      <c r="E78" s="290"/>
      <c r="F78" s="142"/>
      <c r="G78" s="291" t="s">
        <v>116</v>
      </c>
      <c r="H78" s="291"/>
      <c r="I78" s="291"/>
    </row>
    <row r="79" spans="1:9">
      <c r="C79" s="4"/>
    </row>
    <row r="80" spans="1:9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</sheetData>
  <sheetProtection password="C6FB" sheet="1" formatCells="0" formatColumns="0" formatRows="0" insertRows="0"/>
  <mergeCells count="14">
    <mergeCell ref="A1:I1"/>
    <mergeCell ref="A3:A4"/>
    <mergeCell ref="B3:B4"/>
    <mergeCell ref="C3:C4"/>
    <mergeCell ref="D3:D4"/>
    <mergeCell ref="E3:E4"/>
    <mergeCell ref="F3:I3"/>
    <mergeCell ref="C78:E78"/>
    <mergeCell ref="G78:I78"/>
    <mergeCell ref="A21:I21"/>
    <mergeCell ref="A6:I6"/>
    <mergeCell ref="A42:I42"/>
    <mergeCell ref="C77:E77"/>
    <mergeCell ref="G77:I77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zoomScale="75" zoomScaleNormal="100" zoomScaleSheetLayoutView="50" workbookViewId="0">
      <selection activeCell="D8" sqref="D8"/>
    </sheetView>
  </sheetViews>
  <sheetFormatPr defaultRowHeight="18.75"/>
  <cols>
    <col min="1" max="1" width="45" style="2" customWidth="1"/>
    <col min="2" max="2" width="11.7109375" style="22" customWidth="1"/>
    <col min="3" max="4" width="16" style="22" customWidth="1"/>
    <col min="5" max="5" width="15.28515625" style="22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317" t="s">
        <v>233</v>
      </c>
      <c r="B1" s="317"/>
      <c r="C1" s="317"/>
      <c r="D1" s="317"/>
      <c r="E1" s="317"/>
      <c r="F1" s="317"/>
      <c r="G1" s="317"/>
      <c r="H1" s="317"/>
      <c r="I1" s="317"/>
    </row>
    <row r="2" spans="1:16">
      <c r="A2" s="349"/>
      <c r="B2" s="349"/>
      <c r="C2" s="349"/>
      <c r="D2" s="349"/>
      <c r="E2" s="349"/>
      <c r="F2" s="349"/>
      <c r="G2" s="349"/>
      <c r="H2" s="349"/>
      <c r="I2" s="349"/>
    </row>
    <row r="3" spans="1:16" ht="43.5" customHeight="1">
      <c r="A3" s="342" t="s">
        <v>277</v>
      </c>
      <c r="B3" s="345" t="s">
        <v>18</v>
      </c>
      <c r="C3" s="345" t="s">
        <v>32</v>
      </c>
      <c r="D3" s="345" t="s">
        <v>40</v>
      </c>
      <c r="E3" s="348" t="s">
        <v>185</v>
      </c>
      <c r="F3" s="345" t="s">
        <v>373</v>
      </c>
      <c r="G3" s="345"/>
      <c r="H3" s="345"/>
      <c r="I3" s="345"/>
    </row>
    <row r="4" spans="1:16" ht="56.25" customHeight="1">
      <c r="A4" s="342"/>
      <c r="B4" s="345"/>
      <c r="C4" s="345"/>
      <c r="D4" s="345"/>
      <c r="E4" s="348"/>
      <c r="F4" s="11" t="s">
        <v>382</v>
      </c>
      <c r="G4" s="11" t="s">
        <v>375</v>
      </c>
      <c r="H4" s="11" t="s">
        <v>376</v>
      </c>
      <c r="I4" s="11" t="s">
        <v>87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89</v>
      </c>
      <c r="B6" s="75">
        <v>4000</v>
      </c>
      <c r="C6" s="187">
        <f t="shared" ref="C6:I6" si="0">SUM(C7:C11)</f>
        <v>0</v>
      </c>
      <c r="D6" s="187">
        <f t="shared" si="0"/>
        <v>0</v>
      </c>
      <c r="E6" s="187">
        <f t="shared" si="0"/>
        <v>0</v>
      </c>
      <c r="F6" s="187">
        <f t="shared" si="0"/>
        <v>0</v>
      </c>
      <c r="G6" s="187">
        <f t="shared" si="0"/>
        <v>0</v>
      </c>
      <c r="H6" s="187">
        <f t="shared" si="0"/>
        <v>0</v>
      </c>
      <c r="I6" s="187">
        <f t="shared" si="0"/>
        <v>0</v>
      </c>
    </row>
    <row r="7" spans="1:16" ht="20.100000000000001" customHeight="1">
      <c r="A7" s="8" t="s">
        <v>1</v>
      </c>
      <c r="B7" s="76" t="s">
        <v>243</v>
      </c>
      <c r="C7" s="188"/>
      <c r="D7" s="188"/>
      <c r="E7" s="188"/>
      <c r="F7" s="188"/>
      <c r="G7" s="188"/>
      <c r="H7" s="188"/>
      <c r="I7" s="188"/>
    </row>
    <row r="8" spans="1:16" ht="37.5">
      <c r="A8" s="8" t="s">
        <v>2</v>
      </c>
      <c r="B8" s="75">
        <v>4020</v>
      </c>
      <c r="C8" s="188"/>
      <c r="D8" s="188"/>
      <c r="E8" s="188"/>
      <c r="F8" s="188"/>
      <c r="G8" s="188"/>
      <c r="H8" s="188"/>
      <c r="I8" s="188"/>
      <c r="P8" s="18"/>
    </row>
    <row r="9" spans="1:16" ht="37.5">
      <c r="A9" s="8" t="s">
        <v>31</v>
      </c>
      <c r="B9" s="76">
        <v>4030</v>
      </c>
      <c r="C9" s="188"/>
      <c r="D9" s="188"/>
      <c r="E9" s="188"/>
      <c r="F9" s="188"/>
      <c r="G9" s="188"/>
      <c r="H9" s="188"/>
      <c r="I9" s="188"/>
      <c r="O9" s="18"/>
    </row>
    <row r="10" spans="1:16" ht="37.5">
      <c r="A10" s="8" t="s">
        <v>3</v>
      </c>
      <c r="B10" s="75">
        <v>4040</v>
      </c>
      <c r="C10" s="188"/>
      <c r="D10" s="188"/>
      <c r="E10" s="188"/>
      <c r="F10" s="188"/>
      <c r="G10" s="188"/>
      <c r="H10" s="188"/>
      <c r="I10" s="188"/>
    </row>
    <row r="11" spans="1:16" ht="56.25">
      <c r="A11" s="8" t="s">
        <v>75</v>
      </c>
      <c r="B11" s="76">
        <v>4050</v>
      </c>
      <c r="C11" s="188"/>
      <c r="D11" s="188"/>
      <c r="E11" s="188"/>
      <c r="F11" s="188"/>
      <c r="G11" s="188"/>
      <c r="H11" s="188"/>
      <c r="I11" s="188"/>
    </row>
    <row r="12" spans="1:16" ht="20.100000000000001" customHeight="1">
      <c r="A12" s="110"/>
      <c r="B12" s="110"/>
      <c r="C12" s="110"/>
      <c r="D12" s="110"/>
      <c r="E12" s="110"/>
      <c r="F12" s="158"/>
      <c r="G12" s="158"/>
      <c r="H12" s="158"/>
      <c r="I12" s="158"/>
    </row>
    <row r="13" spans="1:16" ht="20.100000000000001" customHeight="1">
      <c r="A13" s="110"/>
      <c r="B13" s="110"/>
      <c r="C13" s="110"/>
      <c r="D13" s="110"/>
      <c r="E13" s="110"/>
      <c r="F13" s="158"/>
      <c r="G13" s="158"/>
      <c r="H13" s="158"/>
      <c r="I13" s="158"/>
    </row>
    <row r="14" spans="1:16" s="1" customFormat="1">
      <c r="A14" s="132"/>
      <c r="B14" s="147"/>
      <c r="C14" s="110"/>
      <c r="D14" s="110"/>
      <c r="E14" s="110"/>
      <c r="F14" s="110"/>
      <c r="G14" s="110"/>
      <c r="H14" s="110"/>
      <c r="I14" s="110"/>
      <c r="J14" s="2"/>
    </row>
    <row r="15" spans="1:16">
      <c r="A15" s="139" t="s">
        <v>510</v>
      </c>
      <c r="B15" s="140"/>
      <c r="C15" s="294" t="s">
        <v>120</v>
      </c>
      <c r="D15" s="295"/>
      <c r="E15" s="295"/>
      <c r="F15" s="141"/>
      <c r="G15" s="296" t="s">
        <v>512</v>
      </c>
      <c r="H15" s="296"/>
      <c r="I15" s="296"/>
    </row>
    <row r="16" spans="1:16" s="1" customFormat="1" ht="20.100000000000001" customHeight="1">
      <c r="A16" s="111" t="s">
        <v>84</v>
      </c>
      <c r="B16" s="110"/>
      <c r="C16" s="290" t="s">
        <v>85</v>
      </c>
      <c r="D16" s="290"/>
      <c r="E16" s="290"/>
      <c r="F16" s="142"/>
      <c r="G16" s="291" t="s">
        <v>116</v>
      </c>
      <c r="H16" s="291"/>
      <c r="I16" s="291"/>
    </row>
    <row r="17" spans="1:9">
      <c r="A17" s="159"/>
      <c r="B17" s="111"/>
      <c r="C17" s="111"/>
      <c r="D17" s="111"/>
      <c r="E17" s="111"/>
      <c r="F17" s="110"/>
      <c r="G17" s="110"/>
      <c r="H17" s="110"/>
      <c r="I17" s="110"/>
    </row>
    <row r="18" spans="1:9">
      <c r="A18" s="159"/>
      <c r="B18" s="111"/>
      <c r="C18" s="111"/>
      <c r="D18" s="111"/>
      <c r="E18" s="111"/>
      <c r="F18" s="110"/>
      <c r="G18" s="110"/>
      <c r="H18" s="110"/>
      <c r="I18" s="110"/>
    </row>
    <row r="19" spans="1:9">
      <c r="A19" s="48"/>
    </row>
    <row r="20" spans="1:9">
      <c r="A20" s="48"/>
    </row>
    <row r="21" spans="1:9">
      <c r="A21" s="48"/>
    </row>
    <row r="22" spans="1:9">
      <c r="A22" s="48"/>
    </row>
    <row r="23" spans="1:9">
      <c r="A23" s="48"/>
    </row>
    <row r="24" spans="1:9">
      <c r="A24" s="48"/>
    </row>
    <row r="25" spans="1:9">
      <c r="A25" s="48"/>
    </row>
    <row r="26" spans="1:9">
      <c r="A26" s="48"/>
    </row>
    <row r="27" spans="1:9">
      <c r="A27" s="48"/>
    </row>
    <row r="28" spans="1:9">
      <c r="A28" s="48"/>
    </row>
    <row r="29" spans="1:9">
      <c r="A29" s="48"/>
    </row>
    <row r="30" spans="1:9">
      <c r="A30" s="48"/>
    </row>
    <row r="31" spans="1:9">
      <c r="A31" s="48"/>
    </row>
    <row r="32" spans="1:9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1:I1"/>
    <mergeCell ref="B3:B4"/>
    <mergeCell ref="C3:C4"/>
    <mergeCell ref="D3:D4"/>
    <mergeCell ref="A2:I2"/>
    <mergeCell ref="F3:I3"/>
    <mergeCell ref="E3:E4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J31"/>
  <sheetViews>
    <sheetView zoomScale="75" zoomScaleNormal="75" zoomScaleSheetLayoutView="75" workbookViewId="0">
      <pane ySplit="5" topLeftCell="A6" activePane="bottomLeft" state="frozen"/>
      <selection pane="bottomLeft" activeCell="G15" sqref="G15"/>
    </sheetView>
  </sheetViews>
  <sheetFormatPr defaultRowHeight="12.75"/>
  <cols>
    <col min="1" max="1" width="59.42578125" style="29" customWidth="1"/>
    <col min="2" max="2" width="13.85546875" style="29" customWidth="1"/>
    <col min="3" max="3" width="14.5703125" style="29" customWidth="1"/>
    <col min="4" max="4" width="15" style="29" customWidth="1"/>
    <col min="5" max="5" width="13.85546875" style="29" customWidth="1"/>
    <col min="6" max="6" width="15.140625" style="29" customWidth="1"/>
    <col min="7" max="7" width="14.85546875" style="29" customWidth="1"/>
    <col min="8" max="8" width="37.42578125" style="29" customWidth="1"/>
    <col min="9" max="9" width="9.5703125" style="29" customWidth="1"/>
    <col min="10" max="16384" width="9.140625" style="29"/>
  </cols>
  <sheetData>
    <row r="1" spans="1:8" ht="25.5" customHeight="1">
      <c r="A1" s="350" t="s">
        <v>235</v>
      </c>
      <c r="B1" s="350"/>
      <c r="C1" s="350"/>
      <c r="D1" s="350"/>
      <c r="E1" s="350"/>
      <c r="F1" s="350"/>
      <c r="G1" s="350"/>
      <c r="H1" s="350"/>
    </row>
    <row r="2" spans="1:8" ht="6.75" customHeight="1"/>
    <row r="3" spans="1:8" ht="45" customHeight="1">
      <c r="A3" s="351" t="s">
        <v>277</v>
      </c>
      <c r="B3" s="351" t="s">
        <v>0</v>
      </c>
      <c r="C3" s="351" t="s">
        <v>111</v>
      </c>
      <c r="D3" s="351" t="s">
        <v>32</v>
      </c>
      <c r="E3" s="351" t="s">
        <v>112</v>
      </c>
      <c r="F3" s="353" t="s">
        <v>185</v>
      </c>
      <c r="G3" s="351" t="s">
        <v>113</v>
      </c>
      <c r="H3" s="351" t="s">
        <v>114</v>
      </c>
    </row>
    <row r="4" spans="1:8" ht="89.25" customHeight="1">
      <c r="A4" s="352"/>
      <c r="B4" s="352"/>
      <c r="C4" s="352"/>
      <c r="D4" s="352"/>
      <c r="E4" s="352"/>
      <c r="F4" s="354"/>
      <c r="G4" s="352"/>
      <c r="H4" s="352"/>
    </row>
    <row r="5" spans="1:8" s="61" customFormat="1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1" customFormat="1" ht="20.100000000000001" customHeight="1">
      <c r="A6" s="77" t="s">
        <v>207</v>
      </c>
      <c r="B6" s="60"/>
      <c r="C6" s="39"/>
      <c r="D6" s="39"/>
      <c r="E6" s="39"/>
      <c r="F6" s="39"/>
      <c r="G6" s="39"/>
      <c r="H6" s="39"/>
    </row>
    <row r="7" spans="1:8" ht="75">
      <c r="A7" s="8" t="s">
        <v>358</v>
      </c>
      <c r="B7" s="7">
        <v>5000</v>
      </c>
      <c r="C7" s="79" t="s">
        <v>345</v>
      </c>
      <c r="D7" s="193">
        <f>'Осн. фін. пок.'!C40*100/'Осн. фін. пок.'!C38</f>
        <v>-17.021276595744681</v>
      </c>
      <c r="E7" s="194">
        <v>-0.2</v>
      </c>
      <c r="F7" s="193">
        <f>'Осн. фін. пок.'!F40*100/'Осн. фін. пок.'!F38</f>
        <v>-9560</v>
      </c>
      <c r="G7" s="193">
        <f>'Осн. фін. пок.'!E40*100/'Осн. фін. пок.'!E38</f>
        <v>-1786.5248226950355</v>
      </c>
      <c r="H7" s="87"/>
    </row>
    <row r="8" spans="1:8" ht="63.95" customHeight="1">
      <c r="A8" s="8" t="s">
        <v>359</v>
      </c>
      <c r="B8" s="7">
        <v>5010</v>
      </c>
      <c r="C8" s="79" t="s">
        <v>345</v>
      </c>
      <c r="D8" s="193">
        <f>'Осн. фін. пок.'!C45*100/'Осн. фін. пок.'!C38</f>
        <v>-17.021276595744681</v>
      </c>
      <c r="E8" s="194">
        <v>-0.2</v>
      </c>
      <c r="F8" s="193">
        <f>'Осн. фін. пок.'!F45*100/'Осн. фін. пок.'!F38</f>
        <v>-4</v>
      </c>
      <c r="G8" s="193">
        <f>'Осн. фін. пок.'!E45*100/'Осн. фін. пок.'!E38</f>
        <v>99.290780141843967</v>
      </c>
      <c r="H8" s="87"/>
    </row>
    <row r="9" spans="1:8" ht="56.25">
      <c r="A9" s="89" t="s">
        <v>365</v>
      </c>
      <c r="B9" s="7">
        <v>5020</v>
      </c>
      <c r="C9" s="79" t="s">
        <v>345</v>
      </c>
      <c r="D9" s="193">
        <f>'Осн. фін. пок.'!C51/'Осн. фін. пок.'!C77</f>
        <v>-0.13014827018121911</v>
      </c>
      <c r="E9" s="194">
        <v>-0.1</v>
      </c>
      <c r="F9" s="193">
        <f>'Осн. фін. пок.'!F51/'Осн. фін. пок.'!F77</f>
        <v>-0.1242798353909465</v>
      </c>
      <c r="G9" s="193">
        <f>'Осн. фін. пок.'!E51/'Осн. фін. пок.'!E77</f>
        <v>0</v>
      </c>
      <c r="H9" s="87" t="s">
        <v>346</v>
      </c>
    </row>
    <row r="10" spans="1:8" ht="56.25">
      <c r="A10" s="89" t="s">
        <v>366</v>
      </c>
      <c r="B10" s="7">
        <v>5030</v>
      </c>
      <c r="C10" s="79" t="s">
        <v>345</v>
      </c>
      <c r="D10" s="193">
        <f>'Осн. фін. пок.'!C51/'Осн. фін. пок.'!C83</f>
        <v>-0.15090735434574976</v>
      </c>
      <c r="E10" s="194">
        <v>-0.2</v>
      </c>
      <c r="F10" s="193">
        <f>'Осн. фін. пок.'!F51/'Осн. фін. пок.'!F83</f>
        <v>-0.14422158548233047</v>
      </c>
      <c r="G10" s="193">
        <f>'Осн. фін. пок.'!E51/'Осн. фін. пок.'!E83</f>
        <v>0</v>
      </c>
      <c r="H10" s="87"/>
    </row>
    <row r="11" spans="1:8" ht="75">
      <c r="A11" s="89" t="s">
        <v>367</v>
      </c>
      <c r="B11" s="7">
        <v>5040</v>
      </c>
      <c r="C11" s="79" t="s">
        <v>115</v>
      </c>
      <c r="D11" s="193">
        <f>'Осн. фін. пок.'!C51/'Осн. фін. пок.'!C38</f>
        <v>-3.3617021276595747</v>
      </c>
      <c r="E11" s="194">
        <v>-3.4</v>
      </c>
      <c r="F11" s="193">
        <f>'Осн. фін. пок.'!F51/'Осн. фін. пок.'!F38</f>
        <v>-6.04</v>
      </c>
      <c r="G11" s="193">
        <f>'Осн. фін. пок.'!E51/'Осн. фін. пок.'!E38</f>
        <v>0</v>
      </c>
      <c r="H11" s="87" t="s">
        <v>347</v>
      </c>
    </row>
    <row r="12" spans="1:8" ht="20.100000000000001" customHeight="1">
      <c r="A12" s="77" t="s">
        <v>209</v>
      </c>
      <c r="B12" s="7"/>
      <c r="C12" s="80"/>
      <c r="D12" s="88"/>
      <c r="E12" s="194"/>
      <c r="F12" s="88"/>
      <c r="G12" s="88"/>
      <c r="H12" s="87"/>
    </row>
    <row r="13" spans="1:8" ht="63.95" customHeight="1">
      <c r="A13" s="78" t="s">
        <v>315</v>
      </c>
      <c r="B13" s="7">
        <v>5100</v>
      </c>
      <c r="C13" s="79"/>
      <c r="D13" s="193">
        <f>('Осн. фін. пок.'!C78+'Осн. фін. пок.'!C79)/'Осн. фін. пок.'!C45</f>
        <v>-21</v>
      </c>
      <c r="E13" s="194">
        <f t="shared" ref="E13:E18" si="0">F13</f>
        <v>-168</v>
      </c>
      <c r="F13" s="193">
        <f>('Осн. фін. пок.'!F78+'Осн. фін. пок.'!F79)/'Осн. фін. пок.'!F45</f>
        <v>-168</v>
      </c>
      <c r="G13" s="193">
        <f>('Осн. фін. пок.'!E78+'Осн. фін. пок.'!E79)/'Осн. фін. пок.'!E45</f>
        <v>1.2</v>
      </c>
      <c r="H13" s="87"/>
    </row>
    <row r="14" spans="1:8" s="61" customFormat="1" ht="75">
      <c r="A14" s="78" t="s">
        <v>316</v>
      </c>
      <c r="B14" s="7">
        <v>5110</v>
      </c>
      <c r="C14" s="79" t="s">
        <v>194</v>
      </c>
      <c r="D14" s="193">
        <f>'Осн. фін. пок.'!C83/('Осн. фін. пок.'!C78+'Осн. фін. пок.'!C79)</f>
        <v>6.2321428571428568</v>
      </c>
      <c r="E14" s="194">
        <v>6.2</v>
      </c>
      <c r="F14" s="193">
        <f>'Осн. фін. пок.'!F83/('Осн. фін. пок.'!F78+'Осн. фін. пок.'!F79)</f>
        <v>6.2321428571428568</v>
      </c>
      <c r="G14" s="193">
        <f>'Осн. фін. пок.'!E83/('Осн. фін. пок.'!E78+'Осн. фін. пок.'!E79)</f>
        <v>6.2321428571428568</v>
      </c>
      <c r="H14" s="87" t="s">
        <v>348</v>
      </c>
    </row>
    <row r="15" spans="1:8" s="61" customFormat="1" ht="112.5">
      <c r="A15" s="78" t="s">
        <v>317</v>
      </c>
      <c r="B15" s="7">
        <v>5120</v>
      </c>
      <c r="C15" s="79" t="s">
        <v>194</v>
      </c>
      <c r="D15" s="193">
        <f>'Осн. фін. пок.'!C75/'Осн. фін. пок.'!C79</f>
        <v>2.2738095238095237</v>
      </c>
      <c r="E15" s="194">
        <v>2.2999999999999998</v>
      </c>
      <c r="F15" s="193">
        <f>'Осн. фін. пок.'!F75/'Осн. фін. пок.'!F79</f>
        <v>2.2738095238095237</v>
      </c>
      <c r="G15" s="193">
        <f>'Осн. фін. пок.'!E75/'Осн. фін. пок.'!E79</f>
        <v>3.1071428571428572</v>
      </c>
      <c r="H15" s="87" t="s">
        <v>350</v>
      </c>
    </row>
    <row r="16" spans="1:8" ht="20.100000000000001" customHeight="1">
      <c r="A16" s="77" t="s">
        <v>208</v>
      </c>
      <c r="B16" s="7"/>
      <c r="C16" s="79"/>
      <c r="D16" s="195"/>
      <c r="E16" s="194"/>
      <c r="F16" s="195"/>
      <c r="G16" s="195"/>
      <c r="H16" s="87"/>
    </row>
    <row r="17" spans="1:10" ht="56.25">
      <c r="A17" s="78" t="s">
        <v>318</v>
      </c>
      <c r="B17" s="7">
        <v>5200</v>
      </c>
      <c r="C17" s="79"/>
      <c r="D17" s="193">
        <f>'Осн. фін. пок.'!C68/'I. Фін результат'!C100</f>
        <v>0</v>
      </c>
      <c r="E17" s="194">
        <f t="shared" si="0"/>
        <v>0</v>
      </c>
      <c r="F17" s="193">
        <f>'Осн. фін. пок.'!F68/'I. Фін результат'!E100</f>
        <v>0</v>
      </c>
      <c r="G17" s="193">
        <f>'Осн. фін. пок.'!E68/'I. Фін результат'!I100</f>
        <v>0</v>
      </c>
      <c r="H17" s="87"/>
    </row>
    <row r="18" spans="1:10" ht="75">
      <c r="A18" s="78" t="s">
        <v>319</v>
      </c>
      <c r="B18" s="7">
        <v>5210</v>
      </c>
      <c r="C18" s="79"/>
      <c r="D18" s="193">
        <f>'Осн. фін. пок.'!C68/'Осн. фін. пок.'!C38</f>
        <v>0</v>
      </c>
      <c r="E18" s="194">
        <f t="shared" si="0"/>
        <v>0</v>
      </c>
      <c r="F18" s="193">
        <f>'Осн. фін. пок.'!F68/'Осн. фін. пок.'!F38</f>
        <v>0</v>
      </c>
      <c r="G18" s="193">
        <f>'Осн. фін. пок.'!E68/'Осн. фін. пок.'!E38</f>
        <v>0</v>
      </c>
      <c r="H18" s="87"/>
    </row>
    <row r="19" spans="1:10" ht="63.95" customHeight="1">
      <c r="A19" s="78" t="s">
        <v>360</v>
      </c>
      <c r="B19" s="7">
        <v>5220</v>
      </c>
      <c r="C19" s="79" t="s">
        <v>345</v>
      </c>
      <c r="D19" s="194">
        <v>0.9</v>
      </c>
      <c r="E19" s="194">
        <v>0.2</v>
      </c>
      <c r="F19" s="194">
        <v>0.9</v>
      </c>
      <c r="G19" s="194">
        <v>0.13</v>
      </c>
      <c r="H19" s="87" t="s">
        <v>349</v>
      </c>
    </row>
    <row r="20" spans="1:10" ht="20.100000000000001" customHeight="1">
      <c r="A20" s="60" t="s">
        <v>295</v>
      </c>
      <c r="B20" s="7"/>
      <c r="C20" s="79"/>
      <c r="D20" s="195"/>
      <c r="E20" s="194"/>
      <c r="F20" s="195"/>
      <c r="G20" s="195"/>
      <c r="H20" s="87"/>
    </row>
    <row r="21" spans="1:10" ht="112.5">
      <c r="A21" s="89" t="s">
        <v>361</v>
      </c>
      <c r="B21" s="7">
        <v>5300</v>
      </c>
      <c r="C21" s="79"/>
      <c r="D21" s="194"/>
      <c r="E21" s="194"/>
      <c r="F21" s="194"/>
      <c r="G21" s="194"/>
      <c r="H21" s="160"/>
    </row>
    <row r="22" spans="1:10" ht="20.100000000000001" customHeight="1">
      <c r="A22" s="161"/>
      <c r="B22" s="161"/>
      <c r="C22" s="161"/>
      <c r="D22" s="161"/>
      <c r="E22" s="161"/>
      <c r="F22" s="161"/>
      <c r="G22" s="161"/>
      <c r="H22" s="161"/>
    </row>
    <row r="23" spans="1:10" ht="20.100000000000001" customHeight="1">
      <c r="A23" s="161"/>
      <c r="B23" s="161"/>
      <c r="C23" s="161"/>
      <c r="D23" s="161"/>
      <c r="E23" s="161"/>
      <c r="F23" s="161"/>
      <c r="G23" s="161"/>
      <c r="H23" s="161"/>
    </row>
    <row r="24" spans="1:10" ht="20.100000000000001" customHeight="1">
      <c r="A24" s="161"/>
      <c r="B24" s="161"/>
      <c r="C24" s="161"/>
      <c r="D24" s="161"/>
      <c r="E24" s="161"/>
      <c r="F24" s="161"/>
      <c r="G24" s="161"/>
      <c r="H24" s="161"/>
    </row>
    <row r="25" spans="1:10" s="2" customFormat="1" ht="33" customHeight="1">
      <c r="A25" s="139" t="s">
        <v>513</v>
      </c>
      <c r="B25" s="139"/>
      <c r="C25" s="140"/>
      <c r="D25" s="294" t="s">
        <v>120</v>
      </c>
      <c r="E25" s="295"/>
      <c r="F25" s="295"/>
      <c r="G25" s="295"/>
      <c r="H25" s="280" t="s">
        <v>407</v>
      </c>
    </row>
    <row r="26" spans="1:10" s="1" customFormat="1" ht="20.100000000000001" customHeight="1">
      <c r="A26" s="97" t="s">
        <v>408</v>
      </c>
      <c r="B26" s="162"/>
      <c r="C26" s="110"/>
      <c r="D26" s="290" t="s">
        <v>85</v>
      </c>
      <c r="E26" s="290"/>
      <c r="F26" s="290"/>
      <c r="G26" s="290"/>
      <c r="H26" s="147" t="s">
        <v>409</v>
      </c>
      <c r="I26" s="58"/>
      <c r="J26" s="58"/>
    </row>
    <row r="27" spans="1:10">
      <c r="A27" s="161"/>
      <c r="B27" s="161"/>
      <c r="C27" s="161"/>
      <c r="D27" s="161"/>
      <c r="E27" s="161"/>
      <c r="F27" s="161"/>
      <c r="G27" s="161"/>
      <c r="H27" s="161"/>
    </row>
    <row r="28" spans="1:10">
      <c r="A28" s="161"/>
      <c r="B28" s="161"/>
      <c r="C28" s="161"/>
      <c r="D28" s="161"/>
      <c r="E28" s="161"/>
      <c r="F28" s="161"/>
      <c r="G28" s="161"/>
      <c r="H28" s="161"/>
    </row>
    <row r="29" spans="1:10">
      <c r="A29" s="161"/>
      <c r="B29" s="161"/>
      <c r="C29" s="161"/>
      <c r="D29" s="161"/>
      <c r="E29" s="161"/>
      <c r="F29" s="161"/>
      <c r="G29" s="161"/>
      <c r="H29" s="161"/>
    </row>
    <row r="30" spans="1:10">
      <c r="A30" s="161"/>
      <c r="B30" s="161"/>
      <c r="C30" s="161"/>
      <c r="D30" s="161"/>
      <c r="E30" s="161"/>
      <c r="F30" s="161"/>
      <c r="G30" s="161"/>
      <c r="H30" s="161"/>
    </row>
    <row r="31" spans="1:10">
      <c r="A31" s="161"/>
      <c r="B31" s="161"/>
      <c r="C31" s="161"/>
      <c r="D31" s="161"/>
      <c r="E31" s="161"/>
      <c r="F31" s="161"/>
      <c r="G31" s="161"/>
      <c r="H31" s="161"/>
    </row>
  </sheetData>
  <sheetProtection password="C6FB" sheet="1" formatCells="0" formatColumns="0" formatRows="0"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O96"/>
  <sheetViews>
    <sheetView topLeftCell="A46" zoomScale="60" zoomScaleNormal="75" zoomScaleSheetLayoutView="75" workbookViewId="0">
      <selection activeCell="J31" sqref="J31:K31"/>
    </sheetView>
  </sheetViews>
  <sheetFormatPr defaultRowHeight="18.75"/>
  <cols>
    <col min="1" max="1" width="44.85546875" style="1" customWidth="1"/>
    <col min="2" max="2" width="13.5703125" style="17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3" width="16.7109375" style="1" customWidth="1"/>
    <col min="14" max="14" width="17" style="1" customWidth="1"/>
    <col min="15" max="15" width="16.7109375" style="1" customWidth="1"/>
    <col min="16" max="16384" width="9.140625" style="1"/>
  </cols>
  <sheetData>
    <row r="1" spans="1:15">
      <c r="A1" s="399" t="s">
        <v>139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>
      <c r="A2" s="399" t="s">
        <v>516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>
      <c r="A3" s="290" t="s">
        <v>404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20.100000000000001" customHeight="1">
      <c r="A4" s="400" t="s">
        <v>150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</row>
    <row r="5" spans="1:15" ht="21.95" customHeight="1">
      <c r="A5" s="401" t="s">
        <v>99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6.5" customHeight="1">
      <c r="A7" s="404" t="s">
        <v>351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292" t="s">
        <v>277</v>
      </c>
      <c r="B9" s="292"/>
      <c r="C9" s="292"/>
      <c r="D9" s="293" t="s">
        <v>152</v>
      </c>
      <c r="E9" s="293"/>
      <c r="F9" s="293" t="s">
        <v>32</v>
      </c>
      <c r="G9" s="293"/>
      <c r="H9" s="293" t="s">
        <v>71</v>
      </c>
      <c r="I9" s="293"/>
      <c r="J9" s="293" t="s">
        <v>153</v>
      </c>
      <c r="K9" s="293"/>
      <c r="L9" s="293" t="s">
        <v>298</v>
      </c>
      <c r="M9" s="293"/>
      <c r="N9" s="293" t="s">
        <v>299</v>
      </c>
      <c r="O9" s="293"/>
    </row>
    <row r="10" spans="1:15" s="2" customFormat="1" ht="18" customHeight="1">
      <c r="A10" s="292">
        <v>1</v>
      </c>
      <c r="B10" s="292"/>
      <c r="C10" s="292"/>
      <c r="D10" s="293">
        <v>2</v>
      </c>
      <c r="E10" s="293"/>
      <c r="F10" s="293">
        <v>3</v>
      </c>
      <c r="G10" s="293"/>
      <c r="H10" s="293">
        <v>4</v>
      </c>
      <c r="I10" s="293"/>
      <c r="J10" s="293">
        <v>5</v>
      </c>
      <c r="K10" s="293"/>
      <c r="L10" s="293">
        <v>6</v>
      </c>
      <c r="M10" s="293"/>
      <c r="N10" s="293">
        <v>7</v>
      </c>
      <c r="O10" s="293"/>
    </row>
    <row r="11" spans="1:15" s="2" customFormat="1" ht="20.100000000000001" customHeight="1">
      <c r="A11" s="297" t="s">
        <v>151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9"/>
      <c r="L11" s="402"/>
      <c r="M11" s="403"/>
      <c r="N11" s="402"/>
      <c r="O11" s="403"/>
    </row>
    <row r="12" spans="1:15" s="2" customFormat="1" ht="20.100000000000001" customHeight="1">
      <c r="A12" s="398" t="s">
        <v>320</v>
      </c>
      <c r="B12" s="398"/>
      <c r="C12" s="398"/>
      <c r="D12" s="389">
        <v>8</v>
      </c>
      <c r="E12" s="391"/>
      <c r="F12" s="389">
        <v>8</v>
      </c>
      <c r="G12" s="391"/>
      <c r="H12" s="389">
        <v>8</v>
      </c>
      <c r="I12" s="391"/>
      <c r="J12" s="389">
        <v>8</v>
      </c>
      <c r="K12" s="391"/>
      <c r="L12" s="355">
        <f>J12/H12*100%</f>
        <v>1</v>
      </c>
      <c r="M12" s="356"/>
      <c r="N12" s="355">
        <f>J12/F12*100%</f>
        <v>1</v>
      </c>
      <c r="O12" s="356"/>
    </row>
    <row r="13" spans="1:15" s="2" customFormat="1" ht="20.100000000000001" customHeight="1">
      <c r="A13" s="398" t="s">
        <v>321</v>
      </c>
      <c r="B13" s="398"/>
      <c r="C13" s="398"/>
      <c r="D13" s="389">
        <v>3</v>
      </c>
      <c r="E13" s="391"/>
      <c r="F13" s="389">
        <v>3</v>
      </c>
      <c r="G13" s="391"/>
      <c r="H13" s="389">
        <v>3</v>
      </c>
      <c r="I13" s="391"/>
      <c r="J13" s="389">
        <v>3</v>
      </c>
      <c r="K13" s="391"/>
      <c r="L13" s="355">
        <f t="shared" ref="L13:L32" si="0">J13/H13*100%</f>
        <v>1</v>
      </c>
      <c r="M13" s="356"/>
      <c r="N13" s="355">
        <f>J13/F13*100%</f>
        <v>1</v>
      </c>
      <c r="O13" s="356"/>
    </row>
    <row r="14" spans="1:15" s="2" customFormat="1" ht="20.100000000000001" customHeight="1">
      <c r="A14" s="398" t="s">
        <v>322</v>
      </c>
      <c r="B14" s="398"/>
      <c r="C14" s="398"/>
      <c r="D14" s="389">
        <v>9</v>
      </c>
      <c r="E14" s="391"/>
      <c r="F14" s="389">
        <v>24</v>
      </c>
      <c r="G14" s="391"/>
      <c r="H14" s="389">
        <v>17</v>
      </c>
      <c r="I14" s="391"/>
      <c r="J14" s="389">
        <v>17</v>
      </c>
      <c r="K14" s="391"/>
      <c r="L14" s="355">
        <f t="shared" si="0"/>
        <v>1</v>
      </c>
      <c r="M14" s="356"/>
      <c r="N14" s="355">
        <f t="shared" ref="N14:N32" si="1">J14/F14*100%</f>
        <v>0.70833333333333337</v>
      </c>
      <c r="O14" s="356"/>
    </row>
    <row r="15" spans="1:15" s="2" customFormat="1" ht="20.100000000000001" customHeight="1">
      <c r="A15" s="398" t="s">
        <v>323</v>
      </c>
      <c r="B15" s="398"/>
      <c r="C15" s="398"/>
      <c r="D15" s="389"/>
      <c r="E15" s="391"/>
      <c r="F15" s="389"/>
      <c r="G15" s="391"/>
      <c r="H15" s="389"/>
      <c r="I15" s="391"/>
      <c r="J15" s="389"/>
      <c r="K15" s="391"/>
      <c r="L15" s="355"/>
      <c r="M15" s="356"/>
      <c r="N15" s="355"/>
      <c r="O15" s="356"/>
    </row>
    <row r="16" spans="1:15" s="2" customFormat="1" ht="20.100000000000001" customHeight="1">
      <c r="A16" s="398" t="s">
        <v>324</v>
      </c>
      <c r="B16" s="398"/>
      <c r="C16" s="398"/>
      <c r="D16" s="389"/>
      <c r="E16" s="391"/>
      <c r="F16" s="389"/>
      <c r="G16" s="391"/>
      <c r="H16" s="389"/>
      <c r="I16" s="391"/>
      <c r="J16" s="389"/>
      <c r="K16" s="391"/>
      <c r="L16" s="355"/>
      <c r="M16" s="356"/>
      <c r="N16" s="355"/>
      <c r="O16" s="356"/>
    </row>
    <row r="17" spans="1:15" s="2" customFormat="1" ht="20.100000000000001" customHeight="1">
      <c r="A17" s="398" t="s">
        <v>325</v>
      </c>
      <c r="B17" s="398"/>
      <c r="C17" s="398"/>
      <c r="D17" s="389"/>
      <c r="E17" s="391"/>
      <c r="F17" s="389"/>
      <c r="G17" s="391"/>
      <c r="H17" s="389"/>
      <c r="I17" s="391"/>
      <c r="J17" s="389"/>
      <c r="K17" s="391"/>
      <c r="L17" s="355"/>
      <c r="M17" s="356"/>
      <c r="N17" s="355"/>
      <c r="O17" s="356"/>
    </row>
    <row r="18" spans="1:15" s="2" customFormat="1" ht="20.100000000000001" customHeight="1">
      <c r="A18" s="297" t="s">
        <v>296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9"/>
      <c r="L18" s="355"/>
      <c r="M18" s="356"/>
      <c r="N18" s="355"/>
      <c r="O18" s="356"/>
    </row>
    <row r="19" spans="1:15" s="2" customFormat="1" ht="20.100000000000001" customHeight="1">
      <c r="A19" s="361" t="s">
        <v>275</v>
      </c>
      <c r="B19" s="361"/>
      <c r="C19" s="361"/>
      <c r="D19" s="363">
        <v>158</v>
      </c>
      <c r="E19" s="364"/>
      <c r="F19" s="363">
        <v>191</v>
      </c>
      <c r="G19" s="364"/>
      <c r="H19" s="363">
        <v>173</v>
      </c>
      <c r="I19" s="364"/>
      <c r="J19" s="363">
        <f>штатка!J59/1000</f>
        <v>189.607</v>
      </c>
      <c r="K19" s="364"/>
      <c r="L19" s="355">
        <f t="shared" si="0"/>
        <v>1.0959942196531791</v>
      </c>
      <c r="M19" s="356"/>
      <c r="N19" s="355">
        <f t="shared" si="1"/>
        <v>0.99270680628272256</v>
      </c>
      <c r="O19" s="356"/>
    </row>
    <row r="20" spans="1:15" s="2" customFormat="1" ht="20.100000000000001" customHeight="1">
      <c r="A20" s="361" t="s">
        <v>300</v>
      </c>
      <c r="B20" s="361"/>
      <c r="C20" s="361"/>
      <c r="D20" s="363">
        <v>1291</v>
      </c>
      <c r="E20" s="364"/>
      <c r="F20" s="363">
        <v>1286</v>
      </c>
      <c r="G20" s="364"/>
      <c r="H20" s="363">
        <v>978</v>
      </c>
      <c r="I20" s="364"/>
      <c r="J20" s="363">
        <f>штатка!J60/1000</f>
        <v>1074.3889999999999</v>
      </c>
      <c r="K20" s="364"/>
      <c r="L20" s="355">
        <f t="shared" si="0"/>
        <v>1.0985572597137012</v>
      </c>
      <c r="M20" s="356"/>
      <c r="N20" s="355">
        <f t="shared" si="1"/>
        <v>0.83545023328149293</v>
      </c>
      <c r="O20" s="356"/>
    </row>
    <row r="21" spans="1:15" s="2" customFormat="1" ht="20.100000000000001" customHeight="1">
      <c r="A21" s="361" t="s">
        <v>276</v>
      </c>
      <c r="B21" s="361"/>
      <c r="C21" s="361"/>
      <c r="D21" s="363">
        <v>549</v>
      </c>
      <c r="E21" s="364"/>
      <c r="F21" s="363">
        <v>773</v>
      </c>
      <c r="G21" s="364"/>
      <c r="H21" s="363">
        <v>1987</v>
      </c>
      <c r="I21" s="364"/>
      <c r="J21" s="363">
        <f>штатка!J61/1000</f>
        <v>2187.6060000000002</v>
      </c>
      <c r="K21" s="364"/>
      <c r="L21" s="355">
        <f t="shared" ref="L21" si="2">J21/H21*100%</f>
        <v>1.10095923502768</v>
      </c>
      <c r="M21" s="356"/>
      <c r="N21" s="355">
        <f t="shared" si="1"/>
        <v>2.8300206985769729</v>
      </c>
      <c r="O21" s="356"/>
    </row>
    <row r="22" spans="1:15" s="2" customFormat="1" ht="20.100000000000001" customHeight="1">
      <c r="A22" s="395" t="s">
        <v>297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7"/>
      <c r="L22" s="355"/>
      <c r="M22" s="356"/>
      <c r="N22" s="355"/>
      <c r="O22" s="356"/>
    </row>
    <row r="23" spans="1:15" s="2" customFormat="1" ht="20.100000000000001" customHeight="1">
      <c r="A23" s="361" t="s">
        <v>275</v>
      </c>
      <c r="B23" s="361"/>
      <c r="C23" s="361"/>
      <c r="D23" s="363">
        <v>193</v>
      </c>
      <c r="E23" s="364"/>
      <c r="F23" s="363">
        <v>265</v>
      </c>
      <c r="G23" s="364"/>
      <c r="H23" s="363">
        <v>211</v>
      </c>
      <c r="I23" s="364"/>
      <c r="J23" s="363">
        <f>штатка!J64/1000</f>
        <v>231.32053999999999</v>
      </c>
      <c r="K23" s="364"/>
      <c r="L23" s="355">
        <f t="shared" si="0"/>
        <v>1.0963058767772511</v>
      </c>
      <c r="M23" s="356"/>
      <c r="N23" s="355">
        <f t="shared" si="1"/>
        <v>0.87290769811320756</v>
      </c>
      <c r="O23" s="356"/>
    </row>
    <row r="24" spans="1:15" s="2" customFormat="1" ht="20.100000000000001" customHeight="1">
      <c r="A24" s="361" t="s">
        <v>300</v>
      </c>
      <c r="B24" s="361"/>
      <c r="C24" s="361"/>
      <c r="D24" s="363">
        <v>1575</v>
      </c>
      <c r="E24" s="364"/>
      <c r="F24" s="363">
        <v>1695</v>
      </c>
      <c r="G24" s="364"/>
      <c r="H24" s="363">
        <v>1194</v>
      </c>
      <c r="I24" s="364"/>
      <c r="J24" s="363">
        <f>штатка!J65/1000</f>
        <v>1310.75458</v>
      </c>
      <c r="K24" s="364"/>
      <c r="L24" s="355">
        <f t="shared" si="0"/>
        <v>1.097784405360134</v>
      </c>
      <c r="M24" s="356"/>
      <c r="N24" s="355">
        <f t="shared" si="1"/>
        <v>0.77330653687315631</v>
      </c>
      <c r="O24" s="356"/>
    </row>
    <row r="25" spans="1:15" s="2" customFormat="1" ht="20.100000000000001" customHeight="1">
      <c r="A25" s="361" t="s">
        <v>276</v>
      </c>
      <c r="B25" s="361"/>
      <c r="C25" s="361"/>
      <c r="D25" s="363">
        <v>661</v>
      </c>
      <c r="E25" s="364"/>
      <c r="F25" s="363">
        <v>992</v>
      </c>
      <c r="G25" s="364"/>
      <c r="H25" s="363">
        <v>2416</v>
      </c>
      <c r="I25" s="364"/>
      <c r="J25" s="363">
        <v>2660</v>
      </c>
      <c r="K25" s="364"/>
      <c r="L25" s="355">
        <f t="shared" ref="L25" si="3">J25/H25*100%</f>
        <v>1.1009933774834437</v>
      </c>
      <c r="M25" s="356"/>
      <c r="N25" s="355">
        <f t="shared" si="1"/>
        <v>2.681451612903226</v>
      </c>
      <c r="O25" s="356"/>
    </row>
    <row r="26" spans="1:15" s="2" customFormat="1" ht="38.25" customHeight="1">
      <c r="A26" s="395" t="s">
        <v>326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7"/>
      <c r="L26" s="355"/>
      <c r="M26" s="356"/>
      <c r="N26" s="355"/>
      <c r="O26" s="356"/>
    </row>
    <row r="27" spans="1:15" s="2" customFormat="1" ht="20.100000000000001" customHeight="1">
      <c r="A27" s="361" t="s">
        <v>275</v>
      </c>
      <c r="B27" s="361"/>
      <c r="C27" s="361"/>
      <c r="D27" s="363">
        <v>12187</v>
      </c>
      <c r="E27" s="364"/>
      <c r="F27" s="363">
        <v>12187</v>
      </c>
      <c r="G27" s="364"/>
      <c r="H27" s="363">
        <v>13285</v>
      </c>
      <c r="I27" s="364"/>
      <c r="J27" s="363">
        <f>штатка!J69</f>
        <v>14539</v>
      </c>
      <c r="K27" s="364"/>
      <c r="L27" s="355">
        <f t="shared" si="0"/>
        <v>1.0943921716221303</v>
      </c>
      <c r="M27" s="356"/>
      <c r="N27" s="355">
        <f t="shared" si="1"/>
        <v>1.1929925330269959</v>
      </c>
      <c r="O27" s="356"/>
    </row>
    <row r="28" spans="1:15" s="2" customFormat="1" ht="20.100000000000001" customHeight="1">
      <c r="A28" s="361" t="s">
        <v>300</v>
      </c>
      <c r="B28" s="361"/>
      <c r="C28" s="361"/>
      <c r="D28" s="363">
        <v>8495</v>
      </c>
      <c r="E28" s="364"/>
      <c r="F28" s="363">
        <v>8681</v>
      </c>
      <c r="G28" s="364"/>
      <c r="H28" s="363">
        <v>8583</v>
      </c>
      <c r="I28" s="364"/>
      <c r="J28" s="363">
        <f>штатка!J70</f>
        <v>9392.8333333333339</v>
      </c>
      <c r="K28" s="364"/>
      <c r="L28" s="355">
        <f t="shared" si="0"/>
        <v>1.094353178764224</v>
      </c>
      <c r="M28" s="356"/>
      <c r="N28" s="355">
        <f t="shared" si="1"/>
        <v>1.0819990016511156</v>
      </c>
      <c r="O28" s="356"/>
    </row>
    <row r="29" spans="1:15" s="2" customFormat="1" ht="20.100000000000001" customHeight="1">
      <c r="A29" s="361" t="s">
        <v>276</v>
      </c>
      <c r="B29" s="361"/>
      <c r="C29" s="361"/>
      <c r="D29" s="363">
        <v>3207</v>
      </c>
      <c r="E29" s="364"/>
      <c r="F29" s="363">
        <v>3207</v>
      </c>
      <c r="G29" s="364"/>
      <c r="H29" s="363">
        <v>4981</v>
      </c>
      <c r="I29" s="364"/>
      <c r="J29" s="363">
        <f>штатка!J71</f>
        <v>5451.1428571428569</v>
      </c>
      <c r="K29" s="364"/>
      <c r="L29" s="355">
        <f t="shared" ref="L29" si="4">J29/H29*100%</f>
        <v>1.0943872429517882</v>
      </c>
      <c r="M29" s="356"/>
      <c r="N29" s="355">
        <f t="shared" si="1"/>
        <v>1.699763909305537</v>
      </c>
      <c r="O29" s="356"/>
    </row>
    <row r="30" spans="1:15" s="2" customFormat="1" ht="20.100000000000001" customHeight="1">
      <c r="A30" s="395" t="s">
        <v>327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7"/>
      <c r="L30" s="355"/>
      <c r="M30" s="356"/>
      <c r="N30" s="355"/>
      <c r="O30" s="356"/>
    </row>
    <row r="31" spans="1:15" s="2" customFormat="1" ht="20.100000000000001" customHeight="1">
      <c r="A31" s="361" t="s">
        <v>275</v>
      </c>
      <c r="B31" s="361"/>
      <c r="C31" s="361"/>
      <c r="D31" s="363">
        <v>13203</v>
      </c>
      <c r="E31" s="364"/>
      <c r="F31" s="363">
        <v>22129</v>
      </c>
      <c r="G31" s="364"/>
      <c r="H31" s="363">
        <v>14392</v>
      </c>
      <c r="I31" s="364"/>
      <c r="J31" s="363">
        <f>штатка!J74</f>
        <v>15800.583333333334</v>
      </c>
      <c r="K31" s="364"/>
      <c r="L31" s="355">
        <f t="shared" si="0"/>
        <v>1.0978726607374467</v>
      </c>
      <c r="M31" s="356"/>
      <c r="N31" s="355">
        <f t="shared" si="1"/>
        <v>0.71402157048819803</v>
      </c>
      <c r="O31" s="356"/>
    </row>
    <row r="32" spans="1:15" s="2" customFormat="1" ht="20.100000000000001" customHeight="1">
      <c r="A32" s="361" t="s">
        <v>300</v>
      </c>
      <c r="B32" s="361"/>
      <c r="C32" s="361"/>
      <c r="D32" s="363">
        <v>13450</v>
      </c>
      <c r="E32" s="364"/>
      <c r="F32" s="363">
        <v>15698</v>
      </c>
      <c r="G32" s="364"/>
      <c r="H32" s="363">
        <v>13590</v>
      </c>
      <c r="I32" s="364"/>
      <c r="J32" s="363">
        <f>штатка!J75</f>
        <v>14922.069444444445</v>
      </c>
      <c r="K32" s="364"/>
      <c r="L32" s="355">
        <f t="shared" si="0"/>
        <v>1.0980183549995912</v>
      </c>
      <c r="M32" s="356"/>
      <c r="N32" s="355">
        <f t="shared" si="1"/>
        <v>0.95057137498053546</v>
      </c>
      <c r="O32" s="356"/>
    </row>
    <row r="33" spans="1:15" s="2" customFormat="1" ht="20.100000000000001" customHeight="1">
      <c r="A33" s="361" t="s">
        <v>276</v>
      </c>
      <c r="B33" s="361"/>
      <c r="C33" s="361"/>
      <c r="D33" s="363">
        <v>5078</v>
      </c>
      <c r="E33" s="364"/>
      <c r="F33" s="363">
        <v>6355</v>
      </c>
      <c r="G33" s="364"/>
      <c r="H33" s="363">
        <v>7887</v>
      </c>
      <c r="I33" s="364"/>
      <c r="J33" s="363">
        <f>штатка!J76</f>
        <v>8680.9761904761908</v>
      </c>
      <c r="K33" s="364"/>
      <c r="L33" s="355">
        <f t="shared" ref="L33" si="5">J33/H33*100%</f>
        <v>1.1006689730539103</v>
      </c>
      <c r="M33" s="356"/>
      <c r="N33" s="355">
        <f>J33/F33*100%</f>
        <v>1.3660072683676145</v>
      </c>
      <c r="O33" s="356"/>
    </row>
    <row r="34" spans="1:15" ht="10.5" customHeight="1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0.100000000000001" customHeight="1">
      <c r="A35" s="394" t="s">
        <v>328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</row>
    <row r="36" spans="1:15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15" ht="21.95" customHeight="1">
      <c r="A37" s="362" t="s">
        <v>329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0.5" customHeight="1"/>
    <row r="39" spans="1:15" ht="60" customHeight="1">
      <c r="A39" s="37" t="s">
        <v>154</v>
      </c>
      <c r="B39" s="359" t="s">
        <v>330</v>
      </c>
      <c r="C39" s="360"/>
      <c r="D39" s="360"/>
      <c r="E39" s="360"/>
      <c r="F39" s="342" t="s">
        <v>93</v>
      </c>
      <c r="G39" s="342"/>
      <c r="H39" s="342"/>
      <c r="I39" s="342"/>
      <c r="J39" s="342"/>
      <c r="K39" s="342"/>
      <c r="L39" s="342"/>
      <c r="M39" s="342"/>
      <c r="N39" s="342"/>
      <c r="O39" s="342"/>
    </row>
    <row r="40" spans="1:15" ht="18" customHeight="1">
      <c r="A40" s="37">
        <v>1</v>
      </c>
      <c r="B40" s="359">
        <v>2</v>
      </c>
      <c r="C40" s="360"/>
      <c r="D40" s="360"/>
      <c r="E40" s="360"/>
      <c r="F40" s="342">
        <v>3</v>
      </c>
      <c r="G40" s="342"/>
      <c r="H40" s="342"/>
      <c r="I40" s="342"/>
      <c r="J40" s="342"/>
      <c r="K40" s="342"/>
      <c r="L40" s="342"/>
      <c r="M40" s="342"/>
      <c r="N40" s="342"/>
      <c r="O40" s="342"/>
    </row>
    <row r="41" spans="1:15" ht="20.100000000000001" customHeight="1">
      <c r="A41" s="163"/>
      <c r="B41" s="365"/>
      <c r="C41" s="366"/>
      <c r="D41" s="366"/>
      <c r="E41" s="366"/>
      <c r="F41" s="367"/>
      <c r="G41" s="367"/>
      <c r="H41" s="367"/>
      <c r="I41" s="367"/>
      <c r="J41" s="367"/>
      <c r="K41" s="367"/>
      <c r="L41" s="367"/>
      <c r="M41" s="367"/>
      <c r="N41" s="367"/>
      <c r="O41" s="367"/>
    </row>
    <row r="42" spans="1:15" ht="20.100000000000001" customHeight="1">
      <c r="A42" s="163"/>
      <c r="B42" s="365"/>
      <c r="C42" s="366"/>
      <c r="D42" s="366"/>
      <c r="E42" s="366"/>
      <c r="F42" s="367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20.100000000000001" customHeight="1">
      <c r="A43" s="163"/>
      <c r="B43" s="365"/>
      <c r="C43" s="366"/>
      <c r="D43" s="366"/>
      <c r="E43" s="366"/>
      <c r="F43" s="367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ht="20.100000000000001" customHeight="1">
      <c r="A44" s="163"/>
      <c r="B44" s="365"/>
      <c r="C44" s="366"/>
      <c r="D44" s="366"/>
      <c r="E44" s="366"/>
      <c r="F44" s="36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15" ht="20.100000000000001" customHeight="1">
      <c r="A45" s="163"/>
      <c r="B45" s="365"/>
      <c r="C45" s="366"/>
      <c r="D45" s="366"/>
      <c r="E45" s="366"/>
      <c r="F45" s="367"/>
      <c r="G45" s="367"/>
      <c r="H45" s="367"/>
      <c r="I45" s="367"/>
      <c r="J45" s="367"/>
      <c r="K45" s="367"/>
      <c r="L45" s="367"/>
      <c r="M45" s="367"/>
      <c r="N45" s="367"/>
      <c r="O45" s="367"/>
    </row>
    <row r="46" spans="1:15" ht="20.100000000000001" customHeight="1">
      <c r="A46" s="163"/>
      <c r="B46" s="365"/>
      <c r="C46" s="366"/>
      <c r="D46" s="366"/>
      <c r="E46" s="366"/>
      <c r="F46" s="367"/>
      <c r="G46" s="367"/>
      <c r="H46" s="367"/>
      <c r="I46" s="367"/>
      <c r="J46" s="367"/>
      <c r="K46" s="367"/>
      <c r="L46" s="367"/>
      <c r="M46" s="367"/>
      <c r="N46" s="367"/>
      <c r="O46" s="367"/>
    </row>
    <row r="47" spans="1:15" ht="20.100000000000001" customHeight="1">
      <c r="A47" s="163"/>
      <c r="B47" s="365"/>
      <c r="C47" s="366"/>
      <c r="D47" s="366"/>
      <c r="E47" s="366"/>
      <c r="F47" s="367"/>
      <c r="G47" s="367"/>
      <c r="H47" s="367"/>
      <c r="I47" s="367"/>
      <c r="J47" s="367"/>
      <c r="K47" s="367"/>
      <c r="L47" s="367"/>
      <c r="M47" s="367"/>
      <c r="N47" s="367"/>
      <c r="O47" s="367"/>
    </row>
    <row r="48" spans="1:15" ht="20.100000000000001" customHeight="1">
      <c r="A48" s="163"/>
      <c r="B48" s="365"/>
      <c r="C48" s="366"/>
      <c r="D48" s="366"/>
      <c r="E48" s="366"/>
      <c r="F48" s="365"/>
      <c r="G48" s="366"/>
      <c r="H48" s="366"/>
      <c r="I48" s="366"/>
      <c r="J48" s="366"/>
      <c r="K48" s="366"/>
      <c r="L48" s="366"/>
      <c r="M48" s="366"/>
      <c r="N48" s="366"/>
      <c r="O48" s="376"/>
    </row>
    <row r="49" spans="1:15" ht="20.100000000000001" customHeight="1">
      <c r="A49" s="163"/>
      <c r="B49" s="365"/>
      <c r="C49" s="366"/>
      <c r="D49" s="366"/>
      <c r="E49" s="376"/>
      <c r="F49" s="365"/>
      <c r="G49" s="366"/>
      <c r="H49" s="366"/>
      <c r="I49" s="366"/>
      <c r="J49" s="366"/>
      <c r="K49" s="366"/>
      <c r="L49" s="366"/>
      <c r="M49" s="366"/>
      <c r="N49" s="366"/>
      <c r="O49" s="376"/>
    </row>
    <row r="50" spans="1:15" ht="20.100000000000001" customHeight="1">
      <c r="A50" s="7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21.95" customHeight="1">
      <c r="A51" s="375" t="s">
        <v>257</v>
      </c>
      <c r="B51" s="375"/>
      <c r="C51" s="375"/>
      <c r="D51" s="375"/>
      <c r="E51" s="375"/>
      <c r="F51" s="375"/>
      <c r="G51" s="375"/>
      <c r="H51" s="375"/>
      <c r="I51" s="375"/>
      <c r="J51" s="375"/>
    </row>
    <row r="52" spans="1:15" ht="20.100000000000001" customHeight="1">
      <c r="A52" s="16"/>
    </row>
    <row r="53" spans="1:15" ht="63.95" customHeight="1">
      <c r="A53" s="345" t="s">
        <v>277</v>
      </c>
      <c r="B53" s="345" t="s">
        <v>331</v>
      </c>
      <c r="C53" s="345"/>
      <c r="D53" s="374" t="s">
        <v>517</v>
      </c>
      <c r="E53" s="374"/>
      <c r="F53" s="374"/>
      <c r="G53" s="374" t="s">
        <v>518</v>
      </c>
      <c r="H53" s="374"/>
      <c r="I53" s="374"/>
      <c r="J53" s="378" t="s">
        <v>519</v>
      </c>
      <c r="K53" s="379"/>
      <c r="L53" s="380"/>
      <c r="M53" s="374" t="s">
        <v>523</v>
      </c>
      <c r="N53" s="374"/>
      <c r="O53" s="374"/>
    </row>
    <row r="54" spans="1:15" ht="168.75">
      <c r="A54" s="345"/>
      <c r="B54" s="7" t="s">
        <v>79</v>
      </c>
      <c r="C54" s="7" t="s">
        <v>80</v>
      </c>
      <c r="D54" s="7" t="s">
        <v>332</v>
      </c>
      <c r="E54" s="7" t="s">
        <v>333</v>
      </c>
      <c r="F54" s="7" t="s">
        <v>334</v>
      </c>
      <c r="G54" s="7" t="s">
        <v>332</v>
      </c>
      <c r="H54" s="7" t="s">
        <v>333</v>
      </c>
      <c r="I54" s="7" t="s">
        <v>334</v>
      </c>
      <c r="J54" s="7" t="s">
        <v>332</v>
      </c>
      <c r="K54" s="7" t="s">
        <v>333</v>
      </c>
      <c r="L54" s="7" t="s">
        <v>334</v>
      </c>
      <c r="M54" s="7" t="s">
        <v>332</v>
      </c>
      <c r="N54" s="7" t="s">
        <v>333</v>
      </c>
      <c r="O54" s="7" t="s">
        <v>334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0" customHeight="1">
      <c r="A56" s="164" t="s">
        <v>405</v>
      </c>
      <c r="B56" s="109">
        <v>100</v>
      </c>
      <c r="C56" s="109">
        <v>100</v>
      </c>
      <c r="D56" s="109">
        <v>47</v>
      </c>
      <c r="E56" s="109" t="s">
        <v>522</v>
      </c>
      <c r="F56" s="109">
        <v>1000</v>
      </c>
      <c r="G56" s="109">
        <v>138</v>
      </c>
      <c r="H56" s="109" t="s">
        <v>493</v>
      </c>
      <c r="I56" s="109">
        <v>1000</v>
      </c>
      <c r="J56" s="109">
        <v>25</v>
      </c>
      <c r="K56" s="284" t="s">
        <v>520</v>
      </c>
      <c r="L56" s="109">
        <v>1000</v>
      </c>
      <c r="M56" s="109">
        <v>141</v>
      </c>
      <c r="N56" s="230" t="s">
        <v>521</v>
      </c>
      <c r="O56" s="227">
        <v>1000</v>
      </c>
    </row>
    <row r="57" spans="1:15" ht="20.100000000000001" customHeight="1">
      <c r="A57" s="164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20.100000000000001" customHeight="1">
      <c r="A58" s="165" t="s">
        <v>61</v>
      </c>
      <c r="B58" s="76">
        <v>100</v>
      </c>
      <c r="C58" s="76">
        <v>100</v>
      </c>
      <c r="D58" s="93">
        <f>SUM(D56:D57)</f>
        <v>47</v>
      </c>
      <c r="E58" s="109"/>
      <c r="F58" s="150"/>
      <c r="G58" s="93">
        <f>SUM(G56:G57)</f>
        <v>138</v>
      </c>
      <c r="H58" s="150"/>
      <c r="I58" s="150"/>
      <c r="J58" s="93">
        <f>SUM(J56:J57)</f>
        <v>25</v>
      </c>
      <c r="K58" s="150"/>
      <c r="L58" s="150"/>
      <c r="M58" s="93">
        <f>SUM(M56:M57)</f>
        <v>141</v>
      </c>
      <c r="N58" s="150"/>
      <c r="O58" s="150"/>
    </row>
    <row r="59" spans="1:15" ht="20.100000000000001" customHeight="1">
      <c r="A59" s="18"/>
      <c r="B59" s="19"/>
      <c r="C59" s="19"/>
      <c r="D59" s="19"/>
      <c r="E59" s="19"/>
      <c r="F59" s="10"/>
      <c r="G59" s="10"/>
      <c r="H59" s="10"/>
      <c r="I59" s="5"/>
      <c r="J59" s="5"/>
      <c r="K59" s="5"/>
      <c r="L59" s="5"/>
      <c r="M59" s="5"/>
      <c r="N59" s="5"/>
      <c r="O59" s="5"/>
    </row>
    <row r="60" spans="1:15" ht="21.95" customHeight="1">
      <c r="A60" s="362" t="s">
        <v>81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20.100000000000001" customHeight="1">
      <c r="A61" s="16"/>
    </row>
    <row r="62" spans="1:15" ht="63.95" customHeight="1">
      <c r="A62" s="7" t="s">
        <v>143</v>
      </c>
      <c r="B62" s="345" t="s">
        <v>78</v>
      </c>
      <c r="C62" s="345"/>
      <c r="D62" s="345" t="s">
        <v>73</v>
      </c>
      <c r="E62" s="345"/>
      <c r="F62" s="345" t="s">
        <v>74</v>
      </c>
      <c r="G62" s="345"/>
      <c r="H62" s="345" t="s">
        <v>335</v>
      </c>
      <c r="I62" s="345"/>
      <c r="J62" s="345"/>
      <c r="K62" s="371" t="s">
        <v>94</v>
      </c>
      <c r="L62" s="373"/>
      <c r="M62" s="371" t="s">
        <v>38</v>
      </c>
      <c r="N62" s="372"/>
      <c r="O62" s="373"/>
    </row>
    <row r="63" spans="1:15" ht="18" customHeight="1">
      <c r="A63" s="6">
        <v>1</v>
      </c>
      <c r="B63" s="342">
        <v>2</v>
      </c>
      <c r="C63" s="342"/>
      <c r="D63" s="342">
        <v>3</v>
      </c>
      <c r="E63" s="342"/>
      <c r="F63" s="358">
        <v>4</v>
      </c>
      <c r="G63" s="358"/>
      <c r="H63" s="342">
        <v>5</v>
      </c>
      <c r="I63" s="342"/>
      <c r="J63" s="342"/>
      <c r="K63" s="342">
        <v>6</v>
      </c>
      <c r="L63" s="342"/>
      <c r="M63" s="359">
        <v>7</v>
      </c>
      <c r="N63" s="360"/>
      <c r="O63" s="377"/>
    </row>
    <row r="64" spans="1:15" ht="20.100000000000001" customHeight="1">
      <c r="A64" s="164"/>
      <c r="B64" s="357"/>
      <c r="C64" s="357"/>
      <c r="D64" s="357"/>
      <c r="E64" s="357"/>
      <c r="F64" s="357"/>
      <c r="G64" s="357"/>
      <c r="H64" s="357"/>
      <c r="I64" s="357"/>
      <c r="J64" s="357"/>
      <c r="K64" s="368"/>
      <c r="L64" s="370"/>
      <c r="M64" s="357"/>
      <c r="N64" s="357"/>
      <c r="O64" s="357"/>
    </row>
    <row r="65" spans="1:15" ht="20.100000000000001" customHeight="1">
      <c r="A65" s="164"/>
      <c r="B65" s="368"/>
      <c r="C65" s="370"/>
      <c r="D65" s="368"/>
      <c r="E65" s="370"/>
      <c r="F65" s="368"/>
      <c r="G65" s="370"/>
      <c r="H65" s="368"/>
      <c r="I65" s="369"/>
      <c r="J65" s="370"/>
      <c r="K65" s="368"/>
      <c r="L65" s="370"/>
      <c r="M65" s="368"/>
      <c r="N65" s="369"/>
      <c r="O65" s="370"/>
    </row>
    <row r="66" spans="1:15" ht="20.100000000000001" customHeight="1">
      <c r="A66" s="164"/>
      <c r="B66" s="357"/>
      <c r="C66" s="357"/>
      <c r="D66" s="357"/>
      <c r="E66" s="357"/>
      <c r="F66" s="357"/>
      <c r="G66" s="357"/>
      <c r="H66" s="357"/>
      <c r="I66" s="357"/>
      <c r="J66" s="357"/>
      <c r="K66" s="368"/>
      <c r="L66" s="370"/>
      <c r="M66" s="357"/>
      <c r="N66" s="357"/>
      <c r="O66" s="357"/>
    </row>
    <row r="67" spans="1:15" ht="20.100000000000001" customHeight="1">
      <c r="A67" s="165" t="s">
        <v>61</v>
      </c>
      <c r="B67" s="387" t="s">
        <v>39</v>
      </c>
      <c r="C67" s="387"/>
      <c r="D67" s="387" t="s">
        <v>39</v>
      </c>
      <c r="E67" s="387"/>
      <c r="F67" s="387" t="s">
        <v>39</v>
      </c>
      <c r="G67" s="387"/>
      <c r="H67" s="357"/>
      <c r="I67" s="357"/>
      <c r="J67" s="357"/>
      <c r="K67" s="385">
        <f>SUM(K64:L66)</f>
        <v>0</v>
      </c>
      <c r="L67" s="386"/>
      <c r="M67" s="357"/>
      <c r="N67" s="357"/>
      <c r="O67" s="357"/>
    </row>
    <row r="68" spans="1:15" ht="20.100000000000001" customHeight="1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"/>
      <c r="L68" s="2"/>
      <c r="M68" s="2"/>
      <c r="N68" s="2"/>
      <c r="O68" s="2"/>
    </row>
    <row r="69" spans="1:15" ht="21.95" customHeight="1">
      <c r="A69" s="362" t="s">
        <v>82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20.100000000000001" customHeight="1">
      <c r="A70" s="5"/>
      <c r="B70" s="14"/>
      <c r="C70" s="5"/>
      <c r="D70" s="5"/>
      <c r="E70" s="5"/>
      <c r="F70" s="5"/>
      <c r="G70" s="5"/>
      <c r="H70" s="5"/>
      <c r="I70" s="13"/>
    </row>
    <row r="71" spans="1:15" ht="63.95" customHeight="1">
      <c r="A71" s="374" t="s">
        <v>72</v>
      </c>
      <c r="B71" s="374"/>
      <c r="C71" s="374"/>
      <c r="D71" s="374" t="s">
        <v>95</v>
      </c>
      <c r="E71" s="374"/>
      <c r="F71" s="374"/>
      <c r="G71" s="374" t="s">
        <v>362</v>
      </c>
      <c r="H71" s="374"/>
      <c r="I71" s="374"/>
      <c r="J71" s="374" t="s">
        <v>356</v>
      </c>
      <c r="K71" s="374"/>
      <c r="L71" s="374"/>
      <c r="M71" s="374" t="s">
        <v>96</v>
      </c>
      <c r="N71" s="374"/>
      <c r="O71" s="374"/>
    </row>
    <row r="72" spans="1:15" ht="18" customHeight="1">
      <c r="A72" s="374">
        <v>1</v>
      </c>
      <c r="B72" s="374"/>
      <c r="C72" s="374"/>
      <c r="D72" s="374">
        <v>2</v>
      </c>
      <c r="E72" s="374"/>
      <c r="F72" s="374"/>
      <c r="G72" s="374">
        <v>3</v>
      </c>
      <c r="H72" s="374"/>
      <c r="I72" s="374"/>
      <c r="J72" s="393">
        <v>4</v>
      </c>
      <c r="K72" s="393"/>
      <c r="L72" s="393"/>
      <c r="M72" s="393">
        <v>5</v>
      </c>
      <c r="N72" s="393"/>
      <c r="O72" s="393"/>
    </row>
    <row r="73" spans="1:15" ht="20.100000000000001" customHeight="1">
      <c r="A73" s="381" t="s">
        <v>336</v>
      </c>
      <c r="B73" s="381"/>
      <c r="C73" s="381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</row>
    <row r="74" spans="1:15" ht="20.100000000000001" customHeight="1">
      <c r="A74" s="381" t="s">
        <v>117</v>
      </c>
      <c r="B74" s="381"/>
      <c r="C74" s="381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</row>
    <row r="75" spans="1:15" ht="20.100000000000001" customHeight="1">
      <c r="A75" s="381"/>
      <c r="B75" s="381"/>
      <c r="C75" s="381"/>
      <c r="D75" s="389"/>
      <c r="E75" s="390"/>
      <c r="F75" s="391"/>
      <c r="G75" s="389"/>
      <c r="H75" s="390"/>
      <c r="I75" s="391"/>
      <c r="J75" s="389"/>
      <c r="K75" s="390"/>
      <c r="L75" s="391"/>
      <c r="M75" s="389"/>
      <c r="N75" s="390"/>
      <c r="O75" s="391"/>
    </row>
    <row r="76" spans="1:15" ht="20.100000000000001" customHeight="1">
      <c r="A76" s="381" t="s">
        <v>337</v>
      </c>
      <c r="B76" s="381"/>
      <c r="C76" s="381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</row>
    <row r="77" spans="1:15" ht="20.100000000000001" customHeight="1">
      <c r="A77" s="381" t="s">
        <v>118</v>
      </c>
      <c r="B77" s="381"/>
      <c r="C77" s="381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</row>
    <row r="78" spans="1:15" ht="20.100000000000001" customHeight="1">
      <c r="A78" s="381"/>
      <c r="B78" s="381"/>
      <c r="C78" s="381"/>
      <c r="D78" s="389"/>
      <c r="E78" s="390"/>
      <c r="F78" s="391"/>
      <c r="G78" s="389"/>
      <c r="H78" s="390"/>
      <c r="I78" s="391"/>
      <c r="J78" s="389"/>
      <c r="K78" s="390"/>
      <c r="L78" s="391"/>
      <c r="M78" s="389"/>
      <c r="N78" s="390"/>
      <c r="O78" s="391"/>
    </row>
    <row r="79" spans="1:15" ht="20.100000000000001" customHeight="1">
      <c r="A79" s="381" t="s">
        <v>338</v>
      </c>
      <c r="B79" s="381"/>
      <c r="C79" s="381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</row>
    <row r="80" spans="1:15" ht="20.100000000000001" customHeight="1">
      <c r="A80" s="381" t="s">
        <v>117</v>
      </c>
      <c r="B80" s="381"/>
      <c r="C80" s="381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</row>
    <row r="81" spans="1:15" ht="20.100000000000001" customHeight="1">
      <c r="A81" s="382"/>
      <c r="B81" s="383"/>
      <c r="C81" s="384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</row>
    <row r="82" spans="1:15" ht="20.100000000000001" customHeight="1">
      <c r="A82" s="382" t="s">
        <v>61</v>
      </c>
      <c r="B82" s="383"/>
      <c r="C82" s="384"/>
      <c r="D82" s="392"/>
      <c r="E82" s="392"/>
      <c r="F82" s="392"/>
      <c r="G82" s="392"/>
      <c r="H82" s="392"/>
      <c r="I82" s="392"/>
      <c r="J82" s="388"/>
      <c r="K82" s="388"/>
      <c r="L82" s="388"/>
      <c r="M82" s="388"/>
      <c r="N82" s="388"/>
      <c r="O82" s="388"/>
    </row>
    <row r="83" spans="1:15">
      <c r="C83" s="28"/>
      <c r="D83" s="28"/>
      <c r="E83" s="28"/>
    </row>
    <row r="84" spans="1:15">
      <c r="C84" s="28"/>
      <c r="D84" s="28"/>
      <c r="E84" s="28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</sheetData>
  <sheetProtection insertColumns="0" insertRows="0"/>
  <mergeCells count="290">
    <mergeCell ref="A5:O5"/>
    <mergeCell ref="N12:O12"/>
    <mergeCell ref="N11:O11"/>
    <mergeCell ref="D12:E12"/>
    <mergeCell ref="F10:G10"/>
    <mergeCell ref="L11:M11"/>
    <mergeCell ref="A7:O7"/>
    <mergeCell ref="H9:I9"/>
    <mergeCell ref="A10:C10"/>
    <mergeCell ref="J10:K10"/>
    <mergeCell ref="D10:E10"/>
    <mergeCell ref="N9:O9"/>
    <mergeCell ref="L9:M9"/>
    <mergeCell ref="J12:K12"/>
    <mergeCell ref="F12:G12"/>
    <mergeCell ref="A13:C13"/>
    <mergeCell ref="J13:K13"/>
    <mergeCell ref="D13:E13"/>
    <mergeCell ref="H13:I13"/>
    <mergeCell ref="F13:G13"/>
    <mergeCell ref="H12:I12"/>
    <mergeCell ref="N10:O10"/>
    <mergeCell ref="H10:I10"/>
    <mergeCell ref="L10:M10"/>
    <mergeCell ref="L17:M17"/>
    <mergeCell ref="F16:G16"/>
    <mergeCell ref="J16:K16"/>
    <mergeCell ref="D17:E17"/>
    <mergeCell ref="D16:E16"/>
    <mergeCell ref="H17:I17"/>
    <mergeCell ref="A19:C19"/>
    <mergeCell ref="A12:C12"/>
    <mergeCell ref="A1:O1"/>
    <mergeCell ref="A2:O2"/>
    <mergeCell ref="A3:O3"/>
    <mergeCell ref="D9:E9"/>
    <mergeCell ref="F9:G9"/>
    <mergeCell ref="A9:C9"/>
    <mergeCell ref="A4:O4"/>
    <mergeCell ref="J9:K9"/>
    <mergeCell ref="N17:O17"/>
    <mergeCell ref="N13:O13"/>
    <mergeCell ref="N14:O14"/>
    <mergeCell ref="L13:M13"/>
    <mergeCell ref="N15:O15"/>
    <mergeCell ref="N16:O16"/>
    <mergeCell ref="A11:K11"/>
    <mergeCell ref="L12:M12"/>
    <mergeCell ref="N19:O19"/>
    <mergeCell ref="A20:C20"/>
    <mergeCell ref="D20:E20"/>
    <mergeCell ref="A14:C14"/>
    <mergeCell ref="L16:M16"/>
    <mergeCell ref="J20:K20"/>
    <mergeCell ref="J14:K14"/>
    <mergeCell ref="H14:I14"/>
    <mergeCell ref="D14:E14"/>
    <mergeCell ref="F14:G14"/>
    <mergeCell ref="L14:M14"/>
    <mergeCell ref="D19:E19"/>
    <mergeCell ref="A16:C16"/>
    <mergeCell ref="L15:M15"/>
    <mergeCell ref="A17:C17"/>
    <mergeCell ref="F17:G17"/>
    <mergeCell ref="A15:C15"/>
    <mergeCell ref="H15:I15"/>
    <mergeCell ref="J15:K15"/>
    <mergeCell ref="D15:E15"/>
    <mergeCell ref="F15:G15"/>
    <mergeCell ref="J17:K17"/>
    <mergeCell ref="A18:K18"/>
    <mergeCell ref="H16:I16"/>
    <mergeCell ref="N18:O18"/>
    <mergeCell ref="L18:M18"/>
    <mergeCell ref="L22:M22"/>
    <mergeCell ref="N22:O22"/>
    <mergeCell ref="D23:E23"/>
    <mergeCell ref="A23:C23"/>
    <mergeCell ref="F23:G23"/>
    <mergeCell ref="J23:K23"/>
    <mergeCell ref="D21:E21"/>
    <mergeCell ref="J21:K21"/>
    <mergeCell ref="N21:O21"/>
    <mergeCell ref="H19:I19"/>
    <mergeCell ref="J19:K19"/>
    <mergeCell ref="H23:I23"/>
    <mergeCell ref="L21:M21"/>
    <mergeCell ref="A22:K22"/>
    <mergeCell ref="A21:C21"/>
    <mergeCell ref="H21:I21"/>
    <mergeCell ref="F20:G20"/>
    <mergeCell ref="L19:M19"/>
    <mergeCell ref="L20:M20"/>
    <mergeCell ref="H20:I20"/>
    <mergeCell ref="F19:G19"/>
    <mergeCell ref="N20:O20"/>
    <mergeCell ref="N23:O23"/>
    <mergeCell ref="L23:M23"/>
    <mergeCell ref="A27:C27"/>
    <mergeCell ref="J25:K25"/>
    <mergeCell ref="L26:M26"/>
    <mergeCell ref="L25:M25"/>
    <mergeCell ref="D27:E27"/>
    <mergeCell ref="H27:I27"/>
    <mergeCell ref="L27:M27"/>
    <mergeCell ref="J27:K27"/>
    <mergeCell ref="N27:O27"/>
    <mergeCell ref="H25:I25"/>
    <mergeCell ref="F24:G24"/>
    <mergeCell ref="N25:O25"/>
    <mergeCell ref="N24:O24"/>
    <mergeCell ref="L24:M24"/>
    <mergeCell ref="A26:K26"/>
    <mergeCell ref="J24:K24"/>
    <mergeCell ref="D25:E25"/>
    <mergeCell ref="N26:O26"/>
    <mergeCell ref="H24:I24"/>
    <mergeCell ref="A24:C24"/>
    <mergeCell ref="D24:E24"/>
    <mergeCell ref="F28:G28"/>
    <mergeCell ref="F27:G27"/>
    <mergeCell ref="D28:E28"/>
    <mergeCell ref="A25:C25"/>
    <mergeCell ref="F25:G25"/>
    <mergeCell ref="A28:C28"/>
    <mergeCell ref="F21:G21"/>
    <mergeCell ref="J31:K31"/>
    <mergeCell ref="F29:G29"/>
    <mergeCell ref="H31:I31"/>
    <mergeCell ref="H28:I28"/>
    <mergeCell ref="A35:O35"/>
    <mergeCell ref="N29:O29"/>
    <mergeCell ref="N30:O30"/>
    <mergeCell ref="H32:I32"/>
    <mergeCell ref="H29:I29"/>
    <mergeCell ref="L31:M31"/>
    <mergeCell ref="A30:K30"/>
    <mergeCell ref="L32:M32"/>
    <mergeCell ref="L30:M30"/>
    <mergeCell ref="D33:E33"/>
    <mergeCell ref="F33:G33"/>
    <mergeCell ref="A32:C32"/>
    <mergeCell ref="N31:O31"/>
    <mergeCell ref="A29:C29"/>
    <mergeCell ref="D29:E29"/>
    <mergeCell ref="L29:M29"/>
    <mergeCell ref="F31:G31"/>
    <mergeCell ref="D31:E31"/>
    <mergeCell ref="A31:C31"/>
    <mergeCell ref="D32:E32"/>
    <mergeCell ref="F32:G32"/>
    <mergeCell ref="N33:O33"/>
    <mergeCell ref="N32:O32"/>
    <mergeCell ref="J32:K32"/>
    <mergeCell ref="L28:M28"/>
    <mergeCell ref="J28:K28"/>
    <mergeCell ref="N28:O28"/>
    <mergeCell ref="J29:K29"/>
    <mergeCell ref="J82:L82"/>
    <mergeCell ref="M81:O81"/>
    <mergeCell ref="J80:L80"/>
    <mergeCell ref="G74:I74"/>
    <mergeCell ref="M77:O77"/>
    <mergeCell ref="M79:O79"/>
    <mergeCell ref="J78:L78"/>
    <mergeCell ref="J79:L79"/>
    <mergeCell ref="M78:O78"/>
    <mergeCell ref="J77:L77"/>
    <mergeCell ref="J76:L76"/>
    <mergeCell ref="J74:L74"/>
    <mergeCell ref="M76:O76"/>
    <mergeCell ref="M75:O75"/>
    <mergeCell ref="J75:L75"/>
    <mergeCell ref="F67:G67"/>
    <mergeCell ref="H63:J63"/>
    <mergeCell ref="M65:O65"/>
    <mergeCell ref="F47:O47"/>
    <mergeCell ref="M67:O67"/>
    <mergeCell ref="A82:C82"/>
    <mergeCell ref="D80:F80"/>
    <mergeCell ref="A80:C80"/>
    <mergeCell ref="J72:L72"/>
    <mergeCell ref="J81:L81"/>
    <mergeCell ref="M82:O82"/>
    <mergeCell ref="M80:O80"/>
    <mergeCell ref="D77:F77"/>
    <mergeCell ref="G77:I77"/>
    <mergeCell ref="G79:I79"/>
    <mergeCell ref="D73:F73"/>
    <mergeCell ref="D72:F72"/>
    <mergeCell ref="D74:F74"/>
    <mergeCell ref="G73:I73"/>
    <mergeCell ref="M74:O74"/>
    <mergeCell ref="M73:O73"/>
    <mergeCell ref="M72:O72"/>
    <mergeCell ref="D82:F82"/>
    <mergeCell ref="D81:F81"/>
    <mergeCell ref="M66:O66"/>
    <mergeCell ref="H66:J66"/>
    <mergeCell ref="D76:F76"/>
    <mergeCell ref="D75:F75"/>
    <mergeCell ref="G76:I76"/>
    <mergeCell ref="G75:I75"/>
    <mergeCell ref="D79:F79"/>
    <mergeCell ref="G78:I78"/>
    <mergeCell ref="G82:I82"/>
    <mergeCell ref="G80:I80"/>
    <mergeCell ref="G81:I81"/>
    <mergeCell ref="D78:F78"/>
    <mergeCell ref="G71:I71"/>
    <mergeCell ref="D71:F71"/>
    <mergeCell ref="F66:G66"/>
    <mergeCell ref="M71:O71"/>
    <mergeCell ref="A69:O69"/>
    <mergeCell ref="D66:E66"/>
    <mergeCell ref="A78:C78"/>
    <mergeCell ref="A73:C73"/>
    <mergeCell ref="A74:C74"/>
    <mergeCell ref="D67:E67"/>
    <mergeCell ref="G72:I72"/>
    <mergeCell ref="J73:L73"/>
    <mergeCell ref="B45:E45"/>
    <mergeCell ref="F46:O46"/>
    <mergeCell ref="J71:L71"/>
    <mergeCell ref="A76:C76"/>
    <mergeCell ref="A81:C81"/>
    <mergeCell ref="A79:C79"/>
    <mergeCell ref="B47:E47"/>
    <mergeCell ref="B46:E46"/>
    <mergeCell ref="B62:C62"/>
    <mergeCell ref="K63:L63"/>
    <mergeCell ref="K62:L62"/>
    <mergeCell ref="D53:F53"/>
    <mergeCell ref="A77:C77"/>
    <mergeCell ref="A72:C72"/>
    <mergeCell ref="K66:L66"/>
    <mergeCell ref="H67:J67"/>
    <mergeCell ref="K67:L67"/>
    <mergeCell ref="A71:C71"/>
    <mergeCell ref="B67:C67"/>
    <mergeCell ref="A75:C75"/>
    <mergeCell ref="B66:C66"/>
    <mergeCell ref="A53:A54"/>
    <mergeCell ref="B65:C65"/>
    <mergeCell ref="D64:E64"/>
    <mergeCell ref="H65:J65"/>
    <mergeCell ref="F65:G65"/>
    <mergeCell ref="B48:E48"/>
    <mergeCell ref="M62:O62"/>
    <mergeCell ref="D62:E62"/>
    <mergeCell ref="H62:J62"/>
    <mergeCell ref="M53:O53"/>
    <mergeCell ref="A51:J51"/>
    <mergeCell ref="F48:O48"/>
    <mergeCell ref="F49:O49"/>
    <mergeCell ref="K64:L64"/>
    <mergeCell ref="M64:O64"/>
    <mergeCell ref="M63:O63"/>
    <mergeCell ref="A60:O60"/>
    <mergeCell ref="H64:J64"/>
    <mergeCell ref="G53:I53"/>
    <mergeCell ref="J53:L53"/>
    <mergeCell ref="B53:C53"/>
    <mergeCell ref="B49:E49"/>
    <mergeCell ref="D65:E65"/>
    <mergeCell ref="K65:L65"/>
    <mergeCell ref="L33:M33"/>
    <mergeCell ref="F64:G64"/>
    <mergeCell ref="B64:C64"/>
    <mergeCell ref="F63:G63"/>
    <mergeCell ref="F62:G62"/>
    <mergeCell ref="B63:C63"/>
    <mergeCell ref="D63:E63"/>
    <mergeCell ref="F40:O40"/>
    <mergeCell ref="B40:E40"/>
    <mergeCell ref="A33:C33"/>
    <mergeCell ref="A37:O37"/>
    <mergeCell ref="H33:I33"/>
    <mergeCell ref="F39:O39"/>
    <mergeCell ref="J33:K33"/>
    <mergeCell ref="B39:E39"/>
    <mergeCell ref="B41:E41"/>
    <mergeCell ref="B43:E43"/>
    <mergeCell ref="F43:O43"/>
    <mergeCell ref="F42:O42"/>
    <mergeCell ref="B42:E42"/>
    <mergeCell ref="F44:O44"/>
    <mergeCell ref="F45:O45"/>
    <mergeCell ref="B44:E44"/>
    <mergeCell ref="F41:O41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r:id="rId1"/>
  <headerFooter alignWithMargins="0"/>
  <rowBreaks count="1" manualBreakCount="1">
    <brk id="49" max="14" man="1"/>
  </rowBreaks>
  <ignoredErrors>
    <ignoredError sqref="E58:M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R76"/>
  <sheetViews>
    <sheetView topLeftCell="E22" workbookViewId="0">
      <selection activeCell="J77" sqref="J77"/>
    </sheetView>
  </sheetViews>
  <sheetFormatPr defaultRowHeight="12.75"/>
  <cols>
    <col min="1" max="1" width="4.85546875" customWidth="1"/>
    <col min="2" max="2" width="32.140625" customWidth="1"/>
    <col min="4" max="4" width="11.7109375" customWidth="1"/>
    <col min="5" max="5" width="9.85546875" customWidth="1"/>
    <col min="6" max="6" width="11.140625" customWidth="1"/>
    <col min="7" max="8" width="14.28515625" customWidth="1"/>
    <col min="9" max="9" width="12" customWidth="1"/>
    <col min="10" max="10" width="11.140625" bestFit="1" customWidth="1"/>
    <col min="11" max="11" width="10.7109375" bestFit="1" customWidth="1"/>
    <col min="12" max="12" width="11.85546875" customWidth="1"/>
    <col min="13" max="13" width="10.7109375" bestFit="1" customWidth="1"/>
    <col min="14" max="14" width="11.5703125" bestFit="1" customWidth="1"/>
    <col min="15" max="15" width="11.5703125" customWidth="1"/>
    <col min="16" max="16" width="12.5703125" customWidth="1"/>
    <col min="17" max="17" width="11.42578125" customWidth="1"/>
    <col min="18" max="18" width="12.140625" customWidth="1"/>
  </cols>
  <sheetData>
    <row r="2" spans="1:18" ht="94.5">
      <c r="A2" s="236" t="s">
        <v>441</v>
      </c>
      <c r="B2" s="237" t="s">
        <v>442</v>
      </c>
      <c r="C2" s="238" t="s">
        <v>443</v>
      </c>
      <c r="D2" s="238" t="s">
        <v>444</v>
      </c>
      <c r="E2" s="238" t="s">
        <v>445</v>
      </c>
      <c r="F2" s="238" t="s">
        <v>446</v>
      </c>
      <c r="G2" s="238" t="s">
        <v>488</v>
      </c>
      <c r="H2" s="238" t="s">
        <v>515</v>
      </c>
      <c r="J2" s="281" t="s">
        <v>438</v>
      </c>
      <c r="K2" s="281" t="s">
        <v>473</v>
      </c>
      <c r="L2" s="281" t="s">
        <v>375</v>
      </c>
      <c r="M2" s="281" t="s">
        <v>473</v>
      </c>
      <c r="N2" s="281" t="s">
        <v>376</v>
      </c>
      <c r="O2" s="281" t="s">
        <v>473</v>
      </c>
      <c r="P2" s="281" t="s">
        <v>87</v>
      </c>
      <c r="Q2" s="281" t="s">
        <v>473</v>
      </c>
      <c r="R2" s="281" t="s">
        <v>474</v>
      </c>
    </row>
    <row r="3" spans="1:18" ht="31.5">
      <c r="A3" s="239"/>
      <c r="B3" s="240" t="s">
        <v>447</v>
      </c>
      <c r="C3" s="238">
        <v>7</v>
      </c>
      <c r="D3" s="241"/>
      <c r="E3" s="239"/>
      <c r="F3" s="242"/>
      <c r="G3" s="242"/>
      <c r="H3" s="242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.75">
      <c r="A4" s="238">
        <v>1</v>
      </c>
      <c r="B4" s="241" t="s">
        <v>448</v>
      </c>
      <c r="C4" s="239">
        <v>1</v>
      </c>
      <c r="D4" s="243">
        <v>14539</v>
      </c>
      <c r="E4" s="243">
        <v>0</v>
      </c>
      <c r="F4" s="243">
        <f>D4+E4</f>
        <v>14539</v>
      </c>
      <c r="G4" s="243">
        <v>14539</v>
      </c>
      <c r="H4" s="243">
        <v>600</v>
      </c>
      <c r="J4" s="173">
        <f t="shared" ref="J4:J35" si="0">D4*C4*3</f>
        <v>43617</v>
      </c>
      <c r="K4" s="173">
        <f>(E4+G4/12+H4/12)*C4*3</f>
        <v>3784.75</v>
      </c>
      <c r="L4" s="173">
        <f t="shared" ref="L4:L35" si="1">D4*C4*6</f>
        <v>87234</v>
      </c>
      <c r="M4" s="173">
        <f>(E4+G4/12+H4/12)*C4*6</f>
        <v>7569.5</v>
      </c>
      <c r="N4" s="173">
        <f t="shared" ref="N4:N35" si="2">D4*C4*9</f>
        <v>130851</v>
      </c>
      <c r="O4" s="173">
        <f>(E4+G4/12+H4/12)*C4*9</f>
        <v>11354.25</v>
      </c>
      <c r="P4" s="173">
        <f t="shared" ref="P4:P35" si="3">D4*C4*12</f>
        <v>174468</v>
      </c>
      <c r="Q4" s="173">
        <f>(E4+G4/12+H4/12)*C4*12</f>
        <v>15139</v>
      </c>
      <c r="R4" s="173">
        <f t="shared" ref="R4:R35" si="4">P4+Q4</f>
        <v>189607</v>
      </c>
    </row>
    <row r="5" spans="1:18" ht="15.75">
      <c r="A5" s="238">
        <v>2</v>
      </c>
      <c r="B5" s="241" t="s">
        <v>449</v>
      </c>
      <c r="C5" s="258">
        <v>1</v>
      </c>
      <c r="D5" s="243">
        <v>13085</v>
      </c>
      <c r="E5" s="243">
        <v>6543</v>
      </c>
      <c r="F5" s="243">
        <f t="shared" ref="F5:F35" si="5">D5+E5</f>
        <v>19628</v>
      </c>
      <c r="G5" s="243">
        <v>13085</v>
      </c>
      <c r="H5" s="243">
        <v>600</v>
      </c>
      <c r="J5" s="173">
        <f t="shared" si="0"/>
        <v>39255</v>
      </c>
      <c r="K5" s="173">
        <f t="shared" ref="K5:K10" si="6">(E5+G5/12+H5/12)*C5*3</f>
        <v>23050.25</v>
      </c>
      <c r="L5" s="173">
        <f t="shared" si="1"/>
        <v>78510</v>
      </c>
      <c r="M5" s="173">
        <f t="shared" ref="M5:M10" si="7">(E5+G5/12+H5/12)*C5*6</f>
        <v>46100.5</v>
      </c>
      <c r="N5" s="173">
        <f t="shared" si="2"/>
        <v>117765</v>
      </c>
      <c r="O5" s="173">
        <f t="shared" ref="O5:O10" si="8">(E5+G5/12+H5/12)*C5*9</f>
        <v>69150.75</v>
      </c>
      <c r="P5" s="173">
        <f t="shared" si="3"/>
        <v>157020</v>
      </c>
      <c r="Q5" s="173">
        <f t="shared" ref="Q5:Q10" si="9">(E5+G5/12+H5/12)*C5*12</f>
        <v>92201</v>
      </c>
      <c r="R5" s="173">
        <f t="shared" si="4"/>
        <v>249221</v>
      </c>
    </row>
    <row r="6" spans="1:18" ht="31.5">
      <c r="A6" s="238">
        <v>3</v>
      </c>
      <c r="B6" s="241" t="s">
        <v>450</v>
      </c>
      <c r="C6" s="239">
        <v>1</v>
      </c>
      <c r="D6" s="243">
        <v>13085</v>
      </c>
      <c r="E6" s="243">
        <v>6543</v>
      </c>
      <c r="F6" s="243">
        <f t="shared" si="5"/>
        <v>19628</v>
      </c>
      <c r="G6" s="243">
        <v>13085</v>
      </c>
      <c r="H6" s="243">
        <v>600</v>
      </c>
      <c r="J6" s="173">
        <f t="shared" si="0"/>
        <v>39255</v>
      </c>
      <c r="K6" s="173">
        <f t="shared" si="6"/>
        <v>23050.25</v>
      </c>
      <c r="L6" s="173">
        <f>D6*C6*6</f>
        <v>78510</v>
      </c>
      <c r="M6" s="173">
        <f t="shared" si="7"/>
        <v>46100.5</v>
      </c>
      <c r="N6" s="173">
        <f t="shared" si="2"/>
        <v>117765</v>
      </c>
      <c r="O6" s="173">
        <f t="shared" si="8"/>
        <v>69150.75</v>
      </c>
      <c r="P6" s="173">
        <f t="shared" si="3"/>
        <v>157020</v>
      </c>
      <c r="Q6" s="173">
        <f t="shared" si="9"/>
        <v>92201</v>
      </c>
      <c r="R6" s="173">
        <f t="shared" si="4"/>
        <v>249221</v>
      </c>
    </row>
    <row r="7" spans="1:18" ht="15.75">
      <c r="A7" s="238">
        <v>4</v>
      </c>
      <c r="B7" s="241" t="s">
        <v>451</v>
      </c>
      <c r="C7" s="239">
        <v>1</v>
      </c>
      <c r="D7" s="244">
        <v>10177</v>
      </c>
      <c r="E7" s="243">
        <v>5088</v>
      </c>
      <c r="F7" s="243">
        <f t="shared" si="5"/>
        <v>15265</v>
      </c>
      <c r="G7" s="244">
        <v>10177</v>
      </c>
      <c r="H7" s="243">
        <v>600</v>
      </c>
      <c r="J7" s="173">
        <f t="shared" si="0"/>
        <v>30531</v>
      </c>
      <c r="K7" s="173">
        <f t="shared" si="6"/>
        <v>17958.25</v>
      </c>
      <c r="L7" s="173">
        <f t="shared" si="1"/>
        <v>61062</v>
      </c>
      <c r="M7" s="173">
        <f t="shared" si="7"/>
        <v>35916.5</v>
      </c>
      <c r="N7" s="173">
        <f t="shared" si="2"/>
        <v>91593</v>
      </c>
      <c r="O7" s="173">
        <f t="shared" si="8"/>
        <v>53874.75</v>
      </c>
      <c r="P7" s="173">
        <f t="shared" si="3"/>
        <v>122124</v>
      </c>
      <c r="Q7" s="173">
        <f t="shared" si="9"/>
        <v>71833</v>
      </c>
      <c r="R7" s="173">
        <f t="shared" si="4"/>
        <v>193957</v>
      </c>
    </row>
    <row r="8" spans="1:18" ht="15.75">
      <c r="A8" s="238">
        <v>5</v>
      </c>
      <c r="B8" s="241" t="s">
        <v>452</v>
      </c>
      <c r="C8" s="239">
        <v>1</v>
      </c>
      <c r="D8" s="244">
        <v>12358</v>
      </c>
      <c r="E8" s="243">
        <f>D8*0.5</f>
        <v>6179</v>
      </c>
      <c r="F8" s="243">
        <f t="shared" si="5"/>
        <v>18537</v>
      </c>
      <c r="G8" s="244">
        <v>12358</v>
      </c>
      <c r="H8" s="243">
        <v>600</v>
      </c>
      <c r="J8" s="173">
        <f t="shared" si="0"/>
        <v>37074</v>
      </c>
      <c r="K8" s="173">
        <f t="shared" si="6"/>
        <v>21776.5</v>
      </c>
      <c r="L8" s="173">
        <f t="shared" si="1"/>
        <v>74148</v>
      </c>
      <c r="M8" s="173">
        <f t="shared" si="7"/>
        <v>43553</v>
      </c>
      <c r="N8" s="173">
        <f t="shared" si="2"/>
        <v>111222</v>
      </c>
      <c r="O8" s="173">
        <f t="shared" si="8"/>
        <v>65329.5</v>
      </c>
      <c r="P8" s="173">
        <f t="shared" si="3"/>
        <v>148296</v>
      </c>
      <c r="Q8" s="173">
        <f t="shared" si="9"/>
        <v>87106</v>
      </c>
      <c r="R8" s="173">
        <f t="shared" si="4"/>
        <v>235402</v>
      </c>
    </row>
    <row r="9" spans="1:18" ht="15.75">
      <c r="A9" s="238">
        <v>6</v>
      </c>
      <c r="B9" s="241" t="s">
        <v>453</v>
      </c>
      <c r="C9" s="239">
        <v>1</v>
      </c>
      <c r="D9" s="243">
        <v>3826</v>
      </c>
      <c r="E9" s="243">
        <f>D9*0.5</f>
        <v>1913</v>
      </c>
      <c r="F9" s="243">
        <f t="shared" si="5"/>
        <v>5739</v>
      </c>
      <c r="G9" s="243">
        <v>3826</v>
      </c>
      <c r="H9" s="243">
        <v>600</v>
      </c>
      <c r="J9" s="173">
        <f t="shared" si="0"/>
        <v>11478</v>
      </c>
      <c r="K9" s="173">
        <f t="shared" si="6"/>
        <v>6845.5</v>
      </c>
      <c r="L9" s="173">
        <f t="shared" si="1"/>
        <v>22956</v>
      </c>
      <c r="M9" s="173">
        <f t="shared" si="7"/>
        <v>13691</v>
      </c>
      <c r="N9" s="173">
        <f t="shared" si="2"/>
        <v>34434</v>
      </c>
      <c r="O9" s="173">
        <f t="shared" si="8"/>
        <v>20536.5</v>
      </c>
      <c r="P9" s="173">
        <f t="shared" si="3"/>
        <v>45912</v>
      </c>
      <c r="Q9" s="173">
        <f t="shared" si="9"/>
        <v>27382</v>
      </c>
      <c r="R9" s="173">
        <f t="shared" si="4"/>
        <v>73294</v>
      </c>
    </row>
    <row r="10" spans="1:18" ht="15.75">
      <c r="A10" s="238">
        <v>7</v>
      </c>
      <c r="B10" s="241" t="s">
        <v>454</v>
      </c>
      <c r="C10" s="239">
        <v>1</v>
      </c>
      <c r="D10" s="243">
        <v>3826</v>
      </c>
      <c r="E10" s="243">
        <f>D10*0.5</f>
        <v>1913</v>
      </c>
      <c r="F10" s="243">
        <f t="shared" si="5"/>
        <v>5739</v>
      </c>
      <c r="G10" s="243">
        <v>3826</v>
      </c>
      <c r="H10" s="243">
        <v>600</v>
      </c>
      <c r="J10" s="173">
        <f t="shared" si="0"/>
        <v>11478</v>
      </c>
      <c r="K10" s="173">
        <f t="shared" si="6"/>
        <v>6845.5</v>
      </c>
      <c r="L10" s="173">
        <f t="shared" si="1"/>
        <v>22956</v>
      </c>
      <c r="M10" s="173">
        <f t="shared" si="7"/>
        <v>13691</v>
      </c>
      <c r="N10" s="173">
        <f t="shared" si="2"/>
        <v>34434</v>
      </c>
      <c r="O10" s="173">
        <f t="shared" si="8"/>
        <v>20536.5</v>
      </c>
      <c r="P10" s="173">
        <f t="shared" si="3"/>
        <v>45912</v>
      </c>
      <c r="Q10" s="173">
        <f t="shared" si="9"/>
        <v>27382</v>
      </c>
      <c r="R10" s="173">
        <f t="shared" si="4"/>
        <v>73294</v>
      </c>
    </row>
    <row r="11" spans="1:18" ht="31.5">
      <c r="A11" s="238"/>
      <c r="B11" s="245" t="s">
        <v>455</v>
      </c>
      <c r="C11" s="247">
        <v>5</v>
      </c>
      <c r="D11" s="248"/>
      <c r="E11" s="243"/>
      <c r="F11" s="243"/>
      <c r="G11" s="248"/>
      <c r="H11" s="248"/>
      <c r="J11" s="173">
        <f t="shared" si="0"/>
        <v>0</v>
      </c>
      <c r="K11" s="173">
        <f t="shared" ref="K11:K30" si="10">(E11+G11/12)*C11*3</f>
        <v>0</v>
      </c>
      <c r="L11" s="173">
        <f t="shared" si="1"/>
        <v>0</v>
      </c>
      <c r="M11" s="173">
        <f t="shared" ref="M11:M30" si="11">(E11+G11/12)*C11*6</f>
        <v>0</v>
      </c>
      <c r="N11" s="173">
        <f t="shared" si="2"/>
        <v>0</v>
      </c>
      <c r="O11" s="173">
        <f t="shared" ref="O11:O30" si="12">(E11+G11/12)*C11*9</f>
        <v>0</v>
      </c>
      <c r="P11" s="173">
        <f t="shared" si="3"/>
        <v>0</v>
      </c>
      <c r="Q11" s="173">
        <f t="shared" ref="Q11:Q30" si="13">(E11+G11/12)*C11*12</f>
        <v>0</v>
      </c>
      <c r="R11" s="173">
        <f t="shared" si="4"/>
        <v>0</v>
      </c>
    </row>
    <row r="12" spans="1:18" ht="15.75">
      <c r="A12" s="238">
        <v>8</v>
      </c>
      <c r="B12" s="246" t="s">
        <v>456</v>
      </c>
      <c r="C12" s="248">
        <v>1</v>
      </c>
      <c r="D12" s="244">
        <v>12358</v>
      </c>
      <c r="E12" s="243">
        <f t="shared" ref="E12:E16" si="14">D12*0.5</f>
        <v>6179</v>
      </c>
      <c r="F12" s="243">
        <f t="shared" si="5"/>
        <v>18537</v>
      </c>
      <c r="G12" s="244">
        <v>12358</v>
      </c>
      <c r="H12" s="243">
        <v>600</v>
      </c>
      <c r="J12" s="282">
        <f t="shared" si="0"/>
        <v>37074</v>
      </c>
      <c r="K12" s="173">
        <f t="shared" ref="K12:K16" si="15">(E12+G12/12+H12/12)*C12*3</f>
        <v>21776.5</v>
      </c>
      <c r="L12" s="282">
        <f t="shared" si="1"/>
        <v>74148</v>
      </c>
      <c r="M12" s="173">
        <f t="shared" ref="M12:M35" si="16">(E12+G12/12+H12/12)*C12*6</f>
        <v>43553</v>
      </c>
      <c r="N12" s="282">
        <f t="shared" si="2"/>
        <v>111222</v>
      </c>
      <c r="O12" s="173">
        <f t="shared" ref="O12:O35" si="17">(E12+G12/12+H12/12)*C12*9</f>
        <v>65329.5</v>
      </c>
      <c r="P12" s="282">
        <f t="shared" si="3"/>
        <v>148296</v>
      </c>
      <c r="Q12" s="173">
        <f t="shared" ref="Q12:Q35" si="18">(E12+G12/12+H12/12)*C12*12</f>
        <v>87106</v>
      </c>
      <c r="R12" s="282">
        <f t="shared" si="4"/>
        <v>235402</v>
      </c>
    </row>
    <row r="13" spans="1:18" ht="15.75">
      <c r="A13" s="238">
        <v>9</v>
      </c>
      <c r="B13" s="241" t="s">
        <v>457</v>
      </c>
      <c r="C13" s="239">
        <v>1</v>
      </c>
      <c r="D13" s="243">
        <v>3826</v>
      </c>
      <c r="E13" s="243">
        <f t="shared" si="14"/>
        <v>1913</v>
      </c>
      <c r="F13" s="243">
        <f t="shared" si="5"/>
        <v>5739</v>
      </c>
      <c r="G13" s="243">
        <v>3826</v>
      </c>
      <c r="H13" s="243">
        <v>600</v>
      </c>
      <c r="J13" s="282">
        <f t="shared" si="0"/>
        <v>11478</v>
      </c>
      <c r="K13" s="173">
        <f>(E13+G13/12+H13/12)*C13*3</f>
        <v>6845.5</v>
      </c>
      <c r="L13" s="282">
        <f t="shared" si="1"/>
        <v>22956</v>
      </c>
      <c r="M13" s="173">
        <f t="shared" si="16"/>
        <v>13691</v>
      </c>
      <c r="N13" s="282">
        <f t="shared" si="2"/>
        <v>34434</v>
      </c>
      <c r="O13" s="173">
        <f t="shared" si="17"/>
        <v>20536.5</v>
      </c>
      <c r="P13" s="282">
        <f t="shared" si="3"/>
        <v>45912</v>
      </c>
      <c r="Q13" s="173">
        <f t="shared" si="18"/>
        <v>27382</v>
      </c>
      <c r="R13" s="282">
        <f t="shared" si="4"/>
        <v>73294</v>
      </c>
    </row>
    <row r="14" spans="1:18" ht="15.75">
      <c r="A14" s="238">
        <v>10</v>
      </c>
      <c r="B14" s="241" t="s">
        <v>457</v>
      </c>
      <c r="C14" s="239">
        <v>1</v>
      </c>
      <c r="D14" s="243">
        <v>3826</v>
      </c>
      <c r="E14" s="243">
        <f t="shared" si="14"/>
        <v>1913</v>
      </c>
      <c r="F14" s="243">
        <f t="shared" si="5"/>
        <v>5739</v>
      </c>
      <c r="G14" s="243">
        <v>3826</v>
      </c>
      <c r="H14" s="243">
        <v>600</v>
      </c>
      <c r="J14" s="282">
        <f t="shared" si="0"/>
        <v>11478</v>
      </c>
      <c r="K14" s="173">
        <f t="shared" si="15"/>
        <v>6845.5</v>
      </c>
      <c r="L14" s="282">
        <f t="shared" si="1"/>
        <v>22956</v>
      </c>
      <c r="M14" s="173">
        <f>(E14+G14/12+H14/12)*C14*6</f>
        <v>13691</v>
      </c>
      <c r="N14" s="282">
        <f t="shared" si="2"/>
        <v>34434</v>
      </c>
      <c r="O14" s="173">
        <f t="shared" si="17"/>
        <v>20536.5</v>
      </c>
      <c r="P14" s="282">
        <f t="shared" si="3"/>
        <v>45912</v>
      </c>
      <c r="Q14" s="173">
        <f t="shared" si="18"/>
        <v>27382</v>
      </c>
      <c r="R14" s="282">
        <f t="shared" si="4"/>
        <v>73294</v>
      </c>
    </row>
    <row r="15" spans="1:18" ht="15.75">
      <c r="A15" s="238">
        <v>11</v>
      </c>
      <c r="B15" s="241" t="s">
        <v>458</v>
      </c>
      <c r="C15" s="239">
        <v>1</v>
      </c>
      <c r="D15" s="243">
        <v>3826</v>
      </c>
      <c r="E15" s="243">
        <f t="shared" si="14"/>
        <v>1913</v>
      </c>
      <c r="F15" s="243">
        <f t="shared" si="5"/>
        <v>5739</v>
      </c>
      <c r="G15" s="243">
        <v>3826</v>
      </c>
      <c r="H15" s="243">
        <v>600</v>
      </c>
      <c r="J15" s="282">
        <f t="shared" si="0"/>
        <v>11478</v>
      </c>
      <c r="K15" s="173">
        <f t="shared" si="15"/>
        <v>6845.5</v>
      </c>
      <c r="L15" s="282">
        <f t="shared" si="1"/>
        <v>22956</v>
      </c>
      <c r="M15" s="173">
        <f t="shared" si="16"/>
        <v>13691</v>
      </c>
      <c r="N15" s="282">
        <f t="shared" si="2"/>
        <v>34434</v>
      </c>
      <c r="O15" s="173">
        <f t="shared" si="17"/>
        <v>20536.5</v>
      </c>
      <c r="P15" s="282">
        <f t="shared" si="3"/>
        <v>45912</v>
      </c>
      <c r="Q15" s="173">
        <f t="shared" si="18"/>
        <v>27382</v>
      </c>
      <c r="R15" s="282">
        <f t="shared" si="4"/>
        <v>73294</v>
      </c>
    </row>
    <row r="16" spans="1:18" ht="15.75">
      <c r="A16" s="238">
        <v>12</v>
      </c>
      <c r="B16" s="241" t="s">
        <v>458</v>
      </c>
      <c r="C16" s="239">
        <v>1</v>
      </c>
      <c r="D16" s="243">
        <v>3826</v>
      </c>
      <c r="E16" s="243">
        <f t="shared" si="14"/>
        <v>1913</v>
      </c>
      <c r="F16" s="243">
        <f t="shared" si="5"/>
        <v>5739</v>
      </c>
      <c r="G16" s="243">
        <v>3826</v>
      </c>
      <c r="H16" s="243">
        <v>600</v>
      </c>
      <c r="J16" s="282">
        <f t="shared" si="0"/>
        <v>11478</v>
      </c>
      <c r="K16" s="173">
        <f t="shared" si="15"/>
        <v>6845.5</v>
      </c>
      <c r="L16" s="282">
        <f t="shared" si="1"/>
        <v>22956</v>
      </c>
      <c r="M16" s="173">
        <f t="shared" si="16"/>
        <v>13691</v>
      </c>
      <c r="N16" s="282">
        <f t="shared" si="2"/>
        <v>34434</v>
      </c>
      <c r="O16" s="173">
        <f t="shared" si="17"/>
        <v>20536.5</v>
      </c>
      <c r="P16" s="282">
        <f t="shared" si="3"/>
        <v>45912</v>
      </c>
      <c r="Q16" s="173">
        <f t="shared" si="18"/>
        <v>27382</v>
      </c>
      <c r="R16" s="282">
        <f t="shared" si="4"/>
        <v>73294</v>
      </c>
    </row>
    <row r="17" spans="1:18" ht="47.25">
      <c r="A17" s="249"/>
      <c r="B17" s="250" t="s">
        <v>459</v>
      </c>
      <c r="C17" s="251">
        <v>6</v>
      </c>
      <c r="D17" s="252"/>
      <c r="E17" s="243"/>
      <c r="F17" s="243"/>
      <c r="G17" s="252"/>
      <c r="H17" s="252"/>
      <c r="J17" s="173">
        <f t="shared" si="0"/>
        <v>0</v>
      </c>
      <c r="K17" s="173">
        <f t="shared" si="10"/>
        <v>0</v>
      </c>
      <c r="L17" s="173">
        <f t="shared" si="1"/>
        <v>0</v>
      </c>
      <c r="M17" s="173">
        <f t="shared" si="11"/>
        <v>0</v>
      </c>
      <c r="N17" s="173">
        <f t="shared" si="2"/>
        <v>0</v>
      </c>
      <c r="O17" s="173">
        <f t="shared" si="12"/>
        <v>0</v>
      </c>
      <c r="P17" s="173">
        <f t="shared" si="3"/>
        <v>0</v>
      </c>
      <c r="Q17" s="173">
        <f t="shared" si="13"/>
        <v>0</v>
      </c>
      <c r="R17" s="173">
        <f t="shared" si="4"/>
        <v>0</v>
      </c>
    </row>
    <row r="18" spans="1:18" ht="15.75">
      <c r="A18" s="253">
        <v>13</v>
      </c>
      <c r="B18" s="241" t="s">
        <v>456</v>
      </c>
      <c r="C18" s="254">
        <v>1</v>
      </c>
      <c r="D18" s="244">
        <v>12358</v>
      </c>
      <c r="E18" s="243">
        <f t="shared" ref="E18:E23" si="19">D18*0.5</f>
        <v>6179</v>
      </c>
      <c r="F18" s="243">
        <f t="shared" si="5"/>
        <v>18537</v>
      </c>
      <c r="G18" s="244">
        <v>12358</v>
      </c>
      <c r="H18" s="243">
        <v>600</v>
      </c>
      <c r="J18" s="282">
        <f t="shared" si="0"/>
        <v>37074</v>
      </c>
      <c r="K18" s="173">
        <f t="shared" ref="K18:K35" si="20">(E18+G18/12+H18/12)*C18*3</f>
        <v>21776.5</v>
      </c>
      <c r="L18" s="282">
        <f t="shared" si="1"/>
        <v>74148</v>
      </c>
      <c r="M18" s="173">
        <f t="shared" si="16"/>
        <v>43553</v>
      </c>
      <c r="N18" s="282">
        <f t="shared" si="2"/>
        <v>111222</v>
      </c>
      <c r="O18" s="173">
        <f t="shared" si="17"/>
        <v>65329.5</v>
      </c>
      <c r="P18" s="282">
        <f t="shared" si="3"/>
        <v>148296</v>
      </c>
      <c r="Q18" s="173">
        <f t="shared" si="18"/>
        <v>87106</v>
      </c>
      <c r="R18" s="282">
        <f t="shared" si="4"/>
        <v>235402</v>
      </c>
    </row>
    <row r="19" spans="1:18" ht="31.5">
      <c r="A19" s="253">
        <v>14</v>
      </c>
      <c r="B19" s="241" t="s">
        <v>460</v>
      </c>
      <c r="C19" s="255">
        <v>1</v>
      </c>
      <c r="D19" s="243">
        <v>3826</v>
      </c>
      <c r="E19" s="243">
        <f t="shared" si="19"/>
        <v>1913</v>
      </c>
      <c r="F19" s="243">
        <f t="shared" si="5"/>
        <v>5739</v>
      </c>
      <c r="G19" s="243">
        <v>3826</v>
      </c>
      <c r="H19" s="243">
        <v>600</v>
      </c>
      <c r="J19" s="282">
        <f t="shared" si="0"/>
        <v>11478</v>
      </c>
      <c r="K19" s="173">
        <f t="shared" si="20"/>
        <v>6845.5</v>
      </c>
      <c r="L19" s="282">
        <f t="shared" si="1"/>
        <v>22956</v>
      </c>
      <c r="M19" s="173">
        <f t="shared" si="16"/>
        <v>13691</v>
      </c>
      <c r="N19" s="282">
        <f t="shared" si="2"/>
        <v>34434</v>
      </c>
      <c r="O19" s="173">
        <f t="shared" si="17"/>
        <v>20536.5</v>
      </c>
      <c r="P19" s="282">
        <f t="shared" si="3"/>
        <v>45912</v>
      </c>
      <c r="Q19" s="173">
        <f t="shared" si="18"/>
        <v>27382</v>
      </c>
      <c r="R19" s="282">
        <f t="shared" si="4"/>
        <v>73294</v>
      </c>
    </row>
    <row r="20" spans="1:18" ht="15.75">
      <c r="A20" s="253">
        <v>15</v>
      </c>
      <c r="B20" s="241" t="s">
        <v>461</v>
      </c>
      <c r="C20" s="255">
        <v>1</v>
      </c>
      <c r="D20" s="243">
        <v>3826</v>
      </c>
      <c r="E20" s="243">
        <f t="shared" si="19"/>
        <v>1913</v>
      </c>
      <c r="F20" s="243">
        <f t="shared" si="5"/>
        <v>5739</v>
      </c>
      <c r="G20" s="243">
        <v>3826</v>
      </c>
      <c r="H20" s="243">
        <v>600</v>
      </c>
      <c r="J20" s="282">
        <f t="shared" si="0"/>
        <v>11478</v>
      </c>
      <c r="K20" s="173">
        <f t="shared" si="20"/>
        <v>6845.5</v>
      </c>
      <c r="L20" s="282">
        <f t="shared" si="1"/>
        <v>22956</v>
      </c>
      <c r="M20" s="173">
        <f t="shared" si="16"/>
        <v>13691</v>
      </c>
      <c r="N20" s="282">
        <f t="shared" si="2"/>
        <v>34434</v>
      </c>
      <c r="O20" s="173">
        <f t="shared" si="17"/>
        <v>20536.5</v>
      </c>
      <c r="P20" s="282">
        <f t="shared" si="3"/>
        <v>45912</v>
      </c>
      <c r="Q20" s="173">
        <f t="shared" si="18"/>
        <v>27382</v>
      </c>
      <c r="R20" s="282">
        <f t="shared" si="4"/>
        <v>73294</v>
      </c>
    </row>
    <row r="21" spans="1:18" ht="31.5">
      <c r="A21" s="253">
        <v>16</v>
      </c>
      <c r="B21" s="241" t="s">
        <v>462</v>
      </c>
      <c r="C21" s="255">
        <v>1</v>
      </c>
      <c r="D21" s="243">
        <v>3826</v>
      </c>
      <c r="E21" s="243">
        <f t="shared" si="19"/>
        <v>1913</v>
      </c>
      <c r="F21" s="243">
        <f t="shared" si="5"/>
        <v>5739</v>
      </c>
      <c r="G21" s="243">
        <v>3826</v>
      </c>
      <c r="H21" s="243">
        <v>600</v>
      </c>
      <c r="J21" s="282">
        <f t="shared" si="0"/>
        <v>11478</v>
      </c>
      <c r="K21" s="173">
        <f t="shared" si="20"/>
        <v>6845.5</v>
      </c>
      <c r="L21" s="282">
        <f t="shared" si="1"/>
        <v>22956</v>
      </c>
      <c r="M21" s="173">
        <f t="shared" si="16"/>
        <v>13691</v>
      </c>
      <c r="N21" s="282">
        <f t="shared" si="2"/>
        <v>34434</v>
      </c>
      <c r="O21" s="173">
        <f t="shared" si="17"/>
        <v>20536.5</v>
      </c>
      <c r="P21" s="282">
        <f t="shared" si="3"/>
        <v>45912</v>
      </c>
      <c r="Q21" s="173">
        <f t="shared" si="18"/>
        <v>27382</v>
      </c>
      <c r="R21" s="282">
        <f t="shared" si="4"/>
        <v>73294</v>
      </c>
    </row>
    <row r="22" spans="1:18" ht="15.75">
      <c r="A22" s="253">
        <v>17</v>
      </c>
      <c r="B22" s="241" t="s">
        <v>463</v>
      </c>
      <c r="C22" s="255">
        <v>1</v>
      </c>
      <c r="D22" s="243">
        <v>3826</v>
      </c>
      <c r="E22" s="243">
        <f t="shared" si="19"/>
        <v>1913</v>
      </c>
      <c r="F22" s="243">
        <f t="shared" si="5"/>
        <v>5739</v>
      </c>
      <c r="G22" s="243">
        <v>3826</v>
      </c>
      <c r="H22" s="243">
        <v>600</v>
      </c>
      <c r="J22" s="282">
        <f t="shared" si="0"/>
        <v>11478</v>
      </c>
      <c r="K22" s="173">
        <f t="shared" si="20"/>
        <v>6845.5</v>
      </c>
      <c r="L22" s="282">
        <f t="shared" si="1"/>
        <v>22956</v>
      </c>
      <c r="M22" s="173">
        <f t="shared" si="16"/>
        <v>13691</v>
      </c>
      <c r="N22" s="282">
        <f t="shared" si="2"/>
        <v>34434</v>
      </c>
      <c r="O22" s="173">
        <f t="shared" si="17"/>
        <v>20536.5</v>
      </c>
      <c r="P22" s="282">
        <f t="shared" si="3"/>
        <v>45912</v>
      </c>
      <c r="Q22" s="173">
        <f t="shared" si="18"/>
        <v>27382</v>
      </c>
      <c r="R22" s="282">
        <f t="shared" si="4"/>
        <v>73294</v>
      </c>
    </row>
    <row r="23" spans="1:18" ht="31.5">
      <c r="A23" s="253">
        <v>18</v>
      </c>
      <c r="B23" s="241" t="s">
        <v>464</v>
      </c>
      <c r="C23" s="255">
        <v>1</v>
      </c>
      <c r="D23" s="243">
        <v>3826</v>
      </c>
      <c r="E23" s="243">
        <f t="shared" si="19"/>
        <v>1913</v>
      </c>
      <c r="F23" s="243">
        <f t="shared" si="5"/>
        <v>5739</v>
      </c>
      <c r="G23" s="243">
        <v>3826</v>
      </c>
      <c r="H23" s="243">
        <v>600</v>
      </c>
      <c r="J23" s="282">
        <f t="shared" si="0"/>
        <v>11478</v>
      </c>
      <c r="K23" s="173">
        <f t="shared" si="20"/>
        <v>6845.5</v>
      </c>
      <c r="L23" s="286">
        <f>D23*C23*6</f>
        <v>22956</v>
      </c>
      <c r="M23" s="173">
        <f t="shared" si="16"/>
        <v>13691</v>
      </c>
      <c r="N23" s="282">
        <f t="shared" si="2"/>
        <v>34434</v>
      </c>
      <c r="O23" s="173">
        <f t="shared" si="17"/>
        <v>20536.5</v>
      </c>
      <c r="P23" s="282">
        <f t="shared" si="3"/>
        <v>45912</v>
      </c>
      <c r="Q23" s="173">
        <f t="shared" si="18"/>
        <v>27382</v>
      </c>
      <c r="R23" s="282">
        <f t="shared" si="4"/>
        <v>73294</v>
      </c>
    </row>
    <row r="24" spans="1:18" ht="47.25">
      <c r="A24" s="253"/>
      <c r="B24" s="245" t="s">
        <v>465</v>
      </c>
      <c r="C24" s="256" t="s">
        <v>466</v>
      </c>
      <c r="D24" s="243"/>
      <c r="E24" s="243"/>
      <c r="F24" s="243"/>
      <c r="G24" s="243"/>
      <c r="H24" s="243"/>
      <c r="J24" s="173">
        <f t="shared" si="0"/>
        <v>0</v>
      </c>
      <c r="K24" s="173">
        <f t="shared" si="10"/>
        <v>0</v>
      </c>
      <c r="L24" s="173">
        <f t="shared" si="1"/>
        <v>0</v>
      </c>
      <c r="M24" s="173">
        <f t="shared" si="11"/>
        <v>0</v>
      </c>
      <c r="N24" s="173">
        <f t="shared" si="2"/>
        <v>0</v>
      </c>
      <c r="O24" s="173">
        <f t="shared" si="12"/>
        <v>0</v>
      </c>
      <c r="P24" s="173">
        <f t="shared" si="3"/>
        <v>0</v>
      </c>
      <c r="Q24" s="173">
        <f t="shared" si="13"/>
        <v>0</v>
      </c>
      <c r="R24" s="173">
        <f t="shared" si="4"/>
        <v>0</v>
      </c>
    </row>
    <row r="25" spans="1:18" ht="15.75">
      <c r="A25" s="253">
        <v>19</v>
      </c>
      <c r="B25" s="246" t="s">
        <v>456</v>
      </c>
      <c r="C25" s="254">
        <v>1</v>
      </c>
      <c r="D25" s="244">
        <v>12358</v>
      </c>
      <c r="E25" s="243">
        <f>D25*0.5</f>
        <v>6179</v>
      </c>
      <c r="F25" s="243">
        <f t="shared" si="5"/>
        <v>18537</v>
      </c>
      <c r="G25" s="244">
        <v>12358</v>
      </c>
      <c r="H25" s="243">
        <v>600</v>
      </c>
      <c r="J25" s="282">
        <f t="shared" si="0"/>
        <v>37074</v>
      </c>
      <c r="K25" s="173">
        <f t="shared" si="20"/>
        <v>21776.5</v>
      </c>
      <c r="L25" s="282">
        <f t="shared" si="1"/>
        <v>74148</v>
      </c>
      <c r="M25" s="173">
        <f t="shared" si="16"/>
        <v>43553</v>
      </c>
      <c r="N25" s="282">
        <f t="shared" si="2"/>
        <v>111222</v>
      </c>
      <c r="O25" s="173">
        <f t="shared" si="17"/>
        <v>65329.5</v>
      </c>
      <c r="P25" s="282">
        <f t="shared" si="3"/>
        <v>148296</v>
      </c>
      <c r="Q25" s="173">
        <f t="shared" si="18"/>
        <v>87106</v>
      </c>
      <c r="R25" s="282">
        <f t="shared" si="4"/>
        <v>235402</v>
      </c>
    </row>
    <row r="26" spans="1:18" ht="31.5">
      <c r="A26" s="253">
        <v>20</v>
      </c>
      <c r="B26" s="246" t="s">
        <v>467</v>
      </c>
      <c r="C26" s="254" t="s">
        <v>468</v>
      </c>
      <c r="D26" s="243">
        <v>3826</v>
      </c>
      <c r="E26" s="243">
        <f>D26*0.5</f>
        <v>1913</v>
      </c>
      <c r="F26" s="243">
        <f t="shared" si="5"/>
        <v>5739</v>
      </c>
      <c r="G26" s="243">
        <v>3826</v>
      </c>
      <c r="H26" s="243">
        <v>600</v>
      </c>
      <c r="J26" s="282">
        <f t="shared" si="0"/>
        <v>11478</v>
      </c>
      <c r="K26" s="173">
        <f t="shared" si="20"/>
        <v>6845.5</v>
      </c>
      <c r="L26" s="282">
        <f t="shared" si="1"/>
        <v>22956</v>
      </c>
      <c r="M26" s="173">
        <f t="shared" si="16"/>
        <v>13691</v>
      </c>
      <c r="N26" s="282">
        <f t="shared" si="2"/>
        <v>34434</v>
      </c>
      <c r="O26" s="173">
        <f t="shared" si="17"/>
        <v>20536.5</v>
      </c>
      <c r="P26" s="282">
        <f t="shared" si="3"/>
        <v>45912</v>
      </c>
      <c r="Q26" s="173">
        <f t="shared" si="18"/>
        <v>27382</v>
      </c>
      <c r="R26" s="282">
        <f t="shared" si="4"/>
        <v>73294</v>
      </c>
    </row>
    <row r="27" spans="1:18" ht="31.5">
      <c r="A27" s="253">
        <v>21</v>
      </c>
      <c r="B27" s="246" t="s">
        <v>467</v>
      </c>
      <c r="C27" s="254" t="s">
        <v>468</v>
      </c>
      <c r="D27" s="243">
        <v>3826</v>
      </c>
      <c r="E27" s="243">
        <f>D27*0.5</f>
        <v>1913</v>
      </c>
      <c r="F27" s="243">
        <f t="shared" si="5"/>
        <v>5739</v>
      </c>
      <c r="G27" s="243">
        <v>3826</v>
      </c>
      <c r="H27" s="243">
        <v>600</v>
      </c>
      <c r="J27" s="282">
        <f t="shared" si="0"/>
        <v>11478</v>
      </c>
      <c r="K27" s="173">
        <f t="shared" si="20"/>
        <v>6845.5</v>
      </c>
      <c r="L27" s="282">
        <f t="shared" si="1"/>
        <v>22956</v>
      </c>
      <c r="M27" s="173">
        <f t="shared" si="16"/>
        <v>13691</v>
      </c>
      <c r="N27" s="282">
        <f t="shared" si="2"/>
        <v>34434</v>
      </c>
      <c r="O27" s="173">
        <f t="shared" si="17"/>
        <v>20536.5</v>
      </c>
      <c r="P27" s="282">
        <f t="shared" si="3"/>
        <v>45912</v>
      </c>
      <c r="Q27" s="173">
        <f t="shared" si="18"/>
        <v>27382</v>
      </c>
      <c r="R27" s="282">
        <f t="shared" si="4"/>
        <v>73294</v>
      </c>
    </row>
    <row r="28" spans="1:18" ht="31.5">
      <c r="A28" s="253">
        <v>22</v>
      </c>
      <c r="B28" s="246" t="s">
        <v>467</v>
      </c>
      <c r="C28" s="254" t="s">
        <v>468</v>
      </c>
      <c r="D28" s="243">
        <v>3826</v>
      </c>
      <c r="E28" s="243">
        <f>D28*0.5</f>
        <v>1913</v>
      </c>
      <c r="F28" s="243">
        <f t="shared" si="5"/>
        <v>5739</v>
      </c>
      <c r="G28" s="243">
        <v>3826</v>
      </c>
      <c r="H28" s="243">
        <v>600</v>
      </c>
      <c r="J28" s="282">
        <f t="shared" si="0"/>
        <v>11478</v>
      </c>
      <c r="K28" s="173">
        <f t="shared" si="20"/>
        <v>6845.5</v>
      </c>
      <c r="L28" s="282">
        <f t="shared" si="1"/>
        <v>22956</v>
      </c>
      <c r="M28" s="173">
        <f t="shared" si="16"/>
        <v>13691</v>
      </c>
      <c r="N28" s="282">
        <f t="shared" si="2"/>
        <v>34434</v>
      </c>
      <c r="O28" s="173">
        <f t="shared" si="17"/>
        <v>20536.5</v>
      </c>
      <c r="P28" s="282">
        <f t="shared" si="3"/>
        <v>45912</v>
      </c>
      <c r="Q28" s="173">
        <f t="shared" si="18"/>
        <v>27382</v>
      </c>
      <c r="R28" s="282">
        <f t="shared" si="4"/>
        <v>73294</v>
      </c>
    </row>
    <row r="29" spans="1:18" ht="31.5">
      <c r="A29" s="253">
        <v>23</v>
      </c>
      <c r="B29" s="246" t="s">
        <v>467</v>
      </c>
      <c r="C29" s="254" t="s">
        <v>468</v>
      </c>
      <c r="D29" s="243">
        <v>3826</v>
      </c>
      <c r="E29" s="243">
        <f>D29*0.5</f>
        <v>1913</v>
      </c>
      <c r="F29" s="243">
        <f t="shared" si="5"/>
        <v>5739</v>
      </c>
      <c r="G29" s="243">
        <v>3826</v>
      </c>
      <c r="H29" s="243">
        <v>600</v>
      </c>
      <c r="J29" s="282">
        <f t="shared" si="0"/>
        <v>11478</v>
      </c>
      <c r="K29" s="173">
        <f t="shared" si="20"/>
        <v>6845.5</v>
      </c>
      <c r="L29" s="282">
        <f t="shared" si="1"/>
        <v>22956</v>
      </c>
      <c r="M29" s="173">
        <f t="shared" si="16"/>
        <v>13691</v>
      </c>
      <c r="N29" s="282">
        <f t="shared" si="2"/>
        <v>34434</v>
      </c>
      <c r="O29" s="173">
        <f t="shared" si="17"/>
        <v>20536.5</v>
      </c>
      <c r="P29" s="282">
        <f t="shared" si="3"/>
        <v>45912</v>
      </c>
      <c r="Q29" s="173">
        <f t="shared" si="18"/>
        <v>27382</v>
      </c>
      <c r="R29" s="282">
        <f t="shared" si="4"/>
        <v>73294</v>
      </c>
    </row>
    <row r="30" spans="1:18" ht="15.75">
      <c r="A30" s="253"/>
      <c r="B30" s="245" t="s">
        <v>469</v>
      </c>
      <c r="C30" s="256" t="s">
        <v>466</v>
      </c>
      <c r="D30" s="243"/>
      <c r="E30" s="243"/>
      <c r="F30" s="243"/>
      <c r="G30" s="243"/>
      <c r="H30" s="243"/>
      <c r="J30" s="173">
        <f t="shared" si="0"/>
        <v>0</v>
      </c>
      <c r="K30" s="173">
        <f t="shared" si="10"/>
        <v>0</v>
      </c>
      <c r="L30" s="173">
        <f t="shared" si="1"/>
        <v>0</v>
      </c>
      <c r="M30" s="173">
        <f t="shared" si="11"/>
        <v>0</v>
      </c>
      <c r="N30" s="173">
        <f t="shared" si="2"/>
        <v>0</v>
      </c>
      <c r="O30" s="173">
        <f t="shared" si="12"/>
        <v>0</v>
      </c>
      <c r="P30" s="173">
        <f t="shared" si="3"/>
        <v>0</v>
      </c>
      <c r="Q30" s="173">
        <f t="shared" si="13"/>
        <v>0</v>
      </c>
      <c r="R30" s="173">
        <f t="shared" si="4"/>
        <v>0</v>
      </c>
    </row>
    <row r="31" spans="1:18" ht="15.75">
      <c r="A31" s="253">
        <v>24</v>
      </c>
      <c r="B31" s="246" t="s">
        <v>456</v>
      </c>
      <c r="C31" s="254">
        <v>1</v>
      </c>
      <c r="D31" s="244">
        <v>12358</v>
      </c>
      <c r="E31" s="243">
        <f>D31*0.5</f>
        <v>6179</v>
      </c>
      <c r="F31" s="243">
        <f t="shared" si="5"/>
        <v>18537</v>
      </c>
      <c r="G31" s="244">
        <v>12358</v>
      </c>
      <c r="H31" s="243">
        <v>600</v>
      </c>
      <c r="J31" s="282">
        <f t="shared" si="0"/>
        <v>37074</v>
      </c>
      <c r="K31" s="173">
        <f t="shared" si="20"/>
        <v>21776.5</v>
      </c>
      <c r="L31" s="282">
        <f t="shared" si="1"/>
        <v>74148</v>
      </c>
      <c r="M31" s="173">
        <f t="shared" si="16"/>
        <v>43553</v>
      </c>
      <c r="N31" s="282">
        <f t="shared" si="2"/>
        <v>111222</v>
      </c>
      <c r="O31" s="173">
        <f t="shared" si="17"/>
        <v>65329.5</v>
      </c>
      <c r="P31" s="282">
        <f t="shared" si="3"/>
        <v>148296</v>
      </c>
      <c r="Q31" s="173">
        <f t="shared" si="18"/>
        <v>87106</v>
      </c>
      <c r="R31" s="282">
        <f t="shared" si="4"/>
        <v>235402</v>
      </c>
    </row>
    <row r="32" spans="1:18" ht="31.5">
      <c r="A32" s="253">
        <v>25</v>
      </c>
      <c r="B32" s="246" t="s">
        <v>470</v>
      </c>
      <c r="C32" s="254" t="s">
        <v>468</v>
      </c>
      <c r="D32" s="243">
        <v>3826</v>
      </c>
      <c r="E32" s="243">
        <f>D32*0.5</f>
        <v>1913</v>
      </c>
      <c r="F32" s="243">
        <f t="shared" si="5"/>
        <v>5739</v>
      </c>
      <c r="G32" s="243">
        <v>3826</v>
      </c>
      <c r="H32" s="243">
        <v>600</v>
      </c>
      <c r="J32" s="282">
        <f t="shared" si="0"/>
        <v>11478</v>
      </c>
      <c r="K32" s="285">
        <f>(E32+G32/12+H32/12)*C32*3</f>
        <v>6845.5</v>
      </c>
      <c r="L32" s="282">
        <f t="shared" si="1"/>
        <v>22956</v>
      </c>
      <c r="M32" s="173">
        <f t="shared" si="16"/>
        <v>13691</v>
      </c>
      <c r="N32" s="282">
        <f t="shared" si="2"/>
        <v>34434</v>
      </c>
      <c r="O32" s="173">
        <f t="shared" si="17"/>
        <v>20536.5</v>
      </c>
      <c r="P32" s="282">
        <f t="shared" si="3"/>
        <v>45912</v>
      </c>
      <c r="Q32" s="173">
        <f t="shared" si="18"/>
        <v>27382</v>
      </c>
      <c r="R32" s="282">
        <f t="shared" si="4"/>
        <v>73294</v>
      </c>
    </row>
    <row r="33" spans="1:18" ht="31.5">
      <c r="A33" s="253">
        <v>26</v>
      </c>
      <c r="B33" s="246" t="s">
        <v>470</v>
      </c>
      <c r="C33" s="254" t="s">
        <v>468</v>
      </c>
      <c r="D33" s="243">
        <v>3826</v>
      </c>
      <c r="E33" s="243">
        <f>D33*0.5</f>
        <v>1913</v>
      </c>
      <c r="F33" s="243">
        <f t="shared" si="5"/>
        <v>5739</v>
      </c>
      <c r="G33" s="243">
        <v>3826</v>
      </c>
      <c r="H33" s="243">
        <v>600</v>
      </c>
      <c r="J33" s="282">
        <f t="shared" si="0"/>
        <v>11478</v>
      </c>
      <c r="K33" s="173">
        <f t="shared" si="20"/>
        <v>6845.5</v>
      </c>
      <c r="L33" s="282">
        <f t="shared" si="1"/>
        <v>22956</v>
      </c>
      <c r="M33" s="173">
        <f t="shared" si="16"/>
        <v>13691</v>
      </c>
      <c r="N33" s="282">
        <f t="shared" si="2"/>
        <v>34434</v>
      </c>
      <c r="O33" s="173">
        <f t="shared" si="17"/>
        <v>20536.5</v>
      </c>
      <c r="P33" s="282">
        <f t="shared" si="3"/>
        <v>45912</v>
      </c>
      <c r="Q33" s="173">
        <f t="shared" si="18"/>
        <v>27382</v>
      </c>
      <c r="R33" s="282">
        <f t="shared" si="4"/>
        <v>73294</v>
      </c>
    </row>
    <row r="34" spans="1:18" ht="31.5">
      <c r="A34" s="253">
        <v>27</v>
      </c>
      <c r="B34" s="246" t="s">
        <v>470</v>
      </c>
      <c r="C34" s="254" t="s">
        <v>468</v>
      </c>
      <c r="D34" s="243">
        <v>3826</v>
      </c>
      <c r="E34" s="243">
        <f>D34*0.5</f>
        <v>1913</v>
      </c>
      <c r="F34" s="243">
        <f t="shared" si="5"/>
        <v>5739</v>
      </c>
      <c r="G34" s="243">
        <v>3826</v>
      </c>
      <c r="H34" s="243">
        <v>600</v>
      </c>
      <c r="J34" s="282">
        <f t="shared" si="0"/>
        <v>11478</v>
      </c>
      <c r="K34" s="173">
        <f t="shared" si="20"/>
        <v>6845.5</v>
      </c>
      <c r="L34" s="282">
        <f t="shared" si="1"/>
        <v>22956</v>
      </c>
      <c r="M34" s="173">
        <f t="shared" si="16"/>
        <v>13691</v>
      </c>
      <c r="N34" s="282">
        <f t="shared" si="2"/>
        <v>34434</v>
      </c>
      <c r="O34" s="173">
        <f t="shared" si="17"/>
        <v>20536.5</v>
      </c>
      <c r="P34" s="282">
        <f t="shared" si="3"/>
        <v>45912</v>
      </c>
      <c r="Q34" s="173">
        <f t="shared" si="18"/>
        <v>27382</v>
      </c>
      <c r="R34" s="282">
        <f t="shared" si="4"/>
        <v>73294</v>
      </c>
    </row>
    <row r="35" spans="1:18" ht="15.75">
      <c r="A35" s="253">
        <v>28</v>
      </c>
      <c r="B35" s="246" t="s">
        <v>471</v>
      </c>
      <c r="C35" s="254">
        <v>1</v>
      </c>
      <c r="D35" s="243">
        <v>3826</v>
      </c>
      <c r="E35" s="243">
        <f>D35*0.5</f>
        <v>1913</v>
      </c>
      <c r="F35" s="243">
        <f t="shared" si="5"/>
        <v>5739</v>
      </c>
      <c r="G35" s="243">
        <v>3826</v>
      </c>
      <c r="H35" s="243">
        <v>600</v>
      </c>
      <c r="J35" s="282">
        <f t="shared" si="0"/>
        <v>11478</v>
      </c>
      <c r="K35" s="173">
        <f t="shared" si="20"/>
        <v>6845.5</v>
      </c>
      <c r="L35" s="282">
        <f t="shared" si="1"/>
        <v>22956</v>
      </c>
      <c r="M35" s="173">
        <f t="shared" si="16"/>
        <v>13691</v>
      </c>
      <c r="N35" s="282">
        <f t="shared" si="2"/>
        <v>34434</v>
      </c>
      <c r="O35" s="173">
        <f t="shared" si="17"/>
        <v>20536.5</v>
      </c>
      <c r="P35" s="282">
        <f t="shared" si="3"/>
        <v>45912</v>
      </c>
      <c r="Q35" s="173">
        <f t="shared" si="18"/>
        <v>27382</v>
      </c>
      <c r="R35" s="282">
        <f t="shared" si="4"/>
        <v>73294</v>
      </c>
    </row>
    <row r="36" spans="1:18" ht="15.75">
      <c r="A36" s="257"/>
      <c r="B36" s="247" t="s">
        <v>61</v>
      </c>
      <c r="C36" s="256" t="s">
        <v>472</v>
      </c>
      <c r="D36" s="242">
        <f>SUM(D4:D35)</f>
        <v>185370</v>
      </c>
      <c r="E36" s="242">
        <f>SUM(E4:E35)</f>
        <v>85416</v>
      </c>
      <c r="F36" s="242">
        <f>SUM(F4:F35)</f>
        <v>270786</v>
      </c>
      <c r="G36" s="242">
        <f>SUM(G4:G35)</f>
        <v>185370</v>
      </c>
      <c r="H36" s="242">
        <f>SUM(H4:H35)</f>
        <v>16800</v>
      </c>
      <c r="J36" s="283">
        <f>SUM(J4:J35)</f>
        <v>556110</v>
      </c>
      <c r="K36" s="283">
        <f t="shared" ref="K36:R36" si="21">SUM(K4:K35)</f>
        <v>306790.5</v>
      </c>
      <c r="L36" s="283">
        <f t="shared" si="21"/>
        <v>1112220</v>
      </c>
      <c r="M36" s="283">
        <f t="shared" si="21"/>
        <v>613581</v>
      </c>
      <c r="N36" s="283">
        <f t="shared" si="21"/>
        <v>1668330</v>
      </c>
      <c r="O36" s="283">
        <f t="shared" si="21"/>
        <v>920371.5</v>
      </c>
      <c r="P36" s="283">
        <f t="shared" si="21"/>
        <v>2224440</v>
      </c>
      <c r="Q36" s="283">
        <f t="shared" si="21"/>
        <v>1227162</v>
      </c>
      <c r="R36" s="283">
        <f t="shared" si="21"/>
        <v>3451602</v>
      </c>
    </row>
    <row r="41" spans="1:18">
      <c r="J41" t="s">
        <v>438</v>
      </c>
      <c r="K41" t="s">
        <v>375</v>
      </c>
      <c r="L41" t="s">
        <v>376</v>
      </c>
      <c r="M41" t="s">
        <v>87</v>
      </c>
    </row>
    <row r="42" spans="1:18">
      <c r="I42" t="s">
        <v>475</v>
      </c>
      <c r="J42">
        <f>SUM(J12:K35)</f>
        <v>546901.5</v>
      </c>
      <c r="K42">
        <f>SUM(L12:M35)</f>
        <v>1093803</v>
      </c>
      <c r="L42">
        <f>SUM(N12:O35)</f>
        <v>1640704.5</v>
      </c>
      <c r="M42">
        <f>SUM(P12:Q35)</f>
        <v>2187606</v>
      </c>
    </row>
    <row r="43" spans="1:18">
      <c r="I43" t="s">
        <v>476</v>
      </c>
      <c r="J43">
        <f>(J42-J48)*22%+J48*8.41%</f>
        <v>117828.23430000001</v>
      </c>
      <c r="K43">
        <f>(K42-K48)*22%+K48*8.41%</f>
        <v>235656.3327</v>
      </c>
      <c r="L43">
        <f>(L42-L48)*22%+L48*8.41%</f>
        <v>353484.56700000004</v>
      </c>
      <c r="M43">
        <f>(M42-M48)*22%+M48*8.41%</f>
        <v>471312.6654</v>
      </c>
    </row>
    <row r="45" spans="1:18">
      <c r="I45" t="s">
        <v>477</v>
      </c>
      <c r="J45">
        <f>SUM(J4:K10)</f>
        <v>315999</v>
      </c>
      <c r="K45">
        <f>SUM(L4:M10)</f>
        <v>631998</v>
      </c>
      <c r="L45">
        <f>SUM(N4:O10)</f>
        <v>947997</v>
      </c>
      <c r="M45">
        <f>SUM(P4:Q10)</f>
        <v>1263996</v>
      </c>
    </row>
    <row r="46" spans="1:18">
      <c r="I46" t="s">
        <v>476</v>
      </c>
      <c r="J46">
        <f>(J45-J49)*22%+J49*8.41%</f>
        <v>69519.78</v>
      </c>
      <c r="K46">
        <f>(K45-K49)*22%+K49*8.41%</f>
        <v>139039.56</v>
      </c>
      <c r="L46">
        <f t="shared" ref="L46:M46" si="22">(L45-L49)*22%+L49*8.41%</f>
        <v>208559.34</v>
      </c>
      <c r="M46">
        <f t="shared" si="22"/>
        <v>278079.12</v>
      </c>
    </row>
    <row r="48" spans="1:18">
      <c r="G48" t="s">
        <v>494</v>
      </c>
      <c r="I48" s="287" t="s">
        <v>478</v>
      </c>
      <c r="J48" s="287">
        <v>18323</v>
      </c>
      <c r="K48" s="287">
        <v>36647</v>
      </c>
      <c r="L48" s="287">
        <v>54970</v>
      </c>
      <c r="M48" s="287">
        <v>73294</v>
      </c>
    </row>
    <row r="49" spans="7:13">
      <c r="G49" t="s">
        <v>494</v>
      </c>
      <c r="I49" s="287" t="s">
        <v>479</v>
      </c>
      <c r="J49" s="287"/>
      <c r="K49" s="287"/>
      <c r="L49" s="287"/>
      <c r="M49" s="287"/>
    </row>
    <row r="51" spans="7:13">
      <c r="I51" t="s">
        <v>480</v>
      </c>
      <c r="J51">
        <f>J42+J45</f>
        <v>862900.5</v>
      </c>
      <c r="K51">
        <f t="shared" ref="K51:M51" si="23">K42+K45</f>
        <v>1725801</v>
      </c>
      <c r="L51">
        <f t="shared" si="23"/>
        <v>2588701.5</v>
      </c>
      <c r="M51">
        <f t="shared" si="23"/>
        <v>3451602</v>
      </c>
    </row>
    <row r="52" spans="7:13">
      <c r="I52" t="s">
        <v>481</v>
      </c>
      <c r="J52">
        <f>J43+J46</f>
        <v>187348.01430000001</v>
      </c>
      <c r="K52">
        <f t="shared" ref="K52:M52" si="24">K43+K46</f>
        <v>374695.89269999997</v>
      </c>
      <c r="L52">
        <f t="shared" si="24"/>
        <v>562043.90700000001</v>
      </c>
      <c r="M52">
        <f t="shared" si="24"/>
        <v>749391.78539999994</v>
      </c>
    </row>
    <row r="56" spans="7:13">
      <c r="I56" t="s">
        <v>482</v>
      </c>
    </row>
    <row r="58" spans="7:13">
      <c r="I58" t="s">
        <v>483</v>
      </c>
    </row>
    <row r="59" spans="7:13">
      <c r="I59" t="s">
        <v>275</v>
      </c>
      <c r="J59">
        <f>R4</f>
        <v>189607</v>
      </c>
    </row>
    <row r="60" spans="7:13">
      <c r="I60" t="s">
        <v>484</v>
      </c>
      <c r="J60">
        <f>M45-J59</f>
        <v>1074389</v>
      </c>
    </row>
    <row r="61" spans="7:13">
      <c r="I61" t="s">
        <v>276</v>
      </c>
      <c r="J61">
        <f>M42</f>
        <v>2187606</v>
      </c>
    </row>
    <row r="63" spans="7:13">
      <c r="I63" t="s">
        <v>485</v>
      </c>
    </row>
    <row r="64" spans="7:13">
      <c r="I64" t="s">
        <v>275</v>
      </c>
      <c r="J64">
        <f>J59*1.22</f>
        <v>231320.54</v>
      </c>
    </row>
    <row r="65" spans="6:10">
      <c r="I65" t="s">
        <v>484</v>
      </c>
      <c r="J65">
        <f>M45+M46-J64</f>
        <v>1310754.58</v>
      </c>
    </row>
    <row r="66" spans="6:10">
      <c r="I66" t="s">
        <v>276</v>
      </c>
      <c r="J66">
        <f>M42+M43</f>
        <v>2658918.6653999998</v>
      </c>
    </row>
    <row r="68" spans="6:10">
      <c r="I68" t="s">
        <v>486</v>
      </c>
    </row>
    <row r="69" spans="6:10">
      <c r="F69">
        <v>1</v>
      </c>
      <c r="I69" t="s">
        <v>275</v>
      </c>
      <c r="J69" s="228">
        <f>D4</f>
        <v>14539</v>
      </c>
    </row>
    <row r="70" spans="6:10">
      <c r="F70">
        <v>6</v>
      </c>
      <c r="I70" t="s">
        <v>484</v>
      </c>
      <c r="J70" s="228">
        <f>SUM(D5:D10)/6</f>
        <v>9392.8333333333339</v>
      </c>
    </row>
    <row r="71" spans="6:10">
      <c r="F71">
        <v>21</v>
      </c>
      <c r="I71" t="s">
        <v>276</v>
      </c>
      <c r="J71" s="228">
        <f>SUM(D12:D35)/21</f>
        <v>5451.1428571428569</v>
      </c>
    </row>
    <row r="73" spans="6:10">
      <c r="I73" t="s">
        <v>487</v>
      </c>
    </row>
    <row r="74" spans="6:10">
      <c r="I74" t="s">
        <v>275</v>
      </c>
      <c r="J74" s="228">
        <f>R4/12</f>
        <v>15800.583333333334</v>
      </c>
    </row>
    <row r="75" spans="6:10">
      <c r="I75" t="s">
        <v>484</v>
      </c>
      <c r="J75" s="228">
        <f>SUM(R5:R10)/6/12</f>
        <v>14922.069444444445</v>
      </c>
    </row>
    <row r="76" spans="6:10">
      <c r="I76" t="s">
        <v>276</v>
      </c>
      <c r="J76" s="228">
        <f>SUM(R12:R35)/21/12</f>
        <v>8680.9761904761908</v>
      </c>
    </row>
  </sheetData>
  <pageMargins left="0.25" right="0.25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Лист1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 Windows</cp:lastModifiedBy>
  <cp:lastPrinted>2020-01-22T10:31:06Z</cp:lastPrinted>
  <dcterms:created xsi:type="dcterms:W3CDTF">2003-03-13T16:00:22Z</dcterms:created>
  <dcterms:modified xsi:type="dcterms:W3CDTF">2020-01-22T10:32:46Z</dcterms:modified>
</cp:coreProperties>
</file>