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lavBugalter\Documents\закупівлі\"/>
    </mc:Choice>
  </mc:AlternateContent>
  <bookViews>
    <workbookView xWindow="0" yWindow="0" windowWidth="24000" windowHeight="11025"/>
  </bookViews>
  <sheets>
    <sheet name="Sheet" sheetId="1" r:id="rId1"/>
  </sheets>
  <definedNames>
    <definedName name="_xlnm._FilterDatabase" localSheetId="0" hidden="1">Sheet!$A$5:$BD$345</definedName>
  </definedNames>
  <calcPr calcId="152511"/>
</workbook>
</file>

<file path=xl/calcChain.xml><?xml version="1.0" encoding="utf-8"?>
<calcChain xmlns="http://schemas.openxmlformats.org/spreadsheetml/2006/main">
  <c r="B344" i="1" l="1"/>
  <c r="AQ343" i="1"/>
  <c r="B343" i="1"/>
  <c r="AQ342" i="1"/>
  <c r="B342" i="1"/>
  <c r="AQ341" i="1"/>
  <c r="B341" i="1"/>
  <c r="AQ340" i="1"/>
  <c r="B340" i="1"/>
  <c r="B339" i="1"/>
  <c r="B338" i="1"/>
  <c r="AQ337" i="1"/>
  <c r="B337" i="1"/>
  <c r="AQ336" i="1"/>
  <c r="B336" i="1"/>
  <c r="AQ335" i="1"/>
  <c r="B335" i="1"/>
  <c r="AQ334" i="1"/>
  <c r="B334" i="1"/>
  <c r="AQ333" i="1"/>
  <c r="B333" i="1"/>
  <c r="B332" i="1"/>
  <c r="AQ331" i="1"/>
  <c r="B331" i="1"/>
  <c r="AQ330" i="1"/>
  <c r="B330" i="1"/>
  <c r="C329" i="1"/>
  <c r="B329" i="1"/>
  <c r="C328" i="1"/>
  <c r="B328" i="1"/>
  <c r="AQ327" i="1"/>
  <c r="C327" i="1"/>
  <c r="B327" i="1"/>
  <c r="AQ326" i="1"/>
  <c r="C326" i="1"/>
  <c r="B326" i="1"/>
  <c r="C325" i="1"/>
  <c r="B325" i="1"/>
  <c r="AQ324" i="1"/>
  <c r="C324" i="1"/>
  <c r="B324" i="1"/>
  <c r="C323" i="1"/>
  <c r="B323" i="1"/>
  <c r="AQ322" i="1"/>
  <c r="C322" i="1"/>
  <c r="B322" i="1"/>
  <c r="C321" i="1"/>
  <c r="B321" i="1"/>
  <c r="AQ320" i="1"/>
  <c r="C320" i="1"/>
  <c r="B320" i="1"/>
  <c r="C319" i="1"/>
  <c r="B319" i="1"/>
  <c r="AQ318" i="1"/>
  <c r="C318" i="1"/>
  <c r="B318" i="1"/>
  <c r="C317" i="1"/>
  <c r="B317" i="1"/>
  <c r="C316" i="1"/>
  <c r="B316" i="1"/>
  <c r="AQ315" i="1"/>
  <c r="C315" i="1"/>
  <c r="B315" i="1"/>
  <c r="AQ314" i="1"/>
  <c r="C314" i="1"/>
  <c r="B314" i="1"/>
  <c r="AQ313" i="1"/>
  <c r="C313" i="1"/>
  <c r="B313" i="1"/>
  <c r="C312" i="1"/>
  <c r="B312" i="1"/>
  <c r="AQ311" i="1"/>
  <c r="C311" i="1"/>
  <c r="B311" i="1"/>
  <c r="AQ310" i="1"/>
  <c r="B310" i="1"/>
  <c r="C309" i="1"/>
  <c r="B309" i="1"/>
  <c r="AQ308" i="1"/>
  <c r="C308" i="1"/>
  <c r="B308" i="1"/>
  <c r="AQ307" i="1"/>
  <c r="C307" i="1"/>
  <c r="B307" i="1"/>
  <c r="AQ306" i="1"/>
  <c r="C306" i="1"/>
  <c r="B306" i="1"/>
  <c r="AQ305" i="1"/>
  <c r="C305" i="1"/>
  <c r="B305" i="1"/>
  <c r="AQ304" i="1"/>
  <c r="B304" i="1"/>
  <c r="B303" i="1"/>
  <c r="B302" i="1"/>
  <c r="B301" i="1"/>
  <c r="AQ300" i="1"/>
  <c r="B300" i="1"/>
  <c r="AQ299" i="1"/>
  <c r="B299" i="1"/>
  <c r="C298" i="1"/>
  <c r="B298" i="1"/>
  <c r="B297" i="1"/>
  <c r="B296" i="1"/>
  <c r="AQ295" i="1"/>
  <c r="C295" i="1"/>
  <c r="B295" i="1"/>
  <c r="AQ294" i="1"/>
  <c r="B294" i="1"/>
  <c r="C293" i="1"/>
  <c r="B293" i="1"/>
  <c r="C292" i="1"/>
  <c r="B292" i="1"/>
  <c r="C291" i="1"/>
  <c r="B291" i="1"/>
  <c r="AQ290" i="1"/>
  <c r="C290" i="1"/>
  <c r="B290" i="1"/>
  <c r="B289" i="1"/>
  <c r="B288" i="1"/>
  <c r="C287" i="1"/>
  <c r="B287" i="1"/>
  <c r="C286" i="1"/>
  <c r="B286" i="1"/>
  <c r="C285" i="1"/>
  <c r="B285" i="1"/>
  <c r="AQ284" i="1"/>
  <c r="B284" i="1"/>
  <c r="B283" i="1"/>
  <c r="B282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AQ274" i="1"/>
  <c r="C274" i="1"/>
  <c r="B274" i="1"/>
  <c r="AQ273" i="1"/>
  <c r="C273" i="1"/>
  <c r="B273" i="1"/>
  <c r="AQ272" i="1"/>
  <c r="C272" i="1"/>
  <c r="B272" i="1"/>
  <c r="B271" i="1"/>
  <c r="C270" i="1"/>
  <c r="B270" i="1"/>
  <c r="B269" i="1"/>
  <c r="AQ268" i="1"/>
  <c r="C268" i="1"/>
  <c r="B268" i="1"/>
  <c r="B267" i="1"/>
  <c r="AQ266" i="1"/>
  <c r="B266" i="1"/>
  <c r="AQ265" i="1"/>
  <c r="B265" i="1"/>
  <c r="AQ264" i="1"/>
  <c r="B264" i="1"/>
  <c r="B263" i="1"/>
  <c r="AQ262" i="1"/>
  <c r="B262" i="1"/>
  <c r="AQ261" i="1"/>
  <c r="B261" i="1"/>
  <c r="B260" i="1"/>
  <c r="B259" i="1"/>
  <c r="B258" i="1"/>
  <c r="AQ257" i="1"/>
  <c r="B257" i="1"/>
  <c r="B256" i="1"/>
  <c r="B255" i="1"/>
  <c r="B254" i="1"/>
  <c r="AQ253" i="1"/>
  <c r="B253" i="1"/>
  <c r="B252" i="1"/>
  <c r="AQ251" i="1"/>
  <c r="B251" i="1"/>
  <c r="AQ250" i="1"/>
  <c r="B250" i="1"/>
  <c r="AQ249" i="1"/>
  <c r="B249" i="1"/>
  <c r="B248" i="1"/>
  <c r="B247" i="1"/>
  <c r="AQ246" i="1"/>
  <c r="B246" i="1"/>
  <c r="AQ245" i="1"/>
  <c r="B245" i="1"/>
  <c r="AQ244" i="1"/>
  <c r="B244" i="1"/>
  <c r="AQ243" i="1"/>
  <c r="B243" i="1"/>
  <c r="B242" i="1"/>
  <c r="B241" i="1"/>
  <c r="B240" i="1"/>
  <c r="B239" i="1"/>
  <c r="AQ238" i="1"/>
  <c r="B238" i="1"/>
  <c r="AQ237" i="1"/>
  <c r="C237" i="1"/>
  <c r="B237" i="1"/>
  <c r="B236" i="1"/>
  <c r="AQ235" i="1"/>
  <c r="B235" i="1"/>
  <c r="AQ234" i="1"/>
  <c r="B234" i="1"/>
  <c r="AQ233" i="1"/>
  <c r="B233" i="1"/>
  <c r="B232" i="1"/>
  <c r="AQ231" i="1"/>
  <c r="B231" i="1"/>
  <c r="AQ230" i="1"/>
  <c r="B230" i="1"/>
  <c r="B229" i="1"/>
  <c r="AQ228" i="1"/>
  <c r="B228" i="1"/>
  <c r="AQ227" i="1"/>
  <c r="B227" i="1"/>
  <c r="AQ226" i="1"/>
  <c r="B226" i="1"/>
  <c r="AQ225" i="1"/>
  <c r="B225" i="1"/>
  <c r="AQ224" i="1"/>
  <c r="B224" i="1"/>
  <c r="AQ223" i="1"/>
  <c r="B223" i="1"/>
  <c r="B222" i="1"/>
  <c r="B221" i="1"/>
  <c r="B220" i="1"/>
  <c r="B219" i="1"/>
  <c r="AQ218" i="1"/>
  <c r="B218" i="1"/>
  <c r="B217" i="1"/>
  <c r="B216" i="1"/>
  <c r="B215" i="1"/>
  <c r="B214" i="1"/>
  <c r="B213" i="1"/>
  <c r="AQ212" i="1"/>
  <c r="B212" i="1"/>
  <c r="AQ211" i="1"/>
  <c r="B211" i="1"/>
  <c r="AQ210" i="1"/>
  <c r="B210" i="1"/>
  <c r="AQ209" i="1"/>
  <c r="B209" i="1"/>
  <c r="B208" i="1"/>
  <c r="B207" i="1"/>
  <c r="B206" i="1"/>
  <c r="B205" i="1"/>
  <c r="B204" i="1"/>
  <c r="AQ203" i="1"/>
  <c r="B203" i="1"/>
  <c r="B202" i="1"/>
  <c r="B201" i="1"/>
  <c r="B200" i="1"/>
  <c r="AQ199" i="1"/>
  <c r="B199" i="1"/>
  <c r="B198" i="1"/>
  <c r="AQ197" i="1"/>
  <c r="B197" i="1"/>
  <c r="B196" i="1"/>
  <c r="AQ195" i="1"/>
  <c r="B195" i="1"/>
  <c r="B194" i="1"/>
  <c r="B193" i="1"/>
  <c r="AQ192" i="1"/>
  <c r="B192" i="1"/>
  <c r="AQ191" i="1"/>
  <c r="B191" i="1"/>
  <c r="AQ190" i="1"/>
  <c r="B190" i="1"/>
  <c r="B189" i="1"/>
  <c r="B188" i="1"/>
  <c r="B187" i="1"/>
  <c r="AQ186" i="1"/>
  <c r="B186" i="1"/>
  <c r="AQ185" i="1"/>
  <c r="B185" i="1"/>
  <c r="B184" i="1"/>
  <c r="AQ183" i="1"/>
  <c r="B183" i="1"/>
  <c r="B182" i="1"/>
  <c r="AQ181" i="1"/>
  <c r="B181" i="1"/>
  <c r="AQ180" i="1"/>
  <c r="B180" i="1"/>
  <c r="AQ179" i="1"/>
  <c r="B179" i="1"/>
  <c r="AQ178" i="1"/>
  <c r="B178" i="1"/>
  <c r="B177" i="1"/>
  <c r="B176" i="1"/>
  <c r="AQ175" i="1"/>
  <c r="B175" i="1"/>
  <c r="B174" i="1"/>
  <c r="B173" i="1"/>
  <c r="B172" i="1"/>
  <c r="AQ171" i="1"/>
  <c r="B171" i="1"/>
  <c r="B170" i="1"/>
  <c r="AQ169" i="1"/>
  <c r="B169" i="1"/>
  <c r="B168" i="1"/>
  <c r="AQ167" i="1"/>
  <c r="B167" i="1"/>
  <c r="AQ166" i="1"/>
  <c r="B166" i="1"/>
  <c r="AQ165" i="1"/>
  <c r="B165" i="1"/>
  <c r="B164" i="1"/>
  <c r="B163" i="1"/>
  <c r="AQ162" i="1"/>
  <c r="B162" i="1"/>
  <c r="B161" i="1"/>
  <c r="AQ160" i="1"/>
  <c r="B160" i="1"/>
  <c r="AQ159" i="1"/>
  <c r="B159" i="1"/>
  <c r="AQ158" i="1"/>
  <c r="B158" i="1"/>
  <c r="B157" i="1"/>
  <c r="B156" i="1"/>
  <c r="AQ155" i="1"/>
  <c r="B155" i="1"/>
  <c r="AQ154" i="1"/>
  <c r="B154" i="1"/>
  <c r="B153" i="1"/>
  <c r="B152" i="1"/>
  <c r="B151" i="1"/>
  <c r="B150" i="1"/>
  <c r="AQ149" i="1"/>
  <c r="B149" i="1"/>
  <c r="AQ148" i="1"/>
  <c r="B148" i="1"/>
  <c r="AQ147" i="1"/>
  <c r="B147" i="1"/>
  <c r="AQ146" i="1"/>
  <c r="B146" i="1"/>
  <c r="B145" i="1"/>
  <c r="AQ144" i="1"/>
  <c r="B144" i="1"/>
  <c r="AQ143" i="1"/>
  <c r="B143" i="1"/>
  <c r="B142" i="1"/>
  <c r="AQ141" i="1"/>
  <c r="B141" i="1"/>
  <c r="AQ140" i="1"/>
  <c r="B140" i="1"/>
  <c r="AQ139" i="1"/>
  <c r="B139" i="1"/>
  <c r="AQ138" i="1"/>
  <c r="B138" i="1"/>
  <c r="AQ137" i="1"/>
  <c r="B137" i="1"/>
  <c r="B136" i="1"/>
  <c r="B135" i="1"/>
  <c r="B134" i="1"/>
  <c r="AQ133" i="1"/>
  <c r="B133" i="1"/>
  <c r="B132" i="1"/>
  <c r="B131" i="1"/>
  <c r="B130" i="1"/>
  <c r="B129" i="1"/>
  <c r="AQ128" i="1"/>
  <c r="B128" i="1"/>
  <c r="B127" i="1"/>
  <c r="B126" i="1"/>
  <c r="AQ125" i="1"/>
  <c r="B125" i="1"/>
  <c r="AQ124" i="1"/>
  <c r="B124" i="1"/>
  <c r="B123" i="1"/>
  <c r="B122" i="1"/>
  <c r="B121" i="1"/>
  <c r="B120" i="1"/>
  <c r="B119" i="1"/>
  <c r="B118" i="1"/>
  <c r="B117" i="1"/>
  <c r="AQ116" i="1"/>
  <c r="B116" i="1"/>
  <c r="AQ115" i="1"/>
  <c r="B115" i="1"/>
  <c r="AQ114" i="1"/>
  <c r="B114" i="1"/>
  <c r="B113" i="1"/>
  <c r="B112" i="1"/>
  <c r="B111" i="1"/>
  <c r="AQ110" i="1"/>
  <c r="B110" i="1"/>
  <c r="B109" i="1"/>
  <c r="B108" i="1"/>
  <c r="B107" i="1"/>
  <c r="B106" i="1"/>
  <c r="B105" i="1"/>
  <c r="B104" i="1"/>
  <c r="B103" i="1"/>
  <c r="AQ102" i="1"/>
  <c r="B102" i="1"/>
  <c r="B101" i="1"/>
  <c r="B100" i="1"/>
  <c r="AQ99" i="1"/>
  <c r="B99" i="1"/>
  <c r="B98" i="1"/>
  <c r="AQ97" i="1"/>
  <c r="B97" i="1"/>
  <c r="AQ96" i="1"/>
  <c r="B96" i="1"/>
  <c r="AQ95" i="1"/>
  <c r="B95" i="1"/>
  <c r="AQ94" i="1"/>
  <c r="B94" i="1"/>
  <c r="B93" i="1"/>
  <c r="AQ92" i="1"/>
  <c r="B92" i="1"/>
  <c r="B91" i="1"/>
  <c r="AQ90" i="1"/>
  <c r="B90" i="1"/>
  <c r="AQ89" i="1"/>
  <c r="B89" i="1"/>
  <c r="AQ88" i="1"/>
  <c r="B88" i="1"/>
  <c r="C87" i="1"/>
  <c r="B87" i="1"/>
  <c r="C86" i="1"/>
  <c r="B86" i="1"/>
  <c r="C85" i="1"/>
  <c r="B85" i="1"/>
  <c r="B84" i="1"/>
  <c r="C83" i="1"/>
  <c r="B83" i="1"/>
  <c r="AQ82" i="1"/>
  <c r="C82" i="1"/>
  <c r="B82" i="1"/>
  <c r="AQ81" i="1"/>
  <c r="B81" i="1"/>
  <c r="AQ80" i="1"/>
  <c r="B80" i="1"/>
  <c r="C79" i="1"/>
  <c r="B79" i="1"/>
  <c r="C78" i="1"/>
  <c r="B78" i="1"/>
  <c r="C77" i="1"/>
  <c r="B77" i="1"/>
  <c r="AQ76" i="1"/>
  <c r="B76" i="1"/>
  <c r="B75" i="1"/>
  <c r="C74" i="1"/>
  <c r="B74" i="1"/>
  <c r="AQ73" i="1"/>
  <c r="C73" i="1"/>
  <c r="B73" i="1"/>
  <c r="AQ72" i="1"/>
  <c r="C72" i="1"/>
  <c r="B72" i="1"/>
  <c r="B71" i="1"/>
  <c r="B70" i="1"/>
  <c r="AQ69" i="1"/>
  <c r="B69" i="1"/>
  <c r="AQ68" i="1"/>
  <c r="B68" i="1"/>
  <c r="AQ67" i="1"/>
  <c r="B67" i="1"/>
  <c r="AQ66" i="1"/>
  <c r="B66" i="1"/>
  <c r="B65" i="1"/>
  <c r="AQ64" i="1"/>
  <c r="B64" i="1"/>
  <c r="B63" i="1"/>
  <c r="AQ62" i="1"/>
  <c r="C62" i="1"/>
  <c r="B62" i="1"/>
  <c r="C61" i="1"/>
  <c r="B61" i="1"/>
  <c r="AQ60" i="1"/>
  <c r="C60" i="1"/>
  <c r="B60" i="1"/>
  <c r="AQ59" i="1"/>
  <c r="B59" i="1"/>
  <c r="AQ58" i="1"/>
  <c r="B58" i="1"/>
  <c r="B57" i="1"/>
  <c r="B56" i="1"/>
  <c r="AQ55" i="1"/>
  <c r="B55" i="1"/>
  <c r="AQ54" i="1"/>
  <c r="B54" i="1"/>
  <c r="B53" i="1"/>
  <c r="AQ52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AQ38" i="1"/>
  <c r="B38" i="1"/>
  <c r="B37" i="1"/>
  <c r="B36" i="1"/>
  <c r="AQ35" i="1"/>
  <c r="B35" i="1"/>
  <c r="AQ34" i="1"/>
  <c r="B34" i="1"/>
  <c r="AQ33" i="1"/>
  <c r="B33" i="1"/>
  <c r="AQ32" i="1"/>
  <c r="B32" i="1"/>
  <c r="B31" i="1"/>
  <c r="AQ30" i="1"/>
  <c r="B30" i="1"/>
  <c r="AQ29" i="1"/>
  <c r="B29" i="1"/>
  <c r="B28" i="1"/>
  <c r="B27" i="1"/>
  <c r="AQ26" i="1"/>
  <c r="B26" i="1"/>
  <c r="B25" i="1"/>
  <c r="AQ24" i="1"/>
  <c r="B24" i="1"/>
  <c r="C23" i="1"/>
  <c r="B23" i="1"/>
  <c r="C22" i="1"/>
  <c r="B22" i="1"/>
  <c r="B21" i="1"/>
  <c r="B20" i="1"/>
  <c r="B19" i="1"/>
  <c r="B18" i="1"/>
  <c r="B17" i="1"/>
  <c r="AQ16" i="1"/>
  <c r="B16" i="1"/>
  <c r="B15" i="1"/>
  <c r="B14" i="1"/>
  <c r="AQ13" i="1"/>
  <c r="B13" i="1"/>
  <c r="AQ12" i="1"/>
  <c r="B12" i="1"/>
  <c r="C11" i="1"/>
  <c r="B11" i="1"/>
  <c r="C10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<sst xmlns="http://schemas.openxmlformats.org/spreadsheetml/2006/main" count="8987" uniqueCount="1321">
  <si>
    <t xml:space="preserve">
Пробирка Vacumed без наповнювача, розмір:13*100 мм, об'єм: 6 мл., уп. 100 шт., колір  кришки - червоний - 20 уп.</t>
  </si>
  <si>
    <t xml:space="preserve"> 1)Вата медична гігроскопічна гігієнічна нестерильна "зіг-заг" 100г  - 100 шт;.  2) Набір медичний гінекологічний стерильний №12 для цитології з ендоцервікальною щіточкою «Jiangsu Suyun»  - 200 шт</t>
  </si>
  <si>
    <t xml:space="preserve"> 1. Бинт марлевий медичний нестерильний розміром 7,0м х 14,0 см тип 17 - 300 шт.;  2. Рукавички  латексні оглядові нестерильні припудрені р. S - 1000 пар;  3. Рукавички  латексні оглядові нестерильні припудрені р. М - 2000 пар;  4. Відріз марлевий мед.  5м*90 см Тип 17 - 50 шт.</t>
  </si>
  <si>
    <t xml:space="preserve"> 32354110-3 Рентгенівська плівка,32354000-9 – Флюорографічна плівка.</t>
  </si>
  <si>
    <t xml:space="preserve"> 32447450</t>
  </si>
  <si>
    <t xml:space="preserve"> 33696500-0 Лабораторні реактиви:Лабораторні реактиви</t>
  </si>
  <si>
    <t xml:space="preserve"> PED-EDK02L Пробірка для капілярної крові D-VAC з ЕДТА (К3) без капіляра 0,25 мл ПП(або еквівалент)</t>
  </si>
  <si>
    <t xml:space="preserve"> Аеродезин 2000, 1000 мл з розпилювачем - 20 фл.;. Мікрасепт 1000 мл - 20 фл.</t>
  </si>
  <si>
    <t xml:space="preserve"> Аеродезин 2000, 1000 мл з розпилювачем -30 шт. Бланідас Софт, 5000 мл - 10шт. Бланідас Актив, 1000 мл - 20 шт.,Госписепт таблетки  (по 300 шт.)- 10 шт. Біонол, 1 кг - 20 шт. Мікрасепт 1000 мл - 30 шт.</t>
  </si>
  <si>
    <t xml:space="preserve"> БХ  007-04 АЛЬФА-АМІЛАЗА-  Набір реактивів для визн. активності альфа-амілази (діастази) амілокластичним методом Каравея,1110 мл(100/200 визн)ТУ У 24.4-13433137-050:2006;  Балон-каплерахівник (Спринцівка -0);  Бромтимоловий  синій, чда;  Діагностичний моноклональний реагент-Анти-D для визн.групи крові людини за системою Rhesus (10мл);   Респіратор FFP3;  Кінцевик універс., тип "Гілсон" 0,5-200 мкл. жовтий(1000 шт);  Мікропіпетка до ШОЕ-метру ТУ У 33.1-14307481-037:2007;  Мембрана МГ-1 к "Ексану";  Пробірка П2-10-90 "Волес";  Пробірка скляна центрифужна конічна, негр. 10мл  EximLab;  Пробірка центриф.град  П-1-10-0,2  ГОСТ-1770-74,(10005302); МБ 13.2-07 РЕТИКУЛОЦИТИ-50  Забарвлювач діамантовий крезоловий синій для ретикулоцитів:50 мл/1250 проб:ТУ У 21.2-13433137-057:2013;  Скаріфікатор-спис "Спецтехоснастка";  Скло покровне  24х24(№100) "MICROmed;  Смужки індикаторні ГЛЮКОТЕСТ №100 "Норма";  Трубка для "Ексан" 3*1 (м); МБ 02.3-07 ФАРБИ за ГРАМОМ з фуксином Циля -1000:Набір реагентів для забарвлення мікроорганізмів за методом Грама : ТУ У 21.2-13433137-057:2013; Штатив для накінечників до 200 мкл 96 лун. НХ-А28 К; Штатив для пробірок п/ет 10 гн; Штатив для пробірок п/ет 20 гн; Штатив для пробірок п/ет 40 гн</t>
  </si>
  <si>
    <t xml:space="preserve"> Бланідас Софт 5 л – 10 кан., Крем «Лізодерм рН 5.5» - 6 шт.</t>
  </si>
  <si>
    <t xml:space="preserve"> ДК 021-2015: 33696500-0 Лабораторні реактиви: 
АЧТВ-тест 100-200 визначень – 1 набір; 
РенаУпластин.Тромбопластин 8 мл (REF ПГ-5) – 2 набора.
</t>
  </si>
  <si>
    <t xml:space="preserve"> ДК 021-2015: 33696500-0 Лабораторні реактиви: 
Аланінамінотрансфераза (АЛТ) Набір реагентів: Реагент1, 1х100мл + Реагент2, 1х20мл - 1 набір;
Аспартатамінотрансфераза (АСТ) Набір реагентів: Реагент1, 1х120мл + Реагент2, 1х30мл	 - 1 набір;
Прямий Білірубін (напів-авто) Набір реагентів: Реагент1, 1x250мл + Реагент2, 1x25мл + Калібратор, 1x3мл	- 1 набір;
Білірубін Загальний (напів-авто) Набір реагентів: Реагент1, 1 250мл + Реагент2, 1x25мл, Калібратор, 1x3мл	- 1 набір;
Креатинін Набір реагентів: Реагент1, 1*125 мл+Стандарт, 1*5 мл	- 1 набір;
Сечовина Набір реагентів: Реагент1, 1*125 мл+Реагент2, 1*25 мл+Стандарт, 1*5 мл	- 1 набір;
Сечова кислота Набір реагентів: Реагент 1, 1*125 мл+Стандарт, 1*5 мл	- 1 набір;
Холестерол Набір реагентів: Реагент1, 1х125мл + Стандарт, 1х5мл - 1 набір;
ЛПВЩ Набір реагентів: Реагент1, 1х30мл + Реагент2, 1х10мл + Калібратор, 1х3мл - 1 набір;
ЛПНЩ Набір реагентів: Реагент1, 1х30мл + Реагент2, 1х10мл + Калібратор,1х3мл - 1 набір;
 Ліпіди Набір контролей: Рівень1, 1х3мл + Рівень2, 1х3мл - 1 набір;
Глікогемоглобін Набір контролей: Рівень1, 1х1мл + Рівень2, 1х1мл - 1 набір;
Глікогемоглобін Набір реагентів: Реагент1, 1х120мл + Реагент2, 1х30мл + Стандарт, 1х1мл + Сивороточні сепаратори, 80 - 1 набір;1
 Хімічний контроль  - 1 набір.
</t>
  </si>
  <si>
    <t xml:space="preserve"> ДК 021-2015: 33696500-0 Лабораторні реактиви: 
Глюкоза	 - 1 кг
Фарба-фіксатор по Май-Грюнвальду, 1л	 - 1 фл.;
Калібратори глюкози 10 ммоль	 - 5 амп.;
Масло імерсійне	 - 2 фл.;
Скаріфікатор-спис	 - 5000 шт.;
Діагностичний моноклональний регент анти-А   (100 доз/10 мл.)	 - 2 фл.;
Діагностичний моноклональний регент анти-В   (100 доз/10 мл.)	 - 2 фл.;
Діагностичний моноклональний реагент анти-D (100 доз/10 мл.)	 - 2 фл.
</t>
  </si>
  <si>
    <t xml:space="preserve"> ДК 021-2015: 33696500-0 Лабораторні реактиви: 
Діагностичний моноклональний реагент анти-А (100 доз/10 мл.) - 3 фл.;
Діагностичний моноклональний реагент анти-В (100 доз/10 мл.) - 3 фл.;
Діагностичний моноклональний реагент анти-D (100 доз/10 мл.) - 3фл.;
Тромбопластин - 2 фл.;
"Буфер на Ексан"- набір для використання буферного розчину на Ексан для кількісноно визначення глюкози у біологічних рідинах - 20 фл.
  Мембрана МГ-1 к "Ексану" - 1 шт.;
Фарба-фіксатор по Май-Грюнвальду, 1л - 1 фл.;
Фарба по Романовському 1л. - 1 фл.;
"Гемоглобін" - набір для визначення концентрації гемоглобіну у крові - 5 уп.;
Папір фільтрувальний - 0,5 кг.;
Сульфацилова кислота - 0,5 кг.;
Антиген кардіоліпіновий для РМП (10*2 мл) - 3 шт.;
Масло імерсійне - 2 фл.
</t>
  </si>
  <si>
    <t xml:space="preserve"> ДК 021-2015: 33696500-0 Лабораторні реактиви: 
Діагностичний моноклональний реагент анти-А (100 доз/10 мл.) - 3 фл.;
Діагностичний моноклональний реагент анти-В (100 доз/10 мл.) - 3 фл.;
Діагностичний моноклональний реагент анти-D (100 доз/10 мл.) - 3фл.;
Тромбопластин - 2 фл.;
"Буфер на Ексан"- набір для використання буферного розчину на Ексан для кількісноно визначення глюкози у біологічних рідинах - 20 фл.
  Мембрана МГ-1 к "Ексану" - 1 шт.;
Фарба-фіксатор по Май-Грюнвальду, 1л - 1 фл.;
Фарба по Романовському 1л. - 1 фл.;
"Гемоглобін" - набір для визначення концентрації гемоглобіну у крові - 5 уп.;
Папір фільтрувальний - 0,5 кг.;
Сульфацилова кислота - 0,5 кг.;
Антиген кардіоліпіновий для РМП (10*2 мл) - 3 шт.;
Масло імерсійне - 5 фл.
</t>
  </si>
  <si>
    <t xml:space="preserve"> ДК 021-2015: 33696500-0 Лабораторні реактиви: 
Тромбін-реагент-У на 200-600 визначень - 1 набір;
АЧТВ-тест 100-200 визначень – 1 набір; 
РенаУпластин.Тромбопластин 8 мл (REF ПГ-5) – 1 набір.
</t>
  </si>
  <si>
    <t xml:space="preserve"> ДК 021:2015: 33190000-8 Медичне обладнання та вироби медичного призначення (Комплект одягу Анти СНІД №1)</t>
  </si>
  <si>
    <t xml:space="preserve"> ДК 021:2015: 33190000-8 Медичне обладнання та вироби медичного призначення (Комплект одягу Анти СНІД №1)
</t>
  </si>
  <si>
    <t xml:space="preserve"> Канцелярські товари</t>
  </si>
  <si>
    <t xml:space="preserve"> Папір діаграмний для ЕКГ 80*30 - 200 шт.</t>
  </si>
  <si>
    <t xml:space="preserve"> Плівка радіографічна медична Зелена 30х40 см по 100 арк.        - 2 шт.	 Плівка радіографічна медична Зелена 24x30 cм по 100 арк.	- 2 шт. Плівка радіографічна медична Зелена 18x24 cм по 100 арк.	- 4 шт. Плівка радіографічна медична Зелена 18x24 cм по 100 арк.	- 4 шт. Проявник для ручної обробки рентгенівської плівки, 3 л (для 15л розчину) - 4 шт. Фіксаж для ручної обробки рентгенівської плівки, 3 л (для 15л розчину) - 2 шт.</t>
  </si>
  <si>
    <t xml:space="preserve"> Плівка радіографічна медична Зелена 30х40 см по 100 арк.    - 4 шт.	 Плівка радіографічна медична Зелена 24x30 cм по 100 арк.	- 2 шт. Плівка радіографічна медична Зелена 18x24 cм по 100 арк.	- 4 шт. Проявник для ручної обробки рентгенівської плівки, 3 л (для 15л розчину) - 10шт.</t>
  </si>
  <si>
    <t xml:space="preserve"> Плівка радіографічна медична Зелена 30х40 см по 100 арк. - 16 шт.;  Плівка радіографічна медична Зелена 24x30 cм по 100 арк.- 16 шт.; Плівка радіографічна медична Зелена 18x24 cм по 100 арк. - 16 шт.; Плівка радіографічна медична Зелена 13x18 cм по 100 арк. - 16 шт.;Проявник для ручної обробки рентгенівської плівки, 3 л (для 15л розчину) - 20 шт.; Фіксаж для ручної обробки рентгенівської плівки, 3 л (для 15л розчину) - 10 шт.</t>
  </si>
  <si>
    <t xml:space="preserve"> Плівка радіографічна медична Зелена 30х40 см по 100 арк. - 4 шт.;  Плівка радіографічна медична Зелена 24x30 cм по 100 арк.	- 4 шт.; Плівка радіографічна медична Зелена 18x24 cм по 100 арк. - 4 шт.; Плівка радіографічна медична Зелена 13x18 cм по 100 арк - 4 шт.; Проявник для ручної обробки рентгенівської плівки, 3 л (для 15л розчину) - 8 шт.; Фіксаж для ручної обробки рентгенівської плівки, 3 л (для 15л розчину) - 4 шт.</t>
  </si>
  <si>
    <t xml:space="preserve"> Плівка радіографічна медична Зелена 30х40 см по 100 арк. - 4 шт.;  Плівка радіографічна медична Зелена 24x30 cм по 100 арк.	- 4 шт.; Плівка радіографічна медична Зелена 18x24 cм по 100 арк. - 4 шт.; Проявник для ручної обробки рентгенівської плівки, 3 л (для 15л розчину) - 6 шт.; Фіксаж для ручної обробки рентгенівської плівки, 3 л (для 15л розчину) - 4 шт.</t>
  </si>
  <si>
    <t xml:space="preserve"> Плівка флюорографічна медична Лізоформ 70мм*30,5 м  або еквівалент</t>
  </si>
  <si>
    <t xml:space="preserve"> Послуги з ремонту і технічного обслуговування медичного (стерилізаційного) обладнання: Дистилятор ДЄ-25 - 1 шт.; Стерилізатор паровий горизонтальний ГК-100-З - 2 шт.</t>
  </si>
  <si>
    <t xml:space="preserve"> Послуги з ремонту і технічного обслуговування техніки (стерилізаційного) обладнання: Дистилятор ДЄ-25 - 1 шт.; Стерилізатор паровий горизонтальний ГК-100-З - 2 шт.</t>
  </si>
  <si>
    <t xml:space="preserve"> Рентгенівська плівка,Флюорографічна плівка </t>
  </si>
  <si>
    <t xml:space="preserve"> Фарба по Романовському 1л. - 2 фл.; Фарба-фіксатор по Май-Грюнвальду, 1л - 1 фл.; Антиген кардіоліпіновий для РМП (10*2 мл) " - 1 набір; Буфер на Ексан"- набір для використання буферного розчину на Ексан для кількісноно визначення глюкози у біологічних рідинах (REF HP009.04)  - 30 фл..; Калібратори глюкози 10 ммоль - 5 амп.; "Гемоглобін" - набір для визначення концентрації гемоглобіну у крові (REF HP008.01)(400/800 визнач.) - 5 набір; Сульфацилова кислота - 1 кг; Папір фільтрувальний 370*370 - 5 лист.; Скарифікатор - 2000 шт.</t>
  </si>
  <si>
    <t>"Буфер на Ексан"- набір для використання буферного розчину на Ексан для кількісноно визначення глюкози у біологічних рідинах (REF HP009.04)- 30 шт.; "Гемоглобін" - набір для визначення концентрації гемоглобіну у крові (REF HP008.01)(400/800 визнач.) – 5 упак., Глюкотест №100 – 10 уп., Фарба по Романовському 1л. – 1 фл., Фарба-фіксатор по Май-Грюнвальду, 1л – 1 фл., Калібратори глюкози 10 ммоль – 5 шт., Діагностичний моноклональний реагент анти-D для визначення групи крові людини за системою Rhesus (100 доз./10 мл) – 2 фл., Трихлороцтова кислота 25% - 100 мл., Хлорне залізо 6-водн – 0,2 кг., Хлористий барій 2-водн – 0,3 кг., Азопірамова проба 6000 проб – 1 упак., Трубка з'єднувальна до Ексан-Г, м – 0,5 м.</t>
  </si>
  <si>
    <t>"Гемоглобін"-набір(REF HP 008.01)(400/800 визнач.) Мембрана глюкооксидазна до Ексану Ацетон-тест №50 Глюкотест №100 "Буфер на Ексан"-  (REF HP 009.04)(58/76/100 визнач.) МБ 05.3-07 Фарби ціль-Нільсена 200 Азур-єозін по Романовському (р-н) 0.9 кг Еозин метиленовий синій по Май-Грюнвальду (р-н) 0.75  кг Калібратори глюкози 10 ммоль Діагностичний моноклональний реагент анти-D (100 доз./10 мл)</t>
  </si>
  <si>
    <t>% зниження</t>
  </si>
  <si>
    <t>(Амісепт 1000 мл – 10 фл., Санітаб – 10 шт.)</t>
  </si>
  <si>
    <t>(Амісепт 1000 мл – 10фл., Бланідас Софт 5 л – 10 кан., Крем «Лізодерм рН 5.5» - 6 шт., Санітаб – 10 шт.)</t>
  </si>
  <si>
    <t>+380442294839</t>
  </si>
  <si>
    <t>+380443934245</t>
  </si>
  <si>
    <t>+380444225203</t>
  </si>
  <si>
    <t>+380445853455, +380504429995</t>
  </si>
  <si>
    <t>+380472506051</t>
  </si>
  <si>
    <t>+380487304157</t>
  </si>
  <si>
    <t>+380503176714</t>
  </si>
  <si>
    <t>+380503410689, +380989175723</t>
  </si>
  <si>
    <t>+380503410689,+380989175723</t>
  </si>
  <si>
    <t>+380504515910</t>
  </si>
  <si>
    <t>+380504817008,+380567700862,+380689756373</t>
  </si>
  <si>
    <t>+380504819200</t>
  </si>
  <si>
    <t>+380505824706</t>
  </si>
  <si>
    <t>+380507158626</t>
  </si>
  <si>
    <t>+380509691021</t>
  </si>
  <si>
    <t>+380509815241</t>
  </si>
  <si>
    <t>+380532642042,+380971674023,+380684745789,+380509760085</t>
  </si>
  <si>
    <t>+380562313338</t>
  </si>
  <si>
    <t>+380562314638</t>
  </si>
  <si>
    <t>+380562334367</t>
  </si>
  <si>
    <t>+380562335529</t>
  </si>
  <si>
    <t>+380562351187</t>
  </si>
  <si>
    <t>+380562366008</t>
  </si>
  <si>
    <t>+380562464420</t>
  </si>
  <si>
    <t>+380563702846</t>
  </si>
  <si>
    <t>+380563703867</t>
  </si>
  <si>
    <t>+380563705472, +380675605242</t>
  </si>
  <si>
    <t>+380563705472,+380675605242</t>
  </si>
  <si>
    <t>+380563722000</t>
  </si>
  <si>
    <t>+380563773740</t>
  </si>
  <si>
    <t>+380564044216</t>
  </si>
  <si>
    <t>+380567251593</t>
  </si>
  <si>
    <t>+380567319583</t>
  </si>
  <si>
    <t>+380567324170</t>
  </si>
  <si>
    <t>+380567363030 (вн. 102)</t>
  </si>
  <si>
    <t>+380567403502</t>
  </si>
  <si>
    <t>+380567470296</t>
  </si>
  <si>
    <t>+380567474776</t>
  </si>
  <si>
    <t>+380567496414</t>
  </si>
  <si>
    <t>+380567675369</t>
  </si>
  <si>
    <t>+380567901733, +380980389458</t>
  </si>
  <si>
    <t>+380577063355</t>
  </si>
  <si>
    <t>+380633908021</t>
  </si>
  <si>
    <t>+380634810213</t>
  </si>
  <si>
    <t>+380635052729</t>
  </si>
  <si>
    <t>+380635737548</t>
  </si>
  <si>
    <t>+380637611135</t>
  </si>
  <si>
    <t>+380637973196</t>
  </si>
  <si>
    <t>+380638419121</t>
  </si>
  <si>
    <t>+380639824753</t>
  </si>
  <si>
    <t>+380665969994</t>
  </si>
  <si>
    <t>+380670057600</t>
  </si>
  <si>
    <t>+380670057603</t>
  </si>
  <si>
    <t>+380670057603, +380670057604</t>
  </si>
  <si>
    <t>+380670057606</t>
  </si>
  <si>
    <t>+380672336577</t>
  </si>
  <si>
    <t>+380672336577,+380975275357</t>
  </si>
  <si>
    <t>+380673031970,+380445855450</t>
  </si>
  <si>
    <t>+380673222525</t>
  </si>
  <si>
    <t>+380673412172</t>
  </si>
  <si>
    <t>+380674986634</t>
  </si>
  <si>
    <t>+380675180460</t>
  </si>
  <si>
    <t>+380675448800</t>
  </si>
  <si>
    <t>+380675515130</t>
  </si>
  <si>
    <t>+380675559675</t>
  </si>
  <si>
    <t>+380675625691</t>
  </si>
  <si>
    <t>+380675712801</t>
  </si>
  <si>
    <t>+380675712888</t>
  </si>
  <si>
    <t>+380675761027</t>
  </si>
  <si>
    <t>+380675994520</t>
  </si>
  <si>
    <t>+380676103375</t>
  </si>
  <si>
    <t>+380676222428</t>
  </si>
  <si>
    <t>+380676300610</t>
  </si>
  <si>
    <t>+380676303556</t>
  </si>
  <si>
    <t>+380676313958</t>
  </si>
  <si>
    <t>+380676314712</t>
  </si>
  <si>
    <t>+380676334521</t>
  </si>
  <si>
    <t>+380677198981</t>
  </si>
  <si>
    <t>+380677606193</t>
  </si>
  <si>
    <t>+380677923590</t>
  </si>
  <si>
    <t>+380678694503</t>
  </si>
  <si>
    <t>+380679421434</t>
  </si>
  <si>
    <t>+380681285478</t>
  </si>
  <si>
    <t>+380682066854</t>
  </si>
  <si>
    <t>+380682579981</t>
  </si>
  <si>
    <t>+380684406778</t>
  </si>
  <si>
    <t>+380687754752</t>
  </si>
  <si>
    <t>+380688786250</t>
  </si>
  <si>
    <t>+380933930705</t>
  </si>
  <si>
    <t>+380933930705, +380933930721</t>
  </si>
  <si>
    <t>+380938117000</t>
  </si>
  <si>
    <t>+380950505351</t>
  </si>
  <si>
    <t>+380957882540</t>
  </si>
  <si>
    <t>+380963156492</t>
  </si>
  <si>
    <t>+380964214653</t>
  </si>
  <si>
    <t>+380964877565</t>
  </si>
  <si>
    <t>+380967416022</t>
  </si>
  <si>
    <t>+380968352611</t>
  </si>
  <si>
    <t>+380970542673</t>
  </si>
  <si>
    <t>+380974256874</t>
  </si>
  <si>
    <t>+380976776740</t>
  </si>
  <si>
    <t>+380978440798</t>
  </si>
  <si>
    <t>+380979928479,+380664648456</t>
  </si>
  <si>
    <t>+380981818270</t>
  </si>
  <si>
    <t>+380983436469</t>
  </si>
  <si>
    <t>+380984088939</t>
  </si>
  <si>
    <t>+380984922285</t>
  </si>
  <si>
    <t>+380985872424</t>
  </si>
  <si>
    <t>+380987636318</t>
  </si>
  <si>
    <t>+380991203265</t>
  </si>
  <si>
    <t>+380995596034</t>
  </si>
  <si>
    <t>0 (0)</t>
  </si>
  <si>
    <t>0 (0) / 0 (0)</t>
  </si>
  <si>
    <t>0 (0) / 1 (0)</t>
  </si>
  <si>
    <t>0 (0) / 1 (1)</t>
  </si>
  <si>
    <t>00028</t>
  </si>
  <si>
    <t>0034/18</t>
  </si>
  <si>
    <t>0046</t>
  </si>
  <si>
    <t>01-10-2016/1</t>
  </si>
  <si>
    <t>0182/18</t>
  </si>
  <si>
    <t>0263/18</t>
  </si>
  <si>
    <t>0315</t>
  </si>
  <si>
    <t>03568161</t>
  </si>
  <si>
    <t>04725941</t>
  </si>
  <si>
    <t>0509815241@i.ua</t>
  </si>
  <si>
    <t>0517</t>
  </si>
  <si>
    <t>0554</t>
  </si>
  <si>
    <t>0562334323</t>
  </si>
  <si>
    <t>0563707252</t>
  </si>
  <si>
    <t>06-0/9834</t>
  </si>
  <si>
    <t>0717</t>
  </si>
  <si>
    <t>09000000-3 Нафтопродукти, паливо, електроенергія та інші види енергії</t>
  </si>
  <si>
    <t>09000000-3 Нафтопродукти, паливо, електроенергія та інші джерела енергії</t>
  </si>
  <si>
    <t>09130000-9 Нафта і дистиляти</t>
  </si>
  <si>
    <t>09132000-3 Бензин</t>
  </si>
  <si>
    <t>09220000-7 Вазелін і парафіни нафтові та спеціальні бензини</t>
  </si>
  <si>
    <t>0954332423</t>
  </si>
  <si>
    <t>1</t>
  </si>
  <si>
    <t>1 (0)</t>
  </si>
  <si>
    <t>1 (0) / 1 (0)</t>
  </si>
  <si>
    <t>1 (1)</t>
  </si>
  <si>
    <t>1) Біонол, 1 кг - 20 шт.; 2) Бланідас Софт, 5000 мл - 10 шт.; 3) Мікрасепт 1000 мл - 30 шт.; 4) Аеродезин 2000, 1000 мл з розпилювачем - 10 шт.; 5) Засіб дезінфікуючий Аеродезин,  250мл з двофункційним тригером - 20 шт.; 6) Бланідас Актив, 1000 мл - 10 шт.; 7) Бланідас 300, в табл. (по 300 шт.) - 10 шт.</t>
  </si>
  <si>
    <t xml:space="preserve">1) Кушетка медична оглядова - 2 шт;	
2) Столик маніпуляційний - 4 шт;
3) Столик інструментальний	- 2 шт;	
4) Тумбочка медична приліжкова	- 2 шт;	
5) Шафа медична (двостулкова)	- 2 шт;	
6) Шафа медична (двостулкова)	- 2 шт;	
7) Столик для внутрішньовенних ін’єкцій - 2 шт;	
8) Стул лабораторний гвинтовий	- 4 шт;	
9) Ширма медична трьохсекційна - 2 шт.	
</t>
  </si>
  <si>
    <t xml:space="preserve">1) Медична карта амбулаторного хворого - 3000 шт.;
2) Інформована добровільна згода пацієнта на проведення діагностики, лікування та на проведення операції та знеболення - 3000 шт.;
3) Згода на обробку персональних даних та користування Helsi - 3000 шт.;
4) Журнал обліку процедур - 5 шт.;
5) Журнал запису амбулаторних операцій - 12 шт.;
6) Книга обліку лікарських засобів та медичних виробів - 4 шт.;
7) Накладна-(вимога) - 1000 шт.;
8) Журнал обліку лікарських засобів - 3 шт.;
9) Журнал амбулаторного прийому - 5 шт.;
10) Журнал реєстрації хворих, які перебувають на АРТ у лікувальному закладі - 2 шт.;
11) Журнал реєстрації результатів досліджень за допомогою швидких тестів - 2 шт.;
12) Журнал протоколів проведення дослідження швидкими тестами - 2 шт.;
13) Журнал реєстрації добровільного перед - та після тестового консультування у зв'язку з тестувавнням на ВІЛ-інфекцію - 2 шт.;
15) Журнал реєстрації взяття крові для проведення дослідження на наявність антитіл до ВІЛ - 2 шт.;
16) Скринінгова анкета для виявлення людей, які потребують обстеження на туберкульоз - 1000 шт.;
17) Реєстраційна картка ВІЛ-інфікованої особи - 100 шт.;
18) Повідомлення про зміни в Реєстраційній карті ВІЛ-інфікованої особи - 100 шт.;
19) Контрольна карта диспансерного нагляду ВІЛ-інфікованою особою - 100 шт.;
20) Інформована згода на проходження тесту на ВІЛ - 1000 шт.;
21) Направлення на проведення дослідження на наявність антитіл до ВІЛ+  Довідка про результати досліджень на антитіла до ВІЛ методом імуноферментного аналізу - 1000 шт.;
22) Інформаційна згода на залучення до соціального супроводу - 1000 шт.;
23) Консультаційний висновок спеціаліста - 11500 шт.
</t>
  </si>
  <si>
    <t>1) Пробирка Vacumed без наповнювача, розмір:13*100 мм, об'єм: 6 мл., уп. 100 шт., колір  кришки - червоний  - 2 уп.; 2) Пробирка Vacumed з ЕДТА-КЗ розмір:13*75 мм, об'єм: 4 мл., уп. 100 шт., колір кришки-бузковий  - 2 уп.; 3) Пробирки для отделения плазмы BD Vacutainer® PPT™ 16*100 мм, 8 мл.,уп. 100 шт., реагент: K2ЭДТА/Гель, матеріал: пластик, тип кришки:Прозрачная BD Hemogard™ , колір кришки:білий - 3 уп.</t>
  </si>
  <si>
    <t>1) Пробирка Vacumed без наповнювача, розмір:13*100 мм, об'єм: 6 мл., уп. 100 шт., колір  кришки - червоний  - 2 уп.; 2) Пробирка Vacumed з ЕДТА-КЗ розмір:13*75 мм, об'єм: 4 мл., уп. 100 шт., колір кришки-бузковий  - 2 уп.; 3) Пробирки для отделения плазмы BD Vacutainer® PPT™ 16*100 мм, 8 мл.,уп. 100 шт., реагент: K2ЭДТА/Гель, матеріал: пластик, тип кришки:Прозрачная BD Hemogard™ , колір кришки:білий - 4 уп.</t>
  </si>
  <si>
    <t>1) Рукавички оглядові латексні нестерильні припудрені Medicare або еквівалент, розмір S - 1800пар  2) Рукавички оглядові латексні нестерильні припудрені Medicare або еквівалент, розмір М - 2500 пар</t>
  </si>
  <si>
    <t>1)Бинт гіпсовий 20 см*2.7 м  - 200 шт. 2) Бинт гіпсовий  15 см * 2.7м - 200 шт.</t>
  </si>
  <si>
    <t>1)Бинт гіпсовий 20 см*2.7 м  - 240 шт. 2) Бинт гіпсовий  20 см * 270 - 240 шт.</t>
  </si>
  <si>
    <t>1)Бинт марлевий 7*14 н/стерильний. 2)Бинт марлевий 5*10 н/стерильний. 3) Бинт гіпсовий  15 см * 270  4) Бинт гіпсовий  20 см * 270</t>
  </si>
  <si>
    <t>1)Папір діаграмний для ЕКГ 57*18  - 50 шт.; 2) Папір діаграмний для ЕКГ 58*30  - 150 шт.; 3) Папір діаграмний для ЕКГ 80*30 - 200 шт.</t>
  </si>
  <si>
    <t xml:space="preserve">1)Смужки діагностичні типу UrineRS, модель Н-10 для апарату CL -50 (виробництво США, система закрита, будь – які інші не підходять)  -10 уп.
2) Аланінамінотрансфераза (АЛТ) Набір реагентів: Реагент1, 1*100 мл+Реагент2, 1*20 мл  Виробник Інтермедіка Україна – 1 набір;
3) Аспартатамінотрансфераза (АСТ) Набір реагентів: Реагент1, 1*120 мл+Реагент2, 1*30 мл   Виробник Інтермедіка Україна – 1 набір;
4) Набір білірубін  Виробник Інтермедіка Україна – 1 набір;
5) Лужна фосфотаза Набір реагентів: Реагент1, 1*100 мл+Реагент2, 1*20 мл   Виробник Інтермедіка Україна – 1 набір;
6) Гамма-глютамілтрансфераза (ГГТ) Набір реагентів: Реагент1, 1*100 мл+Реагент2, 1*20 мл   Виробник Інтермедіка Україна – 1 набір;
7) Сечовина Набір реагентів: Реагент1, 1*125 мл+Реагент2, 1*25 мл+Стандарт, 1*5 мл  Виробник Інтермедіка Україна – 1 набір;
8) Креатинін Набір реагентів: Реагент1, 1*125 мл+Стандарт, 1*5 мл     Виробник Інтермедіка Україна – 1 набір;
9) Сечова кислота Набір реагентів: Реагент 1, 1*125 мл+Стандарт, 1*5 мл     Виробник Інтермедіка Україна – 1 набір;
10) "Загальний білок"- набір для визначення концентрації загального білку у сироватці крові людини (REF HP010.01) Виробник Інтермедіка Україна – 1 набір;
</t>
  </si>
  <si>
    <t>10</t>
  </si>
  <si>
    <t>10.51.1 - Молоко та вершки, рідинні, оброблені</t>
  </si>
  <si>
    <t>104</t>
  </si>
  <si>
    <t>107</t>
  </si>
  <si>
    <t>11</t>
  </si>
  <si>
    <t>110</t>
  </si>
  <si>
    <t>12</t>
  </si>
  <si>
    <t>12034</t>
  </si>
  <si>
    <t>13</t>
  </si>
  <si>
    <t>13-3/4005</t>
  </si>
  <si>
    <t>131</t>
  </si>
  <si>
    <t>133</t>
  </si>
  <si>
    <t>13433137</t>
  </si>
  <si>
    <t>13755875</t>
  </si>
  <si>
    <t>13887559</t>
  </si>
  <si>
    <t>139</t>
  </si>
  <si>
    <t>14</t>
  </si>
  <si>
    <t>14-18</t>
  </si>
  <si>
    <t>15</t>
  </si>
  <si>
    <t>15-18</t>
  </si>
  <si>
    <t>15510000-6 Молоко та вершки</t>
  </si>
  <si>
    <t>15511100-4 Молоко коров’яче питне пастеризоване 2,5% жирності (термінова закупка):15511100-4 Молоко коров’яче питне пастеризоване 2,5% жирності (поліет.) по 1 л. - 412л.</t>
  </si>
  <si>
    <t>15511100-4 Молоко коров’яче питне пастеризоване 2,5% жирності (термінова закупка):15511100-4 Молоко пастеризоване</t>
  </si>
  <si>
    <t>15511100-4 Молоко коров’яче питне пастеризоване 2,5% жирності :15511100-4 Молоко коров’яче питне пастеризоване 2,5% жирності (поліет.) по 1 л. - 760л.</t>
  </si>
  <si>
    <t>15511100-4 Молоко пастеризоване</t>
  </si>
  <si>
    <t>15511100-4 Пастеризоване молоко</t>
  </si>
  <si>
    <t>16</t>
  </si>
  <si>
    <t>163-18</t>
  </si>
  <si>
    <t>168/16</t>
  </si>
  <si>
    <t>17</t>
  </si>
  <si>
    <t>17.22.12-40.00 Вата медична гігроскопічна нестерильна "Білосніжка" зигзагоподібна, 100 г або еквівалент</t>
  </si>
  <si>
    <t>172/06</t>
  </si>
  <si>
    <t>1759701761</t>
  </si>
  <si>
    <t>1770806806</t>
  </si>
  <si>
    <t>18</t>
  </si>
  <si>
    <t>181</t>
  </si>
  <si>
    <t>1817713376</t>
  </si>
  <si>
    <t>182</t>
  </si>
  <si>
    <t>183</t>
  </si>
  <si>
    <t>184</t>
  </si>
  <si>
    <t>18424300-0 Одноразові рукавички</t>
  </si>
  <si>
    <t>18424300-0 Рукавички одноразові</t>
  </si>
  <si>
    <t>1844701126</t>
  </si>
  <si>
    <t>188</t>
  </si>
  <si>
    <t>19</t>
  </si>
  <si>
    <t>19.20.2. (09000000-3) Паливо рідинне та газ; оливи мастильні (бензин автомобільний А -92, скретч-картки номіналом 10л)) :Бензин А-92, в талонах номіналом 10л, скретч-картках</t>
  </si>
  <si>
    <t xml:space="preserve">19.20.2. Паливо рідинне та газ; оливи мастильні (бензин автомобільний А -92) </t>
  </si>
  <si>
    <t>19117325</t>
  </si>
  <si>
    <t>19157023</t>
  </si>
  <si>
    <t>19243202</t>
  </si>
  <si>
    <t>2</t>
  </si>
  <si>
    <t>2 (0)</t>
  </si>
  <si>
    <t>20</t>
  </si>
  <si>
    <t>20-Дб/19</t>
  </si>
  <si>
    <t>20.59.1 Фотопластинки й фотоплівки,плівка для миттєвого друку; фотохімікати та фотографічні незмішани речовини</t>
  </si>
  <si>
    <t xml:space="preserve">20.59.1 Фотопластинки й фотоплівки,плівка для миттєвого друку; фотохімікати та фотографічні незмішани речовини </t>
  </si>
  <si>
    <t>20.59.1 Фотопластинки й фотоплівки,плівка для миттєвого друку; фотохімікати та фотографічні незмішани речовини (терміново - скорочені терміни закупівлі)</t>
  </si>
  <si>
    <t>2006401422</t>
  </si>
  <si>
    <t>2009137093</t>
  </si>
  <si>
    <t>2014_a@mail.ua</t>
  </si>
  <si>
    <t>20277962</t>
  </si>
  <si>
    <t>203</t>
  </si>
  <si>
    <t>206/18</t>
  </si>
  <si>
    <t>20ДН</t>
  </si>
  <si>
    <t>21</t>
  </si>
  <si>
    <t>21.20.2 Препарати фармацевтичні, інші (Бинти)</t>
  </si>
  <si>
    <t>21.20.2 Препарати фармацевтичні, інші (Вата, бинти, марля):21.20.2 Препарати фармацевтичні, інші (Вата, бинти, марля)</t>
  </si>
  <si>
    <t>2102919923</t>
  </si>
  <si>
    <t>2126618602</t>
  </si>
  <si>
    <t>21560766</t>
  </si>
  <si>
    <t>21562@rambler.ru</t>
  </si>
  <si>
    <t>217</t>
  </si>
  <si>
    <t>2183500516</t>
  </si>
  <si>
    <t>21869802</t>
  </si>
  <si>
    <t>21943533</t>
  </si>
  <si>
    <t>22</t>
  </si>
  <si>
    <t>22.19.6 (18424300-0) Рукавички оглядові латексні нестерильні припудрені, рукавички хірургічні стерильні</t>
  </si>
  <si>
    <t>22.19.6, Медичні рукавички оглядові н/с, припудрені, латексні; Рукавички хірургічні стерильні латексні припудрені.</t>
  </si>
  <si>
    <t>22210000-5 Газети</t>
  </si>
  <si>
    <t>22800000-8 Паперові чи картонні реєстраційні журнали, бухгалтерські книги, швидкозшивачі, бланки та інші паперові канцелярські вироби</t>
  </si>
  <si>
    <t>22820000-4 Бланки</t>
  </si>
  <si>
    <t>2288101199</t>
  </si>
  <si>
    <t>2296400471</t>
  </si>
  <si>
    <t>22990000-6 Газетний папір, папір ручного виготовлення та інший некрейдований папір або картон для графічних цілей</t>
  </si>
  <si>
    <t>23</t>
  </si>
  <si>
    <t>2313106328</t>
  </si>
  <si>
    <t>23291827</t>
  </si>
  <si>
    <t>24</t>
  </si>
  <si>
    <t>24322500-2 Спирт</t>
  </si>
  <si>
    <t>24322510-5 Етиловий спирт</t>
  </si>
  <si>
    <t>24450000-3 Агрохімічна продукція</t>
  </si>
  <si>
    <t>24455000-8 Дезинфекційні засоби</t>
  </si>
  <si>
    <t>24601394</t>
  </si>
  <si>
    <t>24607793</t>
  </si>
  <si>
    <t>248-19</t>
  </si>
  <si>
    <t>24930000-2 Фотохімікати</t>
  </si>
  <si>
    <t>24931000-9 Фотопластини ти фотоплівки</t>
  </si>
  <si>
    <t>24931000-9 Фотопластинки, фотоплівки</t>
  </si>
  <si>
    <t>24931230-0 Проявник для рентгенівської плівки,  24931240-3 Фіксаж для рентгенівської плівки, 32354110-3 Рентгенівська плівка</t>
  </si>
  <si>
    <t>24931230-0 Проявник для рентгенівської плівки,  24931240-3 Фіксаж для рентгенівської плівки, 32354110-3 Рентгенівська плівка,32354000-9 – Флюорографічна плівка.</t>
  </si>
  <si>
    <t>24960000-1 Хімічна продукція різна</t>
  </si>
  <si>
    <t>25</t>
  </si>
  <si>
    <t>2500109241</t>
  </si>
  <si>
    <t>25010654</t>
  </si>
  <si>
    <t>25021641</t>
  </si>
  <si>
    <t>2527284</t>
  </si>
  <si>
    <t>2528913197</t>
  </si>
  <si>
    <t>2532900753</t>
  </si>
  <si>
    <t>2572002467</t>
  </si>
  <si>
    <t>2577705653</t>
  </si>
  <si>
    <t>26</t>
  </si>
  <si>
    <t>261-18</t>
  </si>
  <si>
    <t>2670320791</t>
  </si>
  <si>
    <t>2696412030</t>
  </si>
  <si>
    <t>27</t>
  </si>
  <si>
    <t>27.02.2017/045</t>
  </si>
  <si>
    <t>2774609357</t>
  </si>
  <si>
    <t>2779907291</t>
  </si>
  <si>
    <t>278/18</t>
  </si>
  <si>
    <t>2783213345</t>
  </si>
  <si>
    <t>28</t>
  </si>
  <si>
    <t>287/10</t>
  </si>
  <si>
    <t>29</t>
  </si>
  <si>
    <t>2908201591</t>
  </si>
  <si>
    <t>2919312898</t>
  </si>
  <si>
    <t>2947116064</t>
  </si>
  <si>
    <t>2953524895</t>
  </si>
  <si>
    <t>2982601980</t>
  </si>
  <si>
    <t>3</t>
  </si>
  <si>
    <t>3 (0)</t>
  </si>
  <si>
    <t>30</t>
  </si>
  <si>
    <t>3001719870</t>
  </si>
  <si>
    <t>3004709213</t>
  </si>
  <si>
    <t>30190000-7 Офісне устаткування та приладдя різне</t>
  </si>
  <si>
    <t>30192700-8 Канцелярські товари</t>
  </si>
  <si>
    <t>30224380</t>
  </si>
  <si>
    <t>30230000-0 Комп’ютерне обладнання</t>
  </si>
  <si>
    <t>3028009938</t>
  </si>
  <si>
    <t>3030113757</t>
  </si>
  <si>
    <t>30454707</t>
  </si>
  <si>
    <t>3062705535</t>
  </si>
  <si>
    <t>3097209703</t>
  </si>
  <si>
    <t>31</t>
  </si>
  <si>
    <t>31220000-4 Елементи електричних схем</t>
  </si>
  <si>
    <t>31292252</t>
  </si>
  <si>
    <t>31520000-7 Світильники та освітлювальна арматура</t>
  </si>
  <si>
    <t>31874517</t>
  </si>
  <si>
    <t>31874826</t>
  </si>
  <si>
    <t>3187707384</t>
  </si>
  <si>
    <t>32</t>
  </si>
  <si>
    <t>3206107564</t>
  </si>
  <si>
    <t>3229718007</t>
  </si>
  <si>
    <t>32354000-9 Плівка флюорографічна   -  3 рулони</t>
  </si>
  <si>
    <t>32354000-9 Плівки</t>
  </si>
  <si>
    <t>3241312508</t>
  </si>
  <si>
    <t>3243211390</t>
  </si>
  <si>
    <t>33</t>
  </si>
  <si>
    <t>33.13.1 - Ремонтування та технічне обслуговування електронного й оптичного устаткування :(Поточний ремонт - приладу ультразвукового ULTIMA PRO-10)</t>
  </si>
  <si>
    <t>33.13.1 - Ремонтування та технічне обслуговування електронного й оптичного устаткування; (Поточний ремонт  - Апарату флюорографічного з ЦОЗ 12Ф9)</t>
  </si>
  <si>
    <t>33.13.1 - Ремонтування та технічне обслуговування електронного й оптичного устаткування;(Послуги з технічного обслуговування рентген-діагоностичного обладнання: Апарат рентген.флюорографічний 12Ф9 "Україна", Апарат рентген.флюорографічний 12Ф7Ц, Комплекс рентген.діагностичний РУМ-20, Комплекс рентген.діагностичний РУМ-10, Апарат РФЛГ КРД 50 Індіарс, Апарат рентген.діагностичний Нео-Діагномакс)</t>
  </si>
  <si>
    <t>33.13.1 - Ремонтування та технічне обслуговування електронного й оптичного устаткування;(Поточний ремонт -Стерилізатору парового ГК-100-3 та Термостату ТС-80)</t>
  </si>
  <si>
    <t>33.13.1 - Ремонтування та технічне обслуговування електронного й оптичного устаткування;(Поточний ремонт -апарату Електрокардіограф "Юкард-100" та апарату Діагностичного комплексу "Сфера-4"</t>
  </si>
  <si>
    <t>33.13.1 - Ремонтування та технічне обслуговування електронного й оптичного устаткування;(Поточний ремонт -апарату РФЛГ КРД 50 "індіарс", комплексу рентген-діагностичного "Нео-Діагномакс", апарату флюорографічного 12Ф7Ц.</t>
  </si>
  <si>
    <t>33.13.1 - Ремонтування та технічне обслуговування електронного й оптичного устаткування;(Поточний ремонт -апарату Ранет ДМВ 20-1 та апарату Ампліпульс-5</t>
  </si>
  <si>
    <t>33006821</t>
  </si>
  <si>
    <t>33110000-4 Візуалізаційне обладнання для потреб медицини, стоматології та ветеринарної медицини</t>
  </si>
  <si>
    <t>33120000-7 Системи реєстрації медичної інформації та дослідне обладнання</t>
  </si>
  <si>
    <t>33140000-3 Медичні матеріали</t>
  </si>
  <si>
    <t>33141000-0 Матеріали витратні медичні нехімічні та гематологічні, одноразові</t>
  </si>
  <si>
    <t>33141000-0 Медичні матеріали нехімічні та гематологічні одноразового застосування</t>
  </si>
  <si>
    <t>33141110-4 Матеріали перев'язувальні</t>
  </si>
  <si>
    <t>33141110-4 Перев’язувальні матеріали</t>
  </si>
  <si>
    <t>33141117-3 Вата бавовняна</t>
  </si>
  <si>
    <t>33141310-6 Шприци</t>
  </si>
  <si>
    <t>33141310-6 Шприцы</t>
  </si>
  <si>
    <t>33141310-6 Шприцы:33141310-6 Шприцы</t>
  </si>
  <si>
    <t>33141420-0 Хірургічні рукавички</t>
  </si>
  <si>
    <t>33141620-2 Набори медичних інструментів</t>
  </si>
  <si>
    <t>33141625-7 Діагностичні набори</t>
  </si>
  <si>
    <t>33190000-8 Медичне обладнання та вироби медичного призначення різні</t>
  </si>
  <si>
    <t>33192500-7 Пробірки</t>
  </si>
  <si>
    <t>33198000-4 Лікарняні паперові вироби</t>
  </si>
  <si>
    <t>33198200-6 Пакети самоклеючі для стерилізації</t>
  </si>
  <si>
    <t>33198200-6 Пакети самоклеючі для стерилізації:33198200-6 Пакети самокліючі для стерилізації</t>
  </si>
  <si>
    <t>33198200-6 Паперові стерилізаційні пакети чи обгортки</t>
  </si>
  <si>
    <t>33275532</t>
  </si>
  <si>
    <t>335/4,6,11</t>
  </si>
  <si>
    <t>33600000-6 Фармацевтична продукція</t>
  </si>
  <si>
    <t>33631600-8 Антисептичні та дезінфекційні засоби</t>
  </si>
  <si>
    <t>33651600-4 Вакцини</t>
  </si>
  <si>
    <t>33690000-3 Лікарські засоби різні</t>
  </si>
  <si>
    <t>33694000-1 Діагностичні засоби</t>
  </si>
  <si>
    <t>33694000-1 Засоби діагностичні</t>
  </si>
  <si>
    <t>33696500-0 Лабораторні реактиви</t>
  </si>
  <si>
    <t>33696500-0 Реактиви лабораторні</t>
  </si>
  <si>
    <t>33700000-7 Засоби особистої гігієни</t>
  </si>
  <si>
    <t>33710000-0 Парфуми, засоби гігієни та презервативи</t>
  </si>
  <si>
    <t>3387207023</t>
  </si>
  <si>
    <t>34</t>
  </si>
  <si>
    <t>340</t>
  </si>
  <si>
    <t>3408707421</t>
  </si>
  <si>
    <t>3416112436</t>
  </si>
  <si>
    <t>34364696</t>
  </si>
  <si>
    <t>3439711096</t>
  </si>
  <si>
    <t>3439711110</t>
  </si>
  <si>
    <t>3453506899</t>
  </si>
  <si>
    <t>3495910475</t>
  </si>
  <si>
    <t>35</t>
  </si>
  <si>
    <t>35110000-8 Протипожежне, рятувальне та захисне обладнання</t>
  </si>
  <si>
    <t>35113400-3 Захисний одяг</t>
  </si>
  <si>
    <t>35113400-3 –Захисний одяг</t>
  </si>
  <si>
    <t>3550502015</t>
  </si>
  <si>
    <t>36</t>
  </si>
  <si>
    <t>36157713</t>
  </si>
  <si>
    <t>36216548</t>
  </si>
  <si>
    <t>36257034</t>
  </si>
  <si>
    <t>36295719</t>
  </si>
  <si>
    <t>36366700</t>
  </si>
  <si>
    <t>36367992</t>
  </si>
  <si>
    <t>36426078</t>
  </si>
  <si>
    <t>37</t>
  </si>
  <si>
    <t>37090770</t>
  </si>
  <si>
    <t>37149148</t>
  </si>
  <si>
    <t>37308833</t>
  </si>
  <si>
    <t>37398817</t>
  </si>
  <si>
    <t>37443639</t>
  </si>
  <si>
    <t>37568608</t>
  </si>
  <si>
    <t>37622036</t>
  </si>
  <si>
    <t>378</t>
  </si>
  <si>
    <t>38</t>
  </si>
  <si>
    <t xml:space="preserve">380442331672, </t>
  </si>
  <si>
    <t>380442331677</t>
  </si>
  <si>
    <t>380445014355, 380445014355</t>
  </si>
  <si>
    <t>380679342655, 380679342655</t>
  </si>
  <si>
    <t>38120926</t>
  </si>
  <si>
    <t>38266449</t>
  </si>
  <si>
    <t>38400000-9 Прилади для перевірки фізичних характеристик</t>
  </si>
  <si>
    <t>38408595</t>
  </si>
  <si>
    <t>38430000-8 Детектори та аналізатори</t>
  </si>
  <si>
    <t>38431598</t>
  </si>
  <si>
    <t>38493226</t>
  </si>
  <si>
    <t>38516299</t>
  </si>
  <si>
    <t>38677809</t>
  </si>
  <si>
    <t>38703629</t>
  </si>
  <si>
    <t>38716182</t>
  </si>
  <si>
    <t>39</t>
  </si>
  <si>
    <t>39/1</t>
  </si>
  <si>
    <t>39/2</t>
  </si>
  <si>
    <t>39027894</t>
  </si>
  <si>
    <t>39130000-2 Офісні меблі</t>
  </si>
  <si>
    <t>39190161</t>
  </si>
  <si>
    <t>39220000-0 Кухонне приладдя, товари для дому та господарства і приладдя для закладів громадського харчування</t>
  </si>
  <si>
    <t>39273420</t>
  </si>
  <si>
    <t>39417349</t>
  </si>
  <si>
    <t>39713287</t>
  </si>
  <si>
    <t>39762659</t>
  </si>
  <si>
    <t>4</t>
  </si>
  <si>
    <t>40</t>
  </si>
  <si>
    <t>40100448</t>
  </si>
  <si>
    <t>40564781</t>
  </si>
  <si>
    <t>40878412</t>
  </si>
  <si>
    <t>41</t>
  </si>
  <si>
    <t>41449359</t>
  </si>
  <si>
    <t>41621054</t>
  </si>
  <si>
    <t>41685485</t>
  </si>
  <si>
    <t>42744598</t>
  </si>
  <si>
    <t>42840705</t>
  </si>
  <si>
    <t>43</t>
  </si>
  <si>
    <t>43127829</t>
  </si>
  <si>
    <t>44</t>
  </si>
  <si>
    <t>44410000-7 Вироби для ванної кімнати та кухні</t>
  </si>
  <si>
    <t>45</t>
  </si>
  <si>
    <t>45220000-5 Інженерні та будівельні роботи</t>
  </si>
  <si>
    <t>459</t>
  </si>
  <si>
    <t>46</t>
  </si>
  <si>
    <t>47</t>
  </si>
  <si>
    <t>477-18</t>
  </si>
  <si>
    <t>48</t>
  </si>
  <si>
    <t>49</t>
  </si>
  <si>
    <t>5</t>
  </si>
  <si>
    <t>50</t>
  </si>
  <si>
    <t>50110000-9 Послуги з ремонту і технічного обслуговування мототранспортних засобів і супутнього обладнання</t>
  </si>
  <si>
    <t>50310000-1 Технічне обслуговування і ремонт офісної техніки</t>
  </si>
  <si>
    <t>50420000-5 Послуги з ремонту і технічного обслуговування медичного та хірургічного обладнання</t>
  </si>
  <si>
    <t>50421000-2 Послуги з ремонту і технічного обслуговування медичного (стерилізаційного) обладнання: Дистилятор ДЄ-25 - 1 шт.; Стерилізатор паровий горизонтальний ГК-100-З - 2 шт.</t>
  </si>
  <si>
    <t>50421000-2 Послуги з ремонту і технічного обслуговування медичного обладнання</t>
  </si>
  <si>
    <t>50421200-4 Послуги з поточного ремонту апарату рентген-діагностичного «Нео-Діагномакс».</t>
  </si>
  <si>
    <t>50421200-4 Послуги з ремонту і технічного обслуговування рентгенологічного обладнання</t>
  </si>
  <si>
    <t>50421200-4 Послуги з ремонту і технічного обслуговування рентгенологічного обладнання: Апарат рентген.флюорографічний 12Ф9 "Україна", Апарат рентген.флюорографічний 12Ф7Ц, Комплекс рентген.діагностичний РУМ-20, Комплекс рентген.діагностичний РУМ-10, Апарат РФЛГ КРД 50 Індіарс, Апарат рентген.діагностичний Нео-Діагномакс)</t>
  </si>
  <si>
    <t>50530000-9 Послуги з ремонту і технічного обслуговування техніки</t>
  </si>
  <si>
    <t>50530000-9 Послуги з ремонту і технічного обслуговування техніки" (технічне обслуговування стерилізаційного обладнання) Дистилятор ДЄ-25 - 1 шт.; Стерилізатор паровий горизонтальний ГК-100-ЗМ - 2 шт.</t>
  </si>
  <si>
    <t>508</t>
  </si>
  <si>
    <t>51</t>
  </si>
  <si>
    <t>53</t>
  </si>
  <si>
    <t>5318</t>
  </si>
  <si>
    <t>5319</t>
  </si>
  <si>
    <t>54</t>
  </si>
  <si>
    <t>55</t>
  </si>
  <si>
    <t>57</t>
  </si>
  <si>
    <t>58</t>
  </si>
  <si>
    <t>582</t>
  </si>
  <si>
    <t>59</t>
  </si>
  <si>
    <t>6</t>
  </si>
  <si>
    <t>6.1.1@ukr.net</t>
  </si>
  <si>
    <t>60</t>
  </si>
  <si>
    <t>61</t>
  </si>
  <si>
    <t>62</t>
  </si>
  <si>
    <t>63</t>
  </si>
  <si>
    <t>64</t>
  </si>
  <si>
    <t>64210000-1 Послуги телефонного зв’язку та передачі даних</t>
  </si>
  <si>
    <t>65</t>
  </si>
  <si>
    <t>67</t>
  </si>
  <si>
    <t>7</t>
  </si>
  <si>
    <t>7000825@ukr.net</t>
  </si>
  <si>
    <t>71</t>
  </si>
  <si>
    <t>713</t>
  </si>
  <si>
    <t>71600000-4 Послуги з технічних випробувань, аналізу та консультування</t>
  </si>
  <si>
    <t>71900000-7 Лабораторні послуги</t>
  </si>
  <si>
    <t>72250000-2 Послуги, пов’язані із системами та підтримкою</t>
  </si>
  <si>
    <t>72260000-5 Послуги, пов’язані з програмним забезпеченням</t>
  </si>
  <si>
    <t>72400000-4 Інтернет-послуги</t>
  </si>
  <si>
    <t>72710000-0 Послуги у сфері локальних мереж</t>
  </si>
  <si>
    <t>75</t>
  </si>
  <si>
    <t>759</t>
  </si>
  <si>
    <t>77</t>
  </si>
  <si>
    <t>79-19</t>
  </si>
  <si>
    <t>8</t>
  </si>
  <si>
    <t>80560000-7 Послуги з професійної підготовки у сфері охорони здоров’я та надання першої медичної допомоги</t>
  </si>
  <si>
    <t>8293242@gmail.com</t>
  </si>
  <si>
    <t>84</t>
  </si>
  <si>
    <t>85</t>
  </si>
  <si>
    <t>86</t>
  </si>
  <si>
    <t>87</t>
  </si>
  <si>
    <t>88</t>
  </si>
  <si>
    <t>89</t>
  </si>
  <si>
    <t>9</t>
  </si>
  <si>
    <t>94</t>
  </si>
  <si>
    <t>954</t>
  </si>
  <si>
    <t>98</t>
  </si>
  <si>
    <t>Acta.pharm.group@gmail.com</t>
  </si>
  <si>
    <t>Ei2009@ukr.net</t>
  </si>
  <si>
    <t>H-2017/80</t>
  </si>
  <si>
    <t>HT-Coag Набір контролів 1: Контроль 1, 1х1 мл; Аланінамінотрансфераза (АЛТ) Набір реагентів: Реагент1, 1х100мл + Реагент2, 1х20мл; Аспартатамінотрансфераза (АСТ) Набір реагентів: Реагент1, 1х120мл + Реагент2, 1х30мл; Загальний білок Набір реагентів: Реагент1, 1х125мл + Стандарт, 1х5мл; Загальні ліпіди - набір для визначення концентрації загальних лiпiдiв в сироватці крові людини(REF НР011.01)(200 мл/ 100 макс.визнач.); Контрольна кров Streck Para Extend -12; Концентрований розчин для промивання (50 мл); Креатинін Набір реагентів: Реагент1, 1х125мл + Реагент2, 1х125мл + Стандарт, 1х5мл; Сечова кислота Набір реагентів: Реагент1, 1х125мл + Стандарт, 1х5мл; Сечовина Набір реагентів: Реагент1, 1х125мл + Реагент2, 1х25мл + Стандарт, 1х5мл; Смужки для сечі (100 шт); Хімічний контроль Набір реагентів: Рівень1, 1х5мл + Рівень2, 1х5мл; Лужна фосфотаза Набір реагентів: Реагент1, 1*100 мл+Реагент2, 1*20 мл       ; Білірубін Загальний (напів-авто) Набір реагентів: Реагент1, 1 250мл + Реагент2, 1x25мл, Калібратор, 1x3мл; Ензиматичний очисник 1,0 - HT-HEMA 11-41-ua (розчин для промивання)</t>
  </si>
  <si>
    <t>L9029190@gmail.com</t>
  </si>
  <si>
    <t>LADA44035@GMAIL.COM</t>
  </si>
  <si>
    <t>Lada44035@yandex.ru</t>
  </si>
  <si>
    <t>Leon2970@ukr.net</t>
  </si>
  <si>
    <t>ListOlta@gmail.com</t>
  </si>
  <si>
    <t>M.LARINA@AVIAS.UA</t>
  </si>
  <si>
    <t>PAVLO.KUZ@VIP-OIL.COM.UA</t>
  </si>
  <si>
    <t xml:space="preserve">PED-EDK02L Пробірка для капілярної крові D-VAC з ЕДТА (К3) без капіляра 0,2 мл ПП (НК 024:2019 «Класифікатор медичних виробів»: 47588 Пробірка вакуумна для відбору зразків крові IVD, з K3ЕДТА Evacuated blood collection tube IVD, K3EDTA); Пробірка вакуумна, 6 мл, без наповнювача червона 13х100мм ПЕТ (НК 024:2019 «Класифікатор медичних виробів»: 57895 Пробірка вакуумна для взяття зразків крові ІВД, без добавок / без домішок Evacuated blood collection tube IVD, no additive/metal-free). </t>
  </si>
  <si>
    <t>ScanMed@ua.fm</t>
  </si>
  <si>
    <t>UAH</t>
  </si>
  <si>
    <t>VegaD@ua.fm</t>
  </si>
  <si>
    <t>akbarc@ukr.net</t>
  </si>
  <si>
    <t>aleksandr.nelipa@gmail.com</t>
  </si>
  <si>
    <t>aleksandrkondarev@gmail.com</t>
  </si>
  <si>
    <t>an.kolodeznaya@gmail.com</t>
  </si>
  <si>
    <t>anatoldnepr2016@icloud.com</t>
  </si>
  <si>
    <t>anis2014@ukr.net</t>
  </si>
  <si>
    <t>anis2017@ukr.net</t>
  </si>
  <si>
    <t>aprint7@ukr.net</t>
  </si>
  <si>
    <t>boe@ak.ua</t>
  </si>
  <si>
    <t>borck@i.ua</t>
  </si>
  <si>
    <t>burtsevad@intermedica.com.ua</t>
  </si>
  <si>
    <t>dedusheva.irina.ledum@gmail.com</t>
  </si>
  <si>
    <t>dolc.post@ses.dp.ua</t>
  </si>
  <si>
    <t>dostupno_444@ukr.net</t>
  </si>
  <si>
    <t>dpbiotehnology@mail.ru</t>
  </si>
  <si>
    <t>dubl01092015@ukr.net</t>
  </si>
  <si>
    <t>e.ivanova@vgmedical.com.ua</t>
  </si>
  <si>
    <t>evrofarmgryp@ukr.net</t>
  </si>
  <si>
    <t>farmameds2016@meta.ua</t>
  </si>
  <si>
    <t>felicit_d@ua.fm</t>
  </si>
  <si>
    <t>filicit@ukr.net</t>
  </si>
  <si>
    <t>fop.stakhov@ukr.net</t>
  </si>
  <si>
    <t>fop_gymenuk@i.ua</t>
  </si>
  <si>
    <t>fop_kovalenko@email.ua</t>
  </si>
  <si>
    <t>fop_tkachenko_cv@ukr.net</t>
  </si>
  <si>
    <t>fopmalchenko@ukr.net</t>
  </si>
  <si>
    <t>g.roman.fop@gmail.com</t>
  </si>
  <si>
    <t>g.shiyan@ukr.net</t>
  </si>
  <si>
    <t>gaydukov@service.dp.ua</t>
  </si>
  <si>
    <t>germanelenaed@mail.ru</t>
  </si>
  <si>
    <t>gich1122@ukr.net</t>
  </si>
  <si>
    <t>gladvetal@gmail.com</t>
  </si>
  <si>
    <t>gov.supply@tetafarm.com.ua</t>
  </si>
  <si>
    <t>grebenykti@gmail.com</t>
  </si>
  <si>
    <t>hennadii.makarenko@gmail.com</t>
  </si>
  <si>
    <t>homa75@inbox.ru</t>
  </si>
  <si>
    <t>imetishev@badm-b.biz</t>
  </si>
  <si>
    <t>info@dezmed.com.ua</t>
  </si>
  <si>
    <t>info@waz-engineering.com</t>
  </si>
  <si>
    <t>insk@medlab.kiev.ua</t>
  </si>
  <si>
    <t>kursy-med@ukr.net</t>
  </si>
  <si>
    <t>larisamakarenko@ukr.net</t>
  </si>
  <si>
    <t>led-story777@ukr.net</t>
  </si>
  <si>
    <t>lili_1987@ukr.net</t>
  </si>
  <si>
    <t>lupikovVlad@gmail.com</t>
  </si>
  <si>
    <t>lysoform_med@ukr.net</t>
  </si>
  <si>
    <t>m.p.shiyan@ukr.net</t>
  </si>
  <si>
    <t>marina.kuhar@wintera.ua</t>
  </si>
  <si>
    <t>med@ekobiz.info</t>
  </si>
  <si>
    <t>medpoint.com.ua@gmail.com</t>
  </si>
  <si>
    <t>mo.slavna@gmail.com</t>
  </si>
  <si>
    <t>momelchenko@badm-b.biz</t>
  </si>
  <si>
    <t>natalia.borshchova@gmail.com</t>
  </si>
  <si>
    <t>nataly7722@ukr.net</t>
  </si>
  <si>
    <t>neftek.city@i.ua</t>
  </si>
  <si>
    <t>o.dergach@ptfavias.dp.ua</t>
  </si>
  <si>
    <t>obolpavel3@gmail.com</t>
  </si>
  <si>
    <t>office@fartunat.com.ua</t>
  </si>
  <si>
    <t>office@shprici.com</t>
  </si>
  <si>
    <t>oooSPS2015@gmail.com</t>
  </si>
  <si>
    <t>oookrait@i.ua</t>
  </si>
  <si>
    <t>pavel@neftek.ua</t>
  </si>
  <si>
    <t>pkuracevskij@gmail.com</t>
  </si>
  <si>
    <t>polina906.kulik@yandex.ru</t>
  </si>
  <si>
    <t>reagent@ukr.net</t>
  </si>
  <si>
    <t>relax.prozoro@i.ua</t>
  </si>
  <si>
    <t>report.zakupki@prom.ua</t>
  </si>
  <si>
    <t>ruslan@igar.com.ua</t>
  </si>
  <si>
    <t>ruslana_shvets@ukr.net</t>
  </si>
  <si>
    <t>s.p.shiyan@gmail.com</t>
  </si>
  <si>
    <t>sales.equipmed@gmail.com</t>
  </si>
  <si>
    <t>salesplus@crovlex.com</t>
  </si>
  <si>
    <t>serbeen@olfa.ua</t>
  </si>
  <si>
    <t>shatohin1denis@gmail.com</t>
  </si>
  <si>
    <t>sms-uk@ukr.net</t>
  </si>
  <si>
    <t>sorvanec@ua.fm</t>
  </si>
  <si>
    <t>sw.an@ua.fm</t>
  </si>
  <si>
    <t>td@avias.ua</t>
  </si>
  <si>
    <t>tender@crovlex.com</t>
  </si>
  <si>
    <t>tov_prc@i.ua</t>
  </si>
  <si>
    <t>tovgm@ukr.net</t>
  </si>
  <si>
    <t>tovimed@gmail.com</t>
  </si>
  <si>
    <t>tushibo@i.ua</t>
  </si>
  <si>
    <t>ukrmedtechnika@i.ua</t>
  </si>
  <si>
    <t>vallenta12@gmail.com</t>
  </si>
  <si>
    <t>vegatech@i.ua</t>
  </si>
  <si>
    <t>vik-xxi-vek@ukr.net</t>
  </si>
  <si>
    <t>vitaliy@vg-medical.com.ua</t>
  </si>
  <si>
    <t>vitatest25@meta.ua</t>
  </si>
  <si>
    <t>vladborodin341@gmail.com</t>
  </si>
  <si>
    <t>vladislav.mushinskyi@gmail.com</t>
  </si>
  <si>
    <t>vladyslav.semenyk@facultet.dp.ua</t>
  </si>
  <si>
    <t>votan_ua@ukr.net</t>
  </si>
  <si>
    <t>vvstupnik@gmail.com</t>
  </si>
  <si>
    <t>yugavrikova@badm-b.biz</t>
  </si>
  <si>
    <t>zakupprozorro@gmail.com</t>
  </si>
  <si>
    <t>zuk@neftek.ua</t>
  </si>
  <si>
    <t xml:space="preserve">«33190000-8 - Медичне обладнання та вироби медичного призначення різні»  
(Меблі медичні )
</t>
  </si>
  <si>
    <t xml:space="preserve">«33190000-8 - Медичне обладнання та вироби медичного призначення різні»  
(Спалювач голок та деструктор шприців NULIFE DOTS - 1 шт.; 
Імпульсний термозварювальний апарат hd 260MS-8 - 1 шт.)
</t>
  </si>
  <si>
    <t>«33690000-3 «Лікарські засоби різні» Лабораторні реактиви:ЛОТ №1 Лабораторні реактиви для гематологічного аналізатора та аналізатора сечі.</t>
  </si>
  <si>
    <t>«33690000-3 «Лікарські засоби різні» Лабораторні реактиви:ЛОТ №2 Лабораторні реактиви для біохімічного аналізатора та фотоелектроколориметра.</t>
  </si>
  <si>
    <t>«33690000-3 «Лікарські засоби різні» Лабораторні реактиви:ЛОТ №3 Лабораторні реактиви для коагулометра.</t>
  </si>
  <si>
    <t>«Калібратори глюкози»; «Калібратори гемоглобіну» ; Антиген РМП; Фарбник по Романовському 1л.; Фарбник-фіксатор по Май-Грюнвальду, 1 л; «Буфер на ЕКСАН»; Тромбопластин (Львов); Ацетонтест  №50; Глюкотест №100; Скаріфікатор-спис;  Діагностичний моноклональний реагент анти – А  (100доз./10мл); Діагностичний моноклональний реагент анти – В  (100доз./10мл);  Діагностичний моноклональний реагент анти – D (100доз./10мл); Мембрана глюкозооксидазна MG-1 ; Бромтимоловий синій; Калій йодистий; Йод кристалічний</t>
  </si>
  <si>
    <t xml:space="preserve">«Послуги з технічних випробувань, аналізування та консультування» (Перевірка вихідних параметрів рентгенапаратів та перевірка свинцевого еквіваленту захисних засобів) </t>
  </si>
  <si>
    <t xml:space="preserve">«Послуги з технічних випробувань, аналізування та консультування» (Повірка засобів вимірювальної техніки (ЗВТ) відповідно до чинного законодавства та нормативної документації (НД)) </t>
  </si>
  <si>
    <t xml:space="preserve">«Послуги з технічних випробувань, аналізування та консультування» (проведення вимірювань свинцевого еквіваленту засобів захисту від рентгенівського випромінювання) </t>
  </si>
  <si>
    <t>ЄДРПОУ організатора</t>
  </si>
  <si>
    <t>ЄДРПОУ переможця</t>
  </si>
  <si>
    <t>ІВАНОВА ОЛЬГА ОЛЕКСАНДРІВНА</t>
  </si>
  <si>
    <t>ІКПС-132/20 (наружні) - 2шт.; ІКПС-ВН (132/20 внутрішні) - 4 шт.; Самоклеючі пакети для стерилізації 89мм*229мм №200 - 50 упак.; Самоклеючі пакети для стерилізації 133мм*254мм №200 - 2 упак.</t>
  </si>
  <si>
    <t xml:space="preserve">ІКПС-Н132/20 (наружні)	- 1 шт.; 
ІКПС-ВН (132/20 внутрішні)	- 2 шт.;
Азопірамова проба 6000 проб - 1 набір;	
Самоклеючі пакети для стерилізації 57мм*102мм №200 -  2 упак.;
Самоклеючі пакети для стерилізації 89мм*133мм №200 -  4 упак.;
Самоклеючі пакети для стерилізації 89мм*229мм №200 -  12 упак.;	
Самоклеючі пакети для стерилізації 133мм*254мм №200 - 4 упак.	</t>
  </si>
  <si>
    <t>ІКПС-Н132/20 (наружні) - 3 упак.; ІКПС-ВН (132/20 внутрішні) - 8 упак.; Самоклеючі пакети для стерилізації 89мм*229мм №200 - 16 упак.; Азопірамова проба 6000 проб - 5 упак.</t>
  </si>
  <si>
    <t>ІКПС-Н132/20 (наружні) ІКПС-ВН (132/20 внутрішні) Самоклеючі пакети для стерилізації 57мм*102мм №200 Самоклеючі пакети для стерилізації 89мм*229мм №200 Самоклеючі пакети для стерилізації 133мм*254мм №200 Самоклеючі пакети для стерилізації 305мм*432мм №200 Азопірамова проба 6000 проб</t>
  </si>
  <si>
    <t>Ідентифікатор закупівлі</t>
  </si>
  <si>
    <t>Ідентифікатор лота</t>
  </si>
  <si>
    <t>Індіраб вакцина антирабічна очищена, інактивована</t>
  </si>
  <si>
    <t>АЧТВ-тест 100-200 визначень – 2 набора; РенаУпластин.Тромбопластин 8 мл (REF ПГ-5) – 2 набора.</t>
  </si>
  <si>
    <t>Азур-еозин по Романовському 1л ; Буфер на ЕКСАН- набір для використання буферного розчину на ЕКСАН для кількісного визначення глюкози у біологічних рідинах(REF НР009.04)(50мл/ 100 макс.визнач.); Діагностичний моноклональний реагент анти – D для визначення групи крові людини за системою Rhesus(100доз./10мл); Діагностичний моноклональний реагент анти – А для визначення групи крові людини за системою АВ0 (100доз./10мл); Діагностичний моноклональний реагент анти – В для визначення групи крові людини за системою АВ0 (100доз./10мл); Еозин  - метиленовий синій по Май-Грюнвальду (1 л) ; Калібрувальний розчин глюкози НР 009.02.04; Масло імерсійне 100мл; Мембрана глюкозооксидазна MG-1 до аналізатору глюкози Ексан-ГМ; Набір реагентів для РМП RPR-01-2; Натрій лимоннокислий 3 зам.; Натрій хлористий; Смужки індикаторні Глюкотест №100; Термо- папір для аналізатора (теплова) 57мм; Філісіт-СРБ-латекс-набір для якісного та напівкількісного визначення С-реактивного білку (СРБ) у сироватці крові людини ЛА033.02 (2 мл/ 200 макс. визнач.); Трубка зєднання до Ексану; Набір реактивів для визначення концентрації гемоглобіну; Фільтрувальний папір ; Набір забарвлення по Циль-Нільсену; Скарифікатор одноразовий стерильний; Скло предметне 25х76х1 з полем д/запису №50; Скло покровне 24*24 мм № 1000; Сироватка контрольна для біохімічних досліджень ; Альфа-амілаза набір реактивів; Бромтимоловий синій; Кислота оцтова; Калібратори гемоглобіну; Тромбопластин; Холестерин - Ф НР026.02</t>
  </si>
  <si>
    <t>Аланінамінотрансфераза (АЛТ); Аспартатамінотрансфераза (АСТ); Гамма-глютамілтрансфераза (ГГТ); Загальний білок ; Креатинін ; Лужна фосфотаза; Сечова кислота ; Сечовина ; Смужки діагностичні типу UrineRS, модель Н-10</t>
  </si>
  <si>
    <t>Аліна Русланівна Дубик</t>
  </si>
  <si>
    <t>Андрій Анатолійович Подольний</t>
  </si>
  <si>
    <t>Антиген кардіоліпіновий для РМП 10 амп*2 мл "Буфер на Ексан"- набір (REF HP 009.04)(58/76/100 визнач.) "Гемоглобін"-набір (REF HP 008.01)(400/800 визнач.) Глюкотест №100 "Калібратори глюкози" -набір  (REF HK 009.03) Скаріфікатор-спис Діагностичний моноклональний реагент анти-А  (100 доз./10 мл) Діагностичний моноклональний реагент анти-В  (100 доз./10 мл) Діагностичний моноклональний реагент анти-D(100 доз./10 мл) Холестерин -Ф НР026.02 (40/80/200 визнач.)</t>
  </si>
  <si>
    <t>Антиген кардіоліпіновий для РМП 10 амп*2 мл; "Буфер на Ексан"; "Гемоглобін"-набір"; Глюкотест №100; Калібратори глюкози 10 ммоль ; Скаріфікатор-спис; Діагностичний моноклональний реагент анти-А (100 доз./10 мл) "Групотест" Діагностичний моноклональний реагент анти-В  (100 доз./10 мл)"Групотест" Діагностичний моноклональний реагент анти-D  (100 доз./10 мл)"Групотест"; Холестерин -Ф ; Філісіт-СРБ-латекс ЛА 033.02 (200 визнач) ;Філісіт-РФ-латекс ЛА 033.03 (200 визнач.) ;Мембрана глюкооксидазна до Ексану Литва</t>
  </si>
  <si>
    <t>Антресоль; Шафа для одягу; Тумба приставна; Підставка під монітор ; Шафа офісна; Вішак коридорний; Стіл письмовий однотумбовий; Меблева секція ; Стілець офісний ISO black; Крісло офісне; Стіл кутовий; Тумба приставна права до кутового столу; Тумба приставна ліва до кутового столу; Стіл приставний</t>
  </si>
  <si>
    <t>Бензин А-92 в талонах номіналом 10 л., скретч-картках</t>
  </si>
  <si>
    <t xml:space="preserve">Бензин А-92 в талонах номіналом 10 л., скретч-картках </t>
  </si>
  <si>
    <t>Бензин А-92 в талонах номіналом 10 л., скретч-картках - 1080 л.</t>
  </si>
  <si>
    <t>Бензин А-92 в талонах номіналом 10 л., скретч-картках - 240 л.</t>
  </si>
  <si>
    <t>Бензин А-92 в талонах номіналом 10 л., скретч-картках - 720 л.</t>
  </si>
  <si>
    <t>Бензин А-92, в талонах номіналом 10л, скретч-картках</t>
  </si>
  <si>
    <t>Бензин А-92. Технические требования к товару: 1) Соблюдение нормы октанового числа (82,5) 2) Соответствие ГОСТу 2007г.</t>
  </si>
  <si>
    <t>Бензин марки А-92 в талонах номіналом 10 л, скретч-картках</t>
  </si>
  <si>
    <t>Бланки облікової та медичної документації</t>
  </si>
  <si>
    <t>Бланідас 300 - 9 шт.,  Аеродезин 250 мл з двофункційним тригером- 20 шт.,  АХД 2000 експрес (AHD 2000 express), 1л - 9 шт.,  АХД 2000 ультра (помаранчевий), 1000 мл -2 шт.,  Неосептін перевін, 1000 мл  - 1 шт.,  Засіб дезінфекційний "АХД 2000 експрес (серветки)" 200 шт  - 1 шт.</t>
  </si>
  <si>
    <t>Бланідас Актив, 1000 мл - 20 фл., Амісепт, 1000 мл - 3 фл.</t>
  </si>
  <si>
    <t>Бланідас НОК 5 л - 12 кан.</t>
  </si>
  <si>
    <t>Білірубін Загальний (напів-авто) Набір реагентів ; Прямий Білірубін (напів-авто) Набір реагентів ; Аспартатамінотрансфераза (АСТ) Набір реагентів ; Аланінамінотрансфераза (АЛТ) Набір реагентів ;  Сечовина Набір реагентів ;  Креатинін Набір реагентів ;  Сечова кислота Набір реагентів; Хімічний контроль Набір реагентів: Рівень1, 1х5мл + Рівень2, 1х5мл; Розчин для промивання, фасування: 1л; Розчин ізотонічний, фасування: 20л; Концентрований розчин для промивання, фасування: 50мл; Матеріал контролю гематологічний атестований багато параметричний Para 12 Extend: 1 x 2.5 мл (1 Норма); Розчин лізуючий, 1 л; Кювети реакційні; Кулі для фіксації часу утворення згустку; СРБ латекс-тест; "РФ латекс-тест"; "АСЛО-О латекс-тест";   Холестерин-моно-200/2-Р; Тимолова проба-СпЛ; Буфер на Ексан; Калібратор глюкози  10 ммоль/л-5мл; Глюкоза фарм (LYCADEX PF); Мембрана глюкооксидазна  для автоматичного аналізатору глюкози "Ексан"   (5 шт/уп); Масло імерсійне 100мл ; Діагностичний моноклональний реагент анти-А для визначення групи крові людини за системою АВ0(10мл); Діагностичний моноклональний реагент анти-В для визначення групи крові людини за системою АВ0(10мл); Діагностичний моноклональний реагент анти-D для визначення групи крові людини за системою Rhesus(10мл); РетикулоФарб (диференційнезабарвлення ретикулоцитів і еритроцитів крові) 50 мл; Сульфосаліцилова кислота чда; Азотна кислота 1,4</t>
  </si>
  <si>
    <t>Білірубін загальний-СпЛ 300 мл/100 визн; Білірубін прямий-СпЛ 300 мл/100 визн; АсАТ-600; АлАТ-600; Сечовина уреазна -200 мл/100 проб»; Креатинін-пікриновий-520мл; Сечова кислота-уриказа-100-Р; Хімічний контроль Набір реагентів: Рівень1, 1х5мл + Рівень2, 1х5мл; Розчин для промивання, фасування: 1л; Розчин ізотонічний, фасування: 20л; Концентрований розчин для промивання, фасування: 50мл; Матеріал контролю гематологічний атестований багато параметричний Para 12 Extend: 1 x 2.5 мл (1 Норма); Розчин лізуючий, 1 л; Кювети реакційні; СРБ латекс-тест; "РФ латекс-тест"; "АСЛО-О латекс-тест";   Холестерин-моно-200/2-Р; Тимолова проба-СпЛ; Буфер на Ексан; Калібратор глюкози  10 ммоль/л-5мл; Глюкоза фарм (LYCADEX PF); Мембрана глюкооксидазна  для автоматичного аналізатору глюкози "Ексан"   (5 шт/уп); Масло імерсійне 100мл ; Діагностичний моноклональний реагент анти-А для визначення групи крові людини за системою АВ0(10мл); Діагностичний моноклональний реагент анти-В для визначення групи крові людини за системою АВ0(10мл); Діагностичний моноклональний реагент анти-D для визначення групи крові людини за системою Rhesus(10мл); РетикулоФарб (диференційнезабарвлення ретикулоцитів і еритроцитів крові) 50 мл; Сульфосаліцилова кислота чда; Азотна кислота 1,4; Кулі для фіксації часу утворення згустку</t>
  </si>
  <si>
    <t>Вакцина антирабічна "Індіраб" №10 (rabies, inactivated, whole virus)</t>
  </si>
  <si>
    <t>Вакцина для профілактики вірусного гепатиту В</t>
  </si>
  <si>
    <t>Вакцина для профілактики грипу</t>
  </si>
  <si>
    <t>Вальпроком 300 №100 таблетки</t>
  </si>
  <si>
    <t>Валюта</t>
  </si>
  <si>
    <t>Вата мед. н/стер. 100 г Зіг-заг  Марлевий відріз мед. н/ст 500 см*90 см  Бинт марлевий медичний нестерильний 7*14 тип 17 Бинт марлевий мед. н/ст. 5*10 тип 17 Рукавички  латексні оглядові нестерильні припудрені р.S Рукавички  латексні оглядові нестерильні припудрені р.М Рукавички хірургічні стерильні припудрені р.7  Рукавички хірургічні стерильні припудрені р.8</t>
  </si>
  <si>
    <t>Вата мед. н/стер. 100 г Зіг-заг "Белоснежка", Бинт марлевий мед. н/ст. 5*10 "Белоснежка", Бинт марлевий мед. н/ст. 7*14 "Белоснежка", Одноразова система переливання інфузійних розчинів (Luer Slip Medicare, Допомога-1),Шприци ін’єкційні одноразового використання.</t>
  </si>
  <si>
    <t>Вата мед. н/стер. 100 г Зіг-заг "Белоснежка", Бинт марлевий мед. н/ст. 7*14 "Белоснежка", Бинт марлевий мед. н/ст. 5*10 "Белоснежка"</t>
  </si>
  <si>
    <t xml:space="preserve">Вата медична гігроскопічна гігієнічна  нестерильна, 100 г; Бинт  марлевий  медичний  7м × 14 см; Бинт  марлевий  медичний  5м × 10 см; Відріз марлевий 5м х 90 см ; Шприц ін'єкційний, 2,0 мл ; Шприц ін'єкційний, 5,0 мл ; Шприц ін'єкційний, 10,0 мл ; Шприц ін'єкційний, 20,0 мл ; Рукавички оглядові розмір S; Рукавички оглядові розмір M; Рукавички хірургічні,  розмір 7,0; Рукавички хірургічні, розмір 8,0; Пластир хірургічний, 2,5 см х 9,1 м; Рукавички хірургічні "подвійні", розмір 7,5; Набір отоларингологічний оглядовий №1 ; Аплікатор на дерев'яній паличці в пробірці ; Шпатель цервікальний Фолькмана; Лезо для скальпелю,  розмір 21; Маска медична для індивідуального захисту ; Канюля в/венна 20G; Канюля в/венна 22G; Одноразова система для вливання інфузійних розчинів </t>
  </si>
  <si>
    <t>Вата медична гігроскопічна гігієнічна  нестерильна, 100 г; Бинт  марлевий  медичний  7м × 14 см; Бинт  марлевий  медичний  5м × 10 см; Шприц ін'єкційний, 2,0 мл ; Шприц ін'єкційний, 5,0 мл ; Шприц ін'єкційний, 10,0 мл ; Шприц ін'єкційний, 20,0 мл ; Рукавички оглядові розмір M</t>
  </si>
  <si>
    <t xml:space="preserve">Вата медична гігроскопічна гігієнічна нестерильна "зіг-заг" 100г - 100 шт.; Бинт марлевий медичний нестерильний розміром 5,0м х 10,0 см тип 17 - 300 шт.;Бинт марлевий медичний нестерильний розміром 7,0м х 14,0 см тип 17 - 200 шт.;Рукавички  латексні оглядові нестерильні припудрені р.S - 2500 пар;Рукавички  латексні оглядові нестерильні припудрені р.М - 2500 пар;Рукавички хірургічні стерильні припудрені р.7 - 100 пар; Рукавички хірургічні стерильні припудрені р.8 - 100 пар;Шприц ін'єкційний одноразового застосування  5,0 мл. 3-х компонентний з голкою 0,7*38 мм - 1500 шт.;Шприц ін'єкційний одноразового застосування  10,0 мл. 3-х компонентний з голкою 0,8*38 мм - 500 шт.;Шприц ін'єкційний одноразового застосування 20,0 мл. 3-х компонентний з голкою 0,8*38 мм - 300 шт.;Пристрій інфузійний ПР «ПЛАСТМЕД» або еквівалент-100 шт. </t>
  </si>
  <si>
    <t>Вата медична гігроскопічна гігієнічна нестерильна "зіг-заг" 100г - 200 шт., Бинт марлевий медичний нестерильний розміром 7,0м х 14,0 см тип 17 - 400 шт., Бинт марлевий медичний нестерильний розміром 5,0м х 10,0 см тип 17 - 300 шт., Рукавички латексні оглядові нестерильні припудрені р.S-500 пар, р. М - 1500 пар.)</t>
  </si>
  <si>
    <t>Вата медична гігроскопічна гігієнічна нестерильна "зіг-заг" 100г - 50 шт; Бинт марлевий медичний нестерильний розміром 7,0м х 14,0 см тип 17 - 200 шт.; Бинт марлевий медичний нестерильний розміром 5,0м х 10,0 см тип 17 - 200 шт.; Відріз марлевий медичний нестерильний, 5м*90 см, тип 17 - 20 шт.</t>
  </si>
  <si>
    <t>Вата медична гігроскопічна гігієнічна нестерильна "зіг-заг" 100г;  Бинт марлевий медичний нестерильний розміром 7,0м х 14,0 см тип 17; Шприц ін’єкційний одноразового використання луєр сліп   2,0 мл.,  5,0 мл., 10,0 мл.,  20,0 мл. Пристрій інфузійний ПР «ПЛАСТМЕД»;Катетер Унофлон №20, №22 внутрішньовенний.</t>
  </si>
  <si>
    <t>Вата медична гігроскопічна нестерильна "Білосніжка" зигзагоподібна, 100 г або еквівалент</t>
  </si>
  <si>
    <t>Вата медична нестерильна 100 г Зіг-Заг «Белоснежка»-200 шт., Бинт марлевий мед. н/ст. 5*10 "Белоснежка" тип 17 -200 шт.,Бинт марлевий мед. н/ст. 7*14 "Белоснежка"тип 17 -200 шт.,Одноразова система для переливання інфузійних розчинів (Luer Slip Medicare) Домогага-1 -100 шт., Шприци ін’єкційні одноразового використання луєр сліп Medicare, «Допомога-1» -3000 шт.</t>
  </si>
  <si>
    <t xml:space="preserve">Вата медична нестерильна 100 г Зіг-Заг «Белоснежка»-200 шт., Бинт марлевий мед. н/ст. 5*10 "Белоснежка" тип 17 -200 шт.,Бинт марлевий мед. н/ст. 7*14 "Белоснежка"тип 17 -200 шт.,Одноразова система для переливання інфузійних розчинів (Luer Slip Medicare) Домогага-1 -100 шт., Шприци ін’єкційні одноразового використання луєр сліп Medicare, «Допомога-1» -3000 шт.:Вата медична нестерильна 100 г Зіг-Заг «Белоснежка», Бинт марлевий мед. н/ст. 5*10,  7*14, Одноразова система для переливання інфузійних розчинів, Шприци ін’єкційні </t>
  </si>
  <si>
    <t>Вернедор Плюс, 1000 мл або еквівалент -15 фл.;  Амісепт, 1000 мл – 15 фл</t>
  </si>
  <si>
    <t>Вогнегасник ВП-5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</si>
  <si>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</si>
  <si>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</si>
  <si>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</si>
  <si>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Відкриті торги</t>
  </si>
  <si>
    <t>Відріз марлевий медичний нестерильний, 5м*90 см, тип 17 - 30 шт.,                 Бинт марлевий медичний нестерильний розміром 7,0м х 14,0 см тип 17 - 200 шт.,Вата медична гігроскопічна гігієнічна нестерильна "зіг-заг" 100г - 200 шт.,Шприц ін’єкційний стерильний одноразового застосування трикомпонентний об’ємом  2 мл.(0,6*25 мм) - 500 шт. 5 мл.(0,7*38 мм) - 1000 шт. 10 мл. (0,8*38 мм) - 1000 шт.  "Луер",Рукавички латексні оглядові нестерильні припудрені р.S-500 пар, р.М - 1500 пар.</t>
  </si>
  <si>
    <t>Відсутнє</t>
  </si>
  <si>
    <t xml:space="preserve">Відсутність тендерної документації </t>
  </si>
  <si>
    <t>ГАНІН АНАТОЛІЙ БОРИСОВИЧ</t>
  </si>
  <si>
    <t>Гель для УЗД</t>
  </si>
  <si>
    <t>Гель для УЗД, 1000 мл</t>
  </si>
  <si>
    <t>Гель для УЗД, 5000 мл - 15 кан.,Папір для відеопринтера 110*20 110 S - 10 рул.</t>
  </si>
  <si>
    <t>Гель для УЗД, 5000 мл - 6 кан.,  Кардіопапір 80*30 - 150 рул., Кардіопапір 58*30 - 150 рул.</t>
  </si>
  <si>
    <t xml:space="preserve">Глікогемоглобін Набір реагентів: Реагент1, 1х120мл + Реагент2, 1х30мл + Стандарт, 1х1мл + Сивороточні сепаратори, 80; Глікогемоглобін Набір контролей: Рівень1, 1х1мл + Рівень2, 1х1мл </t>
  </si>
  <si>
    <t>ДК 021 2015: 71900000-7- Лабораторні послуги.</t>
  </si>
  <si>
    <t xml:space="preserve">ДК 021- 2015  код 33110000-4
Візуалізаційне обладнання для потреб медицини, стоматології та ветеринарної медицини.
Цифрова ультразвукова діагностична система
(Апарат УЗД).
</t>
  </si>
  <si>
    <t xml:space="preserve">ДК 021- 2015  код 38430000-8
Детектори та аналізатори
(Аналізатор   глюкози
Автоматичний гематологічний аналізатор +стартовий набор
Аналізатор сечі + 4 пачки тест полосок)
</t>
  </si>
  <si>
    <t xml:space="preserve">ДК 021- 2015  код 38430000-8
Детектори та аналізатори
(Аналізатор   глюкози
Автоматичний гематологічний аналізатор +стартовий набор
Аналізатор сечі + 4 пачки тест полосок)
</t>
  </si>
  <si>
    <t>ДК 021-2015:  30192700-8  Канцелярські товари:Папір А4 80г/м2, 500л. - 45 упак.;  Файл А4+ 40мкм., 100шт., глянцевий "Marten" - 2 упак.; Книга канцелярська 96 л. клетка офсет  - 4 шт.; Книга канцелярская А4, 96л., клетка, офсет, твердая ламинация BM.2400 - 4 шт.; Папка на завязках картонная 35мкм - 20 шт.; Скоросшиватель картонный 35мкм - 58 шт.; Скобы №24/ 6, 1000шт. BM.4402  - 2 упак.; Скобы №10, 1000шт. BM.4401 - 4 упак.; Калькулятор 12р. 203х158х31мм. SDC-888XRD 888XRD   Citizen червоний - 1 шт.; Калькулятор 12р. 203х158х31мм. SDC-888XBL 888XRD   Citizen чорний - 1 шт.; Калькулятор 12р. 203х158х31мм. SDC-888XBK  888XRD   Citizen синій - 1 шт.; Калькулятор 12р. 203х158х31мм. SDC-888XWH888XRD   Citizen білий  - 1 шт.;  Швидкозшивач пластиковий А4  BM.3313-04  - 20 шт.; Клей -карандаш  - 2 шт.; Корректор -ручка - 2 шт.;  Корректор ленточний  - 1 шт.;Скотч 18мм*20мм - 2 шт.; Ластик бело-серый SunPearl 6541/ 40 - 2 шт.; Стержень гелевый 129мм., 0,5мм. DGR2021-01 черный - 10 шт.; Папка на підпис А4, муар бордовий  - 1 шт.; Папка на підпис А4, муар синій - 1 шт.; Папка на резинке А4, 500мкм. 1508-04-A - 1 шт.; Папка регистратор А4 7.5 см стандарт - 2 шт.; Штемпельная краска 28мл. синя 7011 Trodat - 1 шт.; маркер жовтий - 1 шт.</t>
  </si>
  <si>
    <t xml:space="preserve">ДК 021-2015: 09000000-3 Нафтопродукти, паливо, електроенергія та інші джерела енергії,  (Бензин А-92 в талонах номіналом 10 л., скретч-картках)  </t>
  </si>
  <si>
    <t xml:space="preserve">ДК 021-2015: 24322500-2 Спирти. (Септил 70% 100 мл. – 200 флаконів) ; </t>
  </si>
  <si>
    <t xml:space="preserve">ДК 021-2015: 24455000-8 Дезинфекційні засоби (Амісепт 1000 мл – 10фл., Санітаб – 10 шт.) </t>
  </si>
  <si>
    <t>ДК 021-2015: 24455000-8 Дезинфекційні засоби (Бланідас Актив, 1000 мл - 20 фл., Амісепт, 1000 мл - 3 фл.)</t>
  </si>
  <si>
    <t>ДК 021-2015: 24455000-8 Дезинфекційні засоби (Вернедор Плюс, 1000 мл або еквівалент -15 фл.;  Амісепт, 1000 мл – 15 фл.)</t>
  </si>
  <si>
    <t>ДК 021-2015: 24455000-8 Дезинфекційні засоби (НОР-експрес з дозатором, 1000 мл- 15 фл., НОР-експрес з розпилювачем, 1000 мл – 15 фл.)</t>
  </si>
  <si>
    <t>ДК 021-2015: 24455000-8 Дезинфекційні засоби (НОР-експрес з дозатором, 1000 мл- 20 фл., НОР-експрес з розпилювачем, 1000 мл – 20 фл.)</t>
  </si>
  <si>
    <t>ДК 021-2015: 33140000-3 Дезинфекційні засоби (Амісепт 1000 мл – 10фл., Санітаб – 10 шт.) та ДК 021-2015: 33700000-7 (Бланідас Софт 5 л – 10 кан., Крем «Лізодерм рН 5.5» - 6 шт.)</t>
  </si>
  <si>
    <t>ДК 021-2015: 33140000-3 Медичні матеріали (Рукавички  латексні оглядові нестерильні припудрені р. М – 3000 пар)</t>
  </si>
  <si>
    <t xml:space="preserve">ДК 021-2015: 33140000-3 Медичні матеріали :
Леза для скальпеля №21 одноразового використання  стерильне уп.100 шт.	- 2 уп.;
Матеріал шовний з атравматичною голкою 3/0	- 70 шт.;
Матеріал шовний з атравматичною голкою 4/0	- 70 шт.;
Пластир гіпоалергенний на нетканій основі 1.25*5 - 20 шт.;
Пластир гіпоалергенний на нетканій основі 2.5*9 - 30 шт.;
Катетер в/в Унофлон G22 - 15 шт.;
Катетер в/в Унофлон G20 - 15 шт.;
Шприц 1.0 мл	33140000-3	- 100 шт.;
Катетер Фолея №16	33140000-3	- 10 шт.;
Катетер Фолея №18	33140000-3	- 10 шт.;
Рукавички оглядові н/с припудрені р. S - 1000 пар;
Рукавички оглядові н/с припудрені р. M - 4000 пар;
Рукавички хір. р.7	33140000-3	- 250 пар;
Рукавички хір. р.8	33140000-3	- 250 пар;
Вата медична гігроскопічна гігієнічна нестерильна "зіг-заг" 100г - 100 шт.;
Відріз марлевий мед.  5м*90 см Тип 17 - 30 шт.;
Бинт марлевий медичний  5м*10 см Тип 17 - 300 шт.
</t>
  </si>
  <si>
    <t xml:space="preserve">ДК 021-2015: 33140000-3 Медичні матеріали :
Леза для скальпеля №21 одноразового використання  стерильне уп.100 шт.	- 2 уп.;
Матеріал шовний з атравматичною голкою 3/0	- 70 шт.;
Матеріал шовний з атравматичною голкою 4/0	- 70 шт.;
Пластир гіпоалергенний на нетканій основі 1.25*5 - 20 шт.;
Пластир гіпоалергенний на нетканій основі 2.5*9 - 30 шт.;
Катетер в/в Унофлон G22 - 15 шт.;
Катетер в/в Унофлон G20 - 15 шт.;
Шприц 1.0 мл	33140000-3	- 100 шт.;
Катетер Фолея №16	33140000-3	- 10 шт.;
Катетер Фолея №18	33140000-3	- 10 шт.;
Рукавички оглядові н/с припудрені р. S - 1000 пар;
Рукавички оглядові н/с припудрені р. M - 4000 пар;
Рукавички хір. р.7	33140000-3	- 250 пар;
Рукавички хір. р.8	33140000-3	- 250 пар;
Пробирка Vacumed без наповнювача, розмір:13*100 мм, об'єм: 6 мл., уп. 100 шт., колір  кришки - червоний - 14 уп.
</t>
  </si>
  <si>
    <t xml:space="preserve">ДК 021-2015: 33140000-3 Медичні матеріали :
Шприц ін'єкційний одноразового застосування  2,0 мл 3-х компонентний з голкою 0,6*32 мм 	1300 шт.	
Шприц ін'єкційний одноразового застосування  5,0 мл. 3-х компонентний з голкою 0,7*38 мм	1500 шт.	
Шприц ін'єкційний одноразового застосування  10,0 мл. 3-х компонентний з голкою 0,7*38 мм	1300 шт.	
Шприц ін'єкційний одноразового застосування 20,0 мл. 3-х компонентний з голкою 0,8*38 мм	1000 шт.	
Пристрій інфузійний ПР «ПЛАСТМЕД»	200 шт.	
Рукавички хірургічні стерильні припудрені р. 7	250 пар	
Рукавички хірургічні стерильні припудрені р.8	250 пар	
Рукавички  латексні оглядові нестерильні припудрені р. М	4000 пар	
Гіпсовий бинт 20*270	100 шт.	
Гіпсовий бинт 15*270	100 шт.	
Вата медична гігроскопічна гігієнічна нестерильна "зіг-заг" 100г 	100 шт.	
Бинт марлевий медичний нестерильний розміром 5,0м х 10,0 см тип 17	300 шт.	
Бинт марлевий медичний нестерильний розміром 7,0м х 14,0 см тип 17	300 шт.	
Пробирка без наповнювача, розмір:16*100 мм, об'єм: 10 мл., уп. 100 шт., колір  кришки - червоний	10 уп.	
</t>
  </si>
  <si>
    <t>ДК 021-2015: 33140000-3 Медичні матеріали : Набір медичний гінекологічний стерильний -  3600 шт.</t>
  </si>
  <si>
    <t>ДК 021-2015: 33140000-3 Медичні матеріали : Набір медичний гінекологічний стерильний №10 для цитології з ендоцервікальною щіточкою "Jiangsu Suyun" або еквівалент -  3600 шт.</t>
  </si>
  <si>
    <t>ДК 021-2015: 33140000-3 Медичні матеріали : Набір медичний гінекологічний стерильний №10 для цитології з ендоцервікальною щіточкою "Jiangsu Suyun": 500 шт.</t>
  </si>
  <si>
    <t>ДК 021-2015: 33140000-3 Медичні матеріали:  1. Бинт марлевий медичний нестерильний розміром 7,0м х 14,0 см тип 17 - 300 шт.;  2. Рукавички  латексні оглядові нестерильні припудрені р. S - 1000 пар;  3. Рукавички  латексні оглядові нестерильні припудрені р. М - 2000 пар;  4. Відріз марлевий мед.  5м*90 см Тип 17 - 50 шт.</t>
  </si>
  <si>
    <t>ДК 021-2015: 33140000-3 Медичні матеріали:1. Вата медична гігроскопічна гігієнічна нестерильна "зіг-заг" 100г - 300 шт.;  2. Бинт марлевий медичний нестерильний розміром 5,0м х 10,0 см тип 17 - 400 шт.;  3. Бинт марлевий медичний нестерильний розміром 7,0м х 14,0 см тип 17 - 400 шт.;  4. Рукавички  латексні оглядові нестерильні припудрені р. S - 1000 пар;  5. Рукавички  латексні оглядові нестерильні припудрені р. М - 4000 пар;  6. Рукавички хірургічні стерильні припудрені р. 7 - 250 пар;  7. Рукавички хірургічні стерильні припудрені р.8 - 250 пар;  8. Рукавички нітрилові нестерильні р.М - 500 пар;  9. Маска медична одноразова на резинці  з петлями - 2000 шт.;  10. Шприц ін'єкційний одноразового застосування  2,0 мл 3-х компонентний з голкою 0,6*32 мм - 500 шт.;  11. Шприц ін'єкційний одноразового застосування  5,0 мл. 3-х компонентний з голкою 0,7*38 мм - 1000 шт.;  12. Шприц ін'єкційний одноразового застосування 20,0 мл. 3-х компонентний з голкою 0,8*38 мм. - 200 шт.;  13. Пристрій інфузійний ПР «ПЛАСТМЕД» - 200 шт.;  14. Пластир медичний на нетканій основі 1.25 см*500 см -10 шт.;  15. Набір гінекологічний оглядовий стерильний №10 - 200 шт.;   16. Противоаэрозольный респиратор 3М Aura 9320 FFP2 - 20 шт.</t>
  </si>
  <si>
    <t>ДК 021-2015: 33140000-3 Фармацевтична продукція (Рукавички  латексні оглядові нестерильні припудрені р. М – 3000 пар, Септил 70%, 100 мл – 200 фл., Перекис водню 3%, 100 мл – 20 фл., Корглікон 0.6 мг/мл 1 мл №10 – 5 упак.).</t>
  </si>
  <si>
    <t xml:space="preserve">ДК 021-2015: 33190000-8  Медичне обладнання та вироби медичного призначення різні:
Пробирка Vacumed без наповнювача, розмір:13*100 мм, об'єм: 6 мл., уп. 100 шт., колір  кришки - червоний - 20 уп.
</t>
  </si>
  <si>
    <t xml:space="preserve">ДК 021-2015: 33198200-6 Паперові стерилізаційні пакети , індикатори для стерилізації </t>
  </si>
  <si>
    <t xml:space="preserve">ДК 021-2015: 33198200-6 Паперові стерилізаційні пакети , індикатори для стерилізації, азопірамова проба.  </t>
  </si>
  <si>
    <t>ДК 021-2015: 33600000-6 Фармацевтична продукція ( Септил 70%, 100 мл – 200 фл., Перекис водню 3%, 100 мл – 20 фл., Корглікон 0.6 мг/мл 1 мл №10 – 5 упак.).</t>
  </si>
  <si>
    <t xml:space="preserve">ДК 021-2015: 33600000-6 Фармацевтична продукція ( Септил 70%, 100 мл – 300 фл.,) </t>
  </si>
  <si>
    <t xml:space="preserve">ДК 021-2015: 33600000-6 Фармацевтична продукція (Септил 70% 100 мл. – 300 флаконів; Лідокаїн 2% 2 мл №10 - 50 уп.) ; </t>
  </si>
  <si>
    <t xml:space="preserve">ДК 021-2015: 33600000-6 Фармацевтична продукція (Септил 70% 100 мл. – 300 флаконів; Септил плюс 96%, 100 мл - 50 фл.) ; </t>
  </si>
  <si>
    <t xml:space="preserve">ДК 021-2015: 33651600-4 Вакцини  </t>
  </si>
  <si>
    <t>ДК 021-2015: 33651600-4 Вакцини:  Індіраб вакцина антирабічна очищена, інактивована (1 флакон з ліофілізованим порошком та 1 ампула з розчинником по 0,5 мл в пластиковому пеналі, по 10 пластикових пеналів у картонній коробці) - 13 коробки та Індіраб вакцина антирабічна очищена, інактивована (1 флакон з ліофілізованим порошком та 1 ампула з розчинником по 0,5 мл в пластиковому пеналі, по 10 пластикових пеналів у картонній коробці) - 6 коробок</t>
  </si>
  <si>
    <t>ДК 021-2015: 33651600-4 Вакцини:  Індіраб вакцина антирабічна очищена, інактивована (1 флакон з ліофілізованим порошком та 1 ампула з розчинником по 0,5 мл в пластиковому пеналі, по 10 пластикових пеналів у картонній коробці) - 3 коробки</t>
  </si>
  <si>
    <t>ДК 021-2015: 33651600-4 Вакцини:  Індіраб вакцина антирабічна очищена, інактивована (1 флакон з ліофілізованим порошком та 1 ампула з розчинником по 0,5 мл в пластиковому пеналі, по 10 пластикових пеналів у картонній коробці) - 5 коробок</t>
  </si>
  <si>
    <t>ДК 021-2015: 33651600-4 Вакцини:  Індіраб вакцина антирабічна очищена, інактивована (1 флакон з ліофілізованим порошком та 1 ампула з розчинником по 0,5 мл в пластиковому пеналі, по 10 пластикових пеналів у картонній коробці) - 6 коробок</t>
  </si>
  <si>
    <t>ДК 021-2015: 33651600-4 Вакцини:  ЕНДЖЕРІКС-В вакцина   для профілактики вірусного гепатиту В, рекомбінантна-стерильна суспензія для ін’єкцій  1 мл 20мкг №10  для дорослих - 6 коробок</t>
  </si>
  <si>
    <t>ДК 021-2015: 33700000-7 Засоби особистої гігієни  (Бланідас Софт 5 л – 10 кан., ) та з ДК 021-2015: 24455000-8 Дезинфекційні засоби (Санітаб – 10 бан.;  Еконорм дез РП з дозатором, 1000 мл - 20 фл., Еконорм дез РП з розпилювачем, 1000 мл – 20 фл.)</t>
  </si>
  <si>
    <t>ДК 021-2015: 33700000-7 Засоби особистої гігієни (Бланідас Софт 5 л – 10 кан., Крем «Лізодерм рН 5.5» 1 л - 6 шт.)</t>
  </si>
  <si>
    <t>ДК 021-2015: Медичні матеріали  – 33140000-3 :  Вата мед. н/стер. 100 г Зіг-заг  Марлевий відріз мед. н/ст 500 см*90 см  Бинт марлевий медичний нестерильний 7*14 тип 17 Бинт марлевий мед. н/ст. 5*10 тип 17 Рукавички  латексні оглядові нестерильні припудрені р.S Рукавички  латексні оглядові нестерильні припудрені р.М Рукавички хірургічні стерильні припудрені р.7  Рукавички хірургічні стерильні припудрені р.8</t>
  </si>
  <si>
    <t xml:space="preserve">ДК 021-2015: Медичні матеріали  – 33140000-3 :  Вата медична гігроскопічна гігієнічна нестерильна "зіг-заг" 100г - 100 шт.; Бинт марлевий медичний нестерильний розміром 5,0м х 10,0 см тип 17 - 300 шт.;Бинт марлевий медичний нестерильний розміром 7,0м х 14,0 см тип 17 - 200 шт.;Рукавички  латексні оглядові нестерильні припудрені р.S - 2500 пар;Рукавички  латексні оглядові нестерильні припудрені р.М - 2500 пар;Рукавички хірургічні стерильні припудрені р.7 - 100 пар; Рукавички хірургічні стерильні припудрені р.8 - 100 пар;Шприц ін'єкційний одноразового застосування  5,0 мл. 3-х компонентний з голкою 0,7*38 мм - 1500 шт.;Шприц ін'єкційний одноразового застосування  10,0 мл. 3-х компонентний з голкою 0,8*38 мм - 500 шт.;Шприц ін'єкційний одноразового застосування 20,0 мл. 3-х компонентний з голкою 0,8*38 мм - 300 шт.;Пристрій інфузійний ПР «ПЛАСТМЕД» або еквівалент-100 шт. </t>
  </si>
  <si>
    <t>ДК 021-2015: Медичні матеріали  – 33140000-3 :  Вата медична гігроскопічна гігієнічна нестерильна "зіг-заг" 100г - 200 шт., Бинт марлевий медичний нестерильний розміром 7,0м х 14,0 см тип 17 - 400 шт., Бинт марлевий медичний нестерильний розміром 5,0м х 10,0 см тип 17 - 300 шт., Рукавички латексні оглядові нестерильні припудрені р.S-500 пар, р. М - 1500 пар.)</t>
  </si>
  <si>
    <t>ДК 021-2015: Медичні матеріали  – 33140000-3 :  Вата медична гігроскопічна гігієнічна нестерильна "зіг-заг" 100г;  Бинт марлевий медичний нестерильний розміром 7,0м х 14,0 см тип 17; Бинт марлевий медичний нестерильний розміром 5,0м х 10,0 см тип 17; Відріз марлевий медичний нестерильний, 5м*90 см, тип 17</t>
  </si>
  <si>
    <t>ДК 021-2015: Медичні матеріали  – 33140000-3 :  Вата медична гігроскопічна гігієнічна нестерильна "зіг-заг" 100г;  Бинт марлевий медичний нестерильний розміром 7,0м х 14,0 см тип 17; Шприц ін’єкційний одноразового використання луєр сліп   2,0 мл.,  5,0 мл., 10,0 мл.,  20,0 мл. Пристрій інфузійний ПР «ПЛАСТМЕД»;Катетер Унофлон №20, №22 внутрішньовенний.;</t>
  </si>
  <si>
    <t>ДК 021-2015: Медичні матеріали  – 33140000-3 :  Набір гінекологічний JS №10 - 300 шт.; Пристрій інфузійний ПР -200 шт.; Шприц 2.0 - 500 шт.; Шприц 5.0 - 2000 шт.; Шприц 10.0 - 500 шт.; Шприц 20.0 - 200 шт.;Рукавички латексні оглядові нестерильні припудрені р. S - 2000 пар;Рукавички латексні оглядові нестерильні припудрені р. М - 3000 пар; Рукавички хірургічні стерильні припудрені р.7-250 пар; Рукавички хірургічні стерильні припудрені р.8 - 250 пар.</t>
  </si>
  <si>
    <t>ДК 021-2015:32354110-3 Рентгенівська плівка - 12 шт., 24931230-0 Проявник для рентгенівської плівки - 8 шт.; 24931240-3 Фіксаж для рентгенівської плівки - 4 шт.</t>
  </si>
  <si>
    <t>ДК 021-2015:32354110-3 Рентгенівська плівка, 24931230-0 Проявник для рентгенівської плівки</t>
  </si>
  <si>
    <t>ДК 021-2015:32354110-3 Рентгенівська плівка, 24931230-0 Проявник для рентгенівської плівки,  24931240-3 Фіксаж для рентгенівської плівки</t>
  </si>
  <si>
    <t xml:space="preserve">ДК 021-2015:32354110-3 Рентгенівська плівка, 24931230-0 Проявник для рентгенівської плівки, 24931240-3 Фіксаж для рентгенівської плівки </t>
  </si>
  <si>
    <t>ДК 021-2015:32354110-3 Рентгенівська плівка: Плівка радіографічна медична Зелена 18x24 cм по 100 арк. - 6 шт.;  24931240-3 Фіксаж для рентгенівської плівки :Фіксаж для ручної обробки рентгенівської плівки, 3 л (для 15л розчину) - 8 шт.</t>
  </si>
  <si>
    <t>ДК 021-2015:32354110-3 Рентгенівська плівка: Плівка радіографічна медична Зелена 30x40 cм по 100 арк. - 10 шт.; Плівка радіографічна медична Зелена 24x30 cм по 100 арк. - 10 шт.;  Плівка радіографічна медична Зелена 18x24 cм по 100 арк. - 10 шт.;  Плівка радіографічна медична Зелена 13x18 cм по 100 арк. - 10 шт.; 24931230-3 Проявник для рентгенівської плівки: Проявник "ХімРей"для ручної обробки рентгенівської плівки, 3 л (для 15л розчину) або «еквівалент» - 10 шт.; 24931240-3 Фіксаж для рентгенівської плівки :Фіксаж для ручної обробки рентгенівської плівки, 3 л (для 15л розчину) - 10 шт.</t>
  </si>
  <si>
    <t>ДК 021-2015:32354110-3 Рентгенівська плівка: Плівка радіографічна медична Зелена 30х40 см по 100 арк. - 16 шт.; Плівка радіографічна медична Зелена 24x30 cм по 100 арк.	- 16 шт.; Плівка радіографічна медична Зелена 18x24 cм по 100 арк. - 16 шт.; Плівка радіографічна медична Зелена 13x18 cм по 100 арк.	- 16 шт.; 24931230-0 Проявник для рентгенівської плівки:Проявник для ручної обробки рентгенівської плівки, 3 л (для 15л розчину) - 20 шт., 24931240-3 Фіксаж для рентгенівської плівки :Фіксаж для ручної обробки рентгенівської плівки, 3 л (для 15л розчину) - 10 шт.</t>
  </si>
  <si>
    <t>ДК 021:2015  - 33198000-4 Лікарняні паперові вироби :  Папір діаграмний для ЕКГ 80*30 - 200 рул.</t>
  </si>
  <si>
    <t>ДК 021:2015  - 33198000-4 Лікарняні паперові вироби : 1)Папір діаграмний для ЕКГ 57*18  - 50 шт.; 2) Папір діаграмний для ЕКГ 58*30  - 150 шт.; 3) Папір діаграмний для ЕКГ 80*30 - 200 шт.</t>
  </si>
  <si>
    <t>ДК 021:2015  33696500-0 Лабораторні реактиви (Смужки діагностичні типу UrineRS, модель Н-10)</t>
  </si>
  <si>
    <t>ДК 021:2015 - 24455000-8 Дезінфекційні засоби: Аеродезин 2000, 1000 мл з розпилювачем - 20 фл.; Мікрасепт 1000 мл - 20 фл.</t>
  </si>
  <si>
    <t>ДК 021:2015 - 33600000-6 :Натрия хлорид флак. 200 мл  Натрия хлорид амп. 0.9% 5 мл №10 Аспаркам 5 мл амп. №10 Корглікон амп.0.06% 1 мл №10 Верапаміл 2,5 мг 2 мл №10 Магния сульфат-Д амп. 25 % 5 мл №10 Перекис водню 3 % 100 мл Новокаїномід 5 мл №10 Каптопрес-Д табл. 12.5 №20 Септил, 70%, 100 мл</t>
  </si>
  <si>
    <t>ДК 021:2015 - 35110000-8 Протипожежне, рятувальне та захисне обладнання (Вогнегасник ВП-5)</t>
  </si>
  <si>
    <t>ДК 021:2015 - 35110000-8 Протипожежне, рятувальне та захисне обладнання (Респіратори типу РУ 60М з комплектом фільтрів)</t>
  </si>
  <si>
    <t>ДК 021:2015 - 50420000-5 Послуги з ремонту і технічного обслуговування медичного та хірургічного обладнання (Демонтаж рентгенівського апарату РУМ 20)</t>
  </si>
  <si>
    <t>ДК 021:2015 - 50420000-5 Послуги з ремонту і технічного обслуговування медичного та хірургічного обладнання (Послуги з ремонту і технічного обслуговування рентгенологічного обладнання)</t>
  </si>
  <si>
    <t xml:space="preserve">ДК 021:2015 - 50420000-5 Послуги з ремонту і технічного обслуговування медичного та хірургічного обладнання (Послуги з ремонту і технічного обслуговування стерилізаційного обладнання)
</t>
  </si>
  <si>
    <t>ДК 021:2015 - «33190000-8 - Медичне обладнання та вироби медичного призначення різні»
PED-EDK02L Пробірка для капілярної крові D-VAC з ЕДТА (К3) без капіляра 0,2 мл ПП (НК 024:2019 «Класифікатор медичних виробів»: 47588 Пробірка вакуумна для відбору зразків крові IVD, з K3ЕДТА Evacuated blood collection tube IVD, K3EDTA); пробірка вакуумна, 6 мл, без наповнювача червона 13х100мм ПЕТ (НК 024:2019 «Класифікатор медичних виробів»: 57895 Пробірка вакуумна для взяття зразків крові ІВД, без добавок / без домішок Evacuated blood collection tube IVD, no additive/metal-free). 
Пакет для стерилізації самоклеючий 90 ммх260мм (200шт) (НК 024:2019 «Класифікатор медичних виробів»: 13735 Разове опаковання для стерилізації Sterilization packaging, single-use), пакет для стерилізації самоклеючий 135мм x 280мм (200шт) (НК 024:2019 «Класифікатор медичних виробів»: 13735 Разове опаковання для стерилізації Sterilization packaging, single-use), пакет для стерилізації самоклеючий 305мм x 432мм(200шт) (НК 024:2019 «Класифікатор медичних виробів»: 13735 Разове опаковання для стерилізації Sterilization packaging, single-use), індикатор Стерилан 132/20 ВН (1000шт) (НК 024:2019 «Класифікатор медичних виробів»: 13732 Біологічний індикатор контролювання стерилізаціїBiological sterilization indicator), індикатор Стерилан 132/20 Н (1000шт) (НК 024:2019 «Класифікатор медичних виробів»: 13732 Біологічний індикатор контролювання стерилізаціїBiological sterilization indicator).
:Лот №1 Пробірки для капілярного та венозного забору  крові</t>
  </si>
  <si>
    <t>ДК 021:2015 - «33190000-8 - Медичне обладнання та вироби медичного призначення різні»
PED-EDK02L Пробірка для капілярної крові D-VAC з ЕДТА (К3) без капіляра 0,2 мл ПП (НК 024:2019 «Класифікатор медичних виробів»: 47588 Пробірка вакуумна для відбору зразків крові IVD, з K3ЕДТА Evacuated blood collection tube IVD, K3EDTA); пробірка вакуумна, 6 мл, без наповнювача червона 13х100мм ПЕТ (НК 024:2019 «Класифікатор медичних виробів»: 57895 Пробірка вакуумна для взяття зразків крові ІВД, без добавок / без домішок Evacuated blood collection tube IVD, no additive/metal-free). 
Пакет для стерилізації самоклеючий 90 ммх260мм (200шт) (НК 024:2019 «Класифікатор медичних виробів»: 13735 Разове опаковання для стерилізації Sterilization packaging, single-use), пакет для стерилізації самоклеючий 135мм x 280мм (200шт) (НК 024:2019 «Класифікатор медичних виробів»: 13735 Разове опаковання для стерилізації Sterilization packaging, single-use), пакет для стерилізації самоклеючий 305мм x 432мм(200шт) (НК 024:2019 «Класифікатор медичних виробів»: 13735 Разове опаковання для стерилізації Sterilization packaging, single-use), індикатор Стерилан 132/20 ВН (1000шт) (НК 024:2019 «Класифікатор медичних виробів»: 13732 Біологічний індикатор контролювання стерилізаціїBiological sterilization indicator), індикатор Стерилан 132/20 Н (1000шт) (НК 024:2019 «Класифікатор медичних виробів»: 13732 Біологічний індикатор контролювання стерилізаціїBiological sterilization indicator).
:Лот №2 Пакети та індикатори для стерілізації</t>
  </si>
  <si>
    <t>ДК 021:2015 - «33190000-8 - Медичне обладнання та вироби медичного призначення різні»
Спалювач голок та деструктор шприців Nulife DOTS (НК 024:2019 «Класифікатор медичних виробів»: 35386 Знищувач колючо-ріжучих медичних відходів  Sharps crusher); 
 (НК 024:2019 «Класифікатор медичних виробів»: 36674 Пристрій для запаювання пакетів Package sealing unit) Пакувальна машина для стерилізації Seal-320; 
(НК 024:2019 «Класифікатор медичних виробів»: 32817 Лампа щілинна офтальмологічна , хірургічна Ophthalmic slit lamp, surgical) Щілинна лампа ЩЛ-2Б.
:Лот № 2 Пакувальна машина для стерилізації</t>
  </si>
  <si>
    <t xml:space="preserve">ДК 021:2015 - «33190000-8 - Медичне обладнання та вироби медичного призначення різні»
Спалювач голок та деструктор шприців Nulife DOTS (НК 024:2019 «Класифікатор медичних виробів»: 35386 Знищувач колючо-ріжучих медичних відходів  Sharps crusher); 
 (НК 024:2019 «Класифікатор медичних виробів»: 36674 Пристрій для запаювання пакетів Package sealing unit) Пакувальна машина для стерилізації Seal-320; 
(НК 024:2019 «Класифікатор медичних виробів»: 32817 Лампа щілинна офтальмологічна , хірургічна Ophthalmic slit lamp, surgical) Щілинна лампа ЩЛ-2Б.
:Лот № 3 Щілинна лампа </t>
  </si>
  <si>
    <t>ДК 021:2015 - «33190000-8 - Медичне обладнання та вироби медичного призначення різні»
Спалювач голок та деструктор шприців Nulife DOTS (НК 024:2019 «Класифікатор медичних виробів»: 35386 Знищувач колючо-ріжучих медичних відходів  Sharps crusher); 
 (НК 024:2019 «Класифікатор медичних виробів»: 36674 Пристрій для запаювання пакетів Package sealing unit) Пакувальна машина для стерилізації Seal-320; 
(НК 024:2019 «Класифікатор медичних виробів»: 32817 Лампа щілинна офтальмологічна , хірургічна Ophthalmic slit lamp, surgical) Щілинна лампа ЩЛ-2Б.
:Лот №1 Спалювач голок</t>
  </si>
  <si>
    <t>ДК 021:2015 09220000-7 «Вазелін і парафіни нафтові та спеціальні бензини» (Парафін медичний, озокерит медичний)</t>
  </si>
  <si>
    <t>ДК 021:2015 24455000-8 Дезінфікуючі зсоби</t>
  </si>
  <si>
    <t>ДК 021:2015 24960000-1 Хімічна продукція різна (Чистячі, миючі засоби та господарські товари) : Моющее средство для стекол 5л., Naki канистра  - 4 кан.; Губка кухонна 10 шт -50 упак.; Средство для чистки унитазов, кафеля, фаянса 5л., Санитарный У - 4 шт.; Мыло хозяйственное белое 125г.,- 40 шт.;  Maestro Пакети для сміття 35 л - 60 шт.; Чистящий порошок 500г., лимон САМА - 40 шт.; Моющее средство для посуды 5л., ECO-LUX - 4 шт.; Перчатки резиновые универсальные без упаковки, (M) - 60 пар.; Полироль для мебели аэрозоль 250мл., Pronto Классик Блеск - 1 шт.;  Моющее средство-шампунь для ковров 500мл., VANISH 7506816 - 1шт.</t>
  </si>
  <si>
    <t>ДК 021:2015 30230000-0 Персональні комп’ютери -37 шт.	Багатофункціональний пристрій - 3 шт.</t>
  </si>
  <si>
    <t>ДК 021:2015 30230000-0 Персональні комп’ютери -44 шт.	Багатофункціональний пристрій - 47 шт.</t>
  </si>
  <si>
    <t>ДК 021:2015 30230000-0 Персональні комп’ютери -7 шт.	Багатофункціональний пристрій - 44 шт.</t>
  </si>
  <si>
    <t xml:space="preserve">ДК 021:2015 33140000-3 Медичні матеріали : 1)Бинт гіпсовий 20 см*2.7 м  - 200 шт. 2) Бинт гіпсовий 15 см*2.7 м  - 200 шт. </t>
  </si>
  <si>
    <t>ДК 021:2015 33140000-3 Медичні матеріали: 1)Вата медична гігроскопічна гігієнічна нестерильна "зіг-заг" 100г  - 100 шт.  2) Набір медичний гінекологічний стерильний №12 для цитології з ендоцервікальною щіточкою «Jiangsu Suyun»  - 200 шт</t>
  </si>
  <si>
    <t>ДК 021:2015 33140000-3 Медичні матеріали: Рукавички  латексні оглядові нестерильні припудрені р. S -2500 пар;Рукавички  латексні оглядові нестерильні припудрені р. М - 2500 пар; Рукавички хірургічні стерильні припудрені р. 7 - 250 пар;Рукавички хірургічні стерильні припудрені р.8 - 250 пар; Вата медична гігроскопічна гігієнічна нестерильна "зіг-заг" 100г - 100 шт.; Марлевий відріз медичний нестерильний 500 см*90 см - 40 шт.; Бинт марлевий медичний нестерильний розміром 5,0м х 10,0 см тип - 300 шт.;17 Бинт марлевий медичний нестерильний розміром 7,0м х 14,0 см тип 17 - 400 шт.;Шприц ін'єкційний одноразового застосування  2,0 мл. 3-х компонентний з голкою 0,7*38 мм - 500 шт.; Шприц ін'єкційний одноразового застосування  5,0 мл. 3-х компонентний з голкою 0,7*38 мм - 1000 шт.;Шприц ін'єкційний одноразового застосування  10,0 мл. 3-х компонентний з голкою 0,8*38 мм - 500 шт.</t>
  </si>
  <si>
    <t>ДК 021:2015 33140000-3 Медичні матеріали: Рукавички  латексні оглядові нестерильні припудрені р. М -1500 пар; Вата медична гігроскопічна гігієнічна нестерильна "зіг-заг" 100г - 100 шт.</t>
  </si>
  <si>
    <t xml:space="preserve">ДК 021:2015 33192500-7 Пробірки </t>
  </si>
  <si>
    <t>ДК 021:2015 33192500-7 Пробірки: 1) Пробирка Vacumed без наповнювача, розмір:13*100 мм, об'єм: 6 мл., уп. 100 шт., колір  кришки - червоний  - 2 уп.; 2) Пробирка Vacumed з ЕДТА-КЗ розмір:13*75 мм, об'єм: 4 мл., уп. 100 шт., колір кришки-бузковий  - 2 уп.; 3) Пробирки для отделения плазмы BD Vacutainer® PPT™ 16*100 мм, 8 мл.,уп. 100 шт., реагент: K2ЭДТА/Гель, матеріал: пластик, тип кришки:Прозрачная BD Hemogard™ , колір кришки:білий - 4 уп.</t>
  </si>
  <si>
    <t>ДК 021:2015 33600000-6 Фармацевтична продукція (Карбамазепін, кислота вальпроєва, ламотригін, топірамат, леветирацетам, піридостигмін)</t>
  </si>
  <si>
    <t>ДК 021:2015 33600000-6 Фармацевтична продукція (Піридостигмін та кислота вальпроєва):Кислота вальпроєва (N03AG01, Valproic acid)</t>
  </si>
  <si>
    <t>ДК 021:2015 33600000-6 Фармацевтична продукція (Піридостигмін та кислота вальпроєва):Пирідостигмін (N07A A02, Pyridostigmine bromide)</t>
  </si>
  <si>
    <t>ДК 021:2015 33600000-6 Фармацевтична продукція (лікарські засоби)</t>
  </si>
  <si>
    <t>ДК 021:2015 33690000-3 Лікарські засоби різні (лабораторні реактиви)</t>
  </si>
  <si>
    <t>ДК 021:2015 33694000-1 Діагностичні засоби ( Гель для УЗД, 5000 мл - 15 кан.,Папір для відеопринтера 110*20 110 S - 10 рул.)</t>
  </si>
  <si>
    <t>ДК 021:2015 33694000-1 Діагностичні засоби ( Папір для відеопринтера 110*20 110 S - 10 рул.)</t>
  </si>
  <si>
    <t>ДК 021:2015 33696500-0  Лабораторні реактиви: АЧТВ-тест 100-200 визначень – 2 набора; РенаУпластин.Тромбопластин 8 мл (REF ПГ-5) – 2 набора.</t>
  </si>
  <si>
    <t>ДК 021:2015 33696500-0  Лабораторні реактиви: Аланінамінотрансфераза (АЛТ) Набір реагентів: Реагент1, 1*100 мл+Реагент2, 1*20 мл; Аспартатамінотрансфераза (АСТ) Набір реагентів: Реагент1, 1*120 мл+Реагент2, 1*30 мл; Гамма-глютамілтрансфераза (ГГТ) Набір реагентів: Реагент1, 1*100 мл+Реагент2, 1*20 мл; Загальний білок Набір реагентів: Реагент1, 1*125мл+Стандарт, 1*5 мл; Креатинін Набір реагентів: Реагент1, 1*125 мл+Стандарт, 1*5 мл; Лужна фосфотаза Набір реагентів: Реагент1, 1*100 мл+Реагент2, 1*20 мл; Сечова кислота Набір реагентів: Реагент 1, 1*125 мл+Стандарт, 1*5 мл; Сечовина Набір реагентів: Реагент1, 1*125 мл+Реагент2, 1*25 мл+Стандарт, 1*5 мл; Смужки діагностичні типу UrineRS, модель Н-10</t>
  </si>
  <si>
    <t>ДК 021:2015 33696500-0  Лабораторні реактиви: БХ  007-04 АЛЬФА-АМІЛАЗА-  Набір реактивів для визн. активності альфа-амілази (діастази) амілокластичним методом Каравея,1110 мл(100/200 визн)ТУ У 24.4-13433137-050:2006;  Балон-каплерахівник (Спринцівка -0);  Бромтимоловий  синій, чда;  Діагностичний моноклональний реагент-Анти-D для визн.групи крові людини за системою Rhesus (10мл);   Респіратор FFP3;  Кінцевик універс., тип "Гілсон" 0,5-200 мкл. жовтий(1000 шт);  Мікропіпетка до ШОЕ-метру ТУ У 33.1-14307481-037:2007;  Мембрана МГ-1 к "Ексану";  Пробірка П2-10-90 "Волес";  Пробірка скляна центрифужна конічна, негр. 10мл  EximLab;  Пробірка центриф.град  П-1-10-0,2  ГОСТ-1770-74,(10005302); МБ 13.2-07 РЕТИКУЛОЦИТИ-50  Забарвлювач діамантовий крезоловий синій для ретикулоцитів:50 мл/1250 проб:ТУ У 21.2-13433137-057:2013;  Скаріфікатор-спис "Спецтехоснастка";  Скло покровне  24х24(№100) "MICROmed;  Смужки індикаторні ГЛЮКОТЕСТ №100 "Норма";  Трубка для "Ексан" 3*1 (м); МБ 02.3-07 ФАРБИ за ГРАМОМ з фуксином Циля -1000:Набір реагентів для забарвлення мікроорганізмів за методом Грама : ТУ У 21.2-13433137-057:2013; Штатив для накінечників до 200 мкл 96 лун. НХ-А28 К; Штатив для пробірок п/ет 10 гн; Штатив для пробірок п/ет 20 гн; Штатив для пробірок п/ет 40 гн</t>
  </si>
  <si>
    <t>ДК 021:2015 33696500-0  Лабораторні реактиви: Кювети реакційні - 1 набір;</t>
  </si>
  <si>
    <t>ДК 021:2015 33696500-0  Лабораторні реактиви: МБ 12.3-07    Забарвлювач азур-еозин за Романовським: Азур-еозин за Романовським: 1 х 1000 мл; Конц. буферний розчин: 1 х 100 мл - 2 наб.; БП 004-03  ГЕМОГЛОБІН-2000 мл - 5 наб.;  Діагностичний моноклональний реагент-Анти-D для визн.групи крові людини за системою Rhesus (10мл) - 8 фл.;   Діагностичний моноклональний реагент-Анти-А  для визн.групи крові людини за системою АВО(10мл) - 8 фл.;  Діагностичний моноклональний реагент-Анти-В  для визн.групи крові людини за системою АВО(10мл) - 8 фл.; БХ 038.3-04  КАЛІБРАТОР ГЛЮКОЗИ 10 ммоль/л -наб.реактивів д/побудови калібрувального графіка д/визнач.глюкози глюкозооксидазним методом(1 амп х 5 мл) - 20 шт.;  Камера Горяєва, д/взяття проб крові. скло,4-х сіткова  EximLab - 2 шт.;   Мембрана МГ-1 к "Ексану" - 2 шт.;  Скло предметне "MICROmed" 25х76 з 1-й лункою і шліф.гран.7103(№ 50) - 5 уп.;  Смужки індикаторні Ацетонтест № 50 "Норма" - 5 уп.;   Тромбопластин (1гр) МБ 10.4-07 - 2 фл.; ФІКСАТОР-ЕОЗИН за МАЙ-ГРЮНВАЛЬДОМ-1000  Фіксатор- еозин метиленовий синій за Май-Грюнвальдом:1*1000мл/2000 проб - 2 фл.; "Буфер на Ексан"- набір для використання буферного розчину на Ексан для кількісноно визначення глюкози у біологічних рідинах (REF HP009.04)  - 10 фл.; Антиген кардіоліпіновий для РМП (10*2 мл) - 5 уп.</t>
  </si>
  <si>
    <t>ДК 021:2015 33696500-0  Лабораторні реактиви: Мембрана глюкооксидазна до аналізатору Ексан-ГМ;  Глюкоза; Натрій хлористий; Масло імерсійне 100 мл; Спринцівка №0 із гуми тип А; Спринцівка №1 із гуми тип А (Ае-3); "Гемоглобін" - набір для визначення концентрації гемоглобіну у крові (REF HP 008.01) ( 400/800 визнач.); Фарбник по Романовському 1л.; Фарбник - фіксатор по Май-Грюнвальду, 1 л.; "Калібратори глюкози"- набір для використання калібрувальних розчинів глюкози для контролю кількісного визначення глюкози у біологічних рідинах (REF HK 009.03); Діагностичний моноклональний реагент анти-А для визначення групи крові людини за системою АВО (100 доз./10 мл.); Діагностичний моноклональний реагент анти-В для визначення групи крові людини за системою АВО (100 доз./10 мл.); Діагностичний моноклональний реагент анти-D для визначення групи крові людини за системою АВО (100 доз./10 мл.); Скаріфікатор-спис</t>
  </si>
  <si>
    <t>ДК 021:2015 33696500-0  Лабораторні реактиви: Мембрана глюкооксидазна до аналізатору Ексан-ГМ; Глюкотест №100;  Глюкоза; "Гемоглобін" - набір для визначення концентрації гемоглобіну у крові (REF HP 008.01) ( 400/800 визнач.); "Буфер на Ексан"- набір для використання буферного розчину на Ексан для кількісноно визначення глюкози у біологічних рідинах (REF HP009.04)</t>
  </si>
  <si>
    <t>ДК 021:2015 33696500-0  Лабораторні реактиви: РенаУпластин. Тромбопластин (з головного мозку кролика) для визначення протромбінового часу. 8 мл № 10. (ПГ-5/1); 400-800 визначень - 1 набір ; Фібриноген-тест-У (ПГ-10/1); 160-320 визначень - 1 набір; Тромбін-реагент-У (ПГ-9А); 200-600 визначень - 1 набір</t>
  </si>
  <si>
    <t>ДК 021:2015 33696500-0  Лабораторні реактиви: Смужки діагностичні типу UrineRS, модель Н-10 - 10 уп.;Кювети реакційні - 1 набір;Кулі для фіксації часу утворення згустку - 1 набір.</t>
  </si>
  <si>
    <t>ДК 021:2015 33696500-0  Лабораторні реактиви: Тромбопластин- 2 фл.; Глюкотест №100-5 уп.; Ацетонтест №50-5 уп.; Натрій хлористий-0,2 кг; Азотна кислота-1 л; "Буфер на Ексан"- набір для використання буферного розчину на Ексан для кількісноно визначення глюкози у біологічних рідинах (REF HP009.04)-20 фл; Мембрана глюкооксидазна MG-1 до аналізатору глюкози Ексан-ГМ- 2 шт.; РНП плазма - 1 уп.; Діагностичний моноклональний регент анти-А  (100 доз/10 мл.)-5 фл.; Діагностичний моноклональний регент анти-В  (100 доз/10 мл.)- 5 фл.; Діагностичний моноклональний реагент анти-D (100 доз/10 мл.) - 5 фл.; Калібратори гемоглобіну - 1 набір; Калібратори глюкози 10 ммоль- 10 апм.</t>
  </si>
  <si>
    <t>ДК 021:2015 33696500-0  Лабораторні реактиви: Фібриноген-тест-У (ПГ-10/1) 160-320 визначень – 1 набір; РенаУпластин. Тромбопластин (з головного мозку кролика) для визначенняпротромбінового часу. 8 мл № 10.(ПГ-5/1);400-800 визначень – 1 набір.</t>
  </si>
  <si>
    <t>ДК 021:2015 33696500-0  Лабораторні реактиви:"Буфер на Ексан"- набір для використання буферного розчину на Ексан для кількісноно визначення глюкози у біологічних рідинах (REF HP009.04)- 30 шт.; "Гемоглобін" - набір для визначення концентрації гемоглобіну у крові (REF HP008.01)(400/800 визнач.) – 5 упак., Глюкотест №100 – 10 уп., Фарба по Романовському 1л. – 1 фл., Фарба-фіксатор по Май-Грюнвальду, 1л – 1 фл., Калібратори глюкози 10 ммоль – 5 шт., Діагностичний моноклональний реагент анти-D для визначення групи крові людини за системою Rhesus (100 доз./10 мл) – 2 фл., Трихлороцтова кислота 25% - 100 мл., Хлорне залізо 6-водн – 0,2 кг., Хлористий барій 2-водн – 0,3 кг., Азопірамова проба 6000 проб – 1 упак., Трубка з'єднувальна до Ексан-Г, м – 0,5 м.</t>
  </si>
  <si>
    <t>ДК 021:2015 33696500-0  Лабораторні реактиви:"Гемоглобін"-набір для визначення концентрації гемоглобіну у крові (REF HP 008.01)(400/800 визнач.) Мембрана глюкооксидазна до Ексану Ацетон-тест №50 Глюкотест №100 "Буфер на Ексан"- набір для використання буферного розчину на Ексан для кількісного визначення глюкози у біологічних рідинах (REF HP 009.04)(58/76/100 визнач.) МБ 05.3-07 Фарби ціль-Нільсена 200 Азур-єозін по Романовському (р-н) 0.9 кг Еозин метиленовий синій по Май-Грюнвальду (р-н) 0.75  кг Калібратори глюкози 10 ммоль Діагностичний моноклональний реагент анти-D для визначення групи крові людини за системою Rhesus (100 доз./10 мл)</t>
  </si>
  <si>
    <t xml:space="preserve">ДК 021:2015 33696500-0  Лабораторні реактиви:1)Смужки діагностичні типу UrineRS, модель Н-10 для апарату CL -50 (виробництво США, система закрита, будь – які інші не підходять)  -10 уп.
2) Аланінамінотрансфераза (АЛТ) Набір реагентів: Реагент1, 1*100 мл+Реагент2, 1*20 мл  Виробник Інтермедіка Україна – 1 набір;
3) Аспартатамінотрансфераза (АСТ) Набір реагентів: Реагент1, 1*120 мл+Реагент2, 1*30 мл   Виробник Інтермедіка Україна – 1 набір;
4) Набір білірубін  Виробник Інтермедіка Україна – 1 набір;
5) Лужна фосфотаза Набір реагентів: Реагент1, 1*100 мл+Реагент2, 1*20 мл   Виробник Інтермедіка Україна – 1 набір;
6) Гамма-глютамілтрансфераза (ГГТ) Набір реагентів: Реагент1, 1*100 мл+Реагент2, 1*20 мл   Виробник Інтермедіка Україна – 1 набір;
7) Сечовина Набір реагентів: Реагент1, 1*125 мл+Реагент2, 1*25 мл+Стандарт, 1*5 мл   Виробник Інтермедіка Україна – 1 набір;
8) Креатинін Набір реагентів: Реагент1, 1*125 мл+Стандарт, 1*5 мл    Виробник Інтермедіка Україна – 1 набір;
9) Сечова кислота Набір реагентів: Реагент 1, 1*125 мл+Стандарт, 1*5 мл    Виробник Інтермедіка Україна – 1 набір;
10) "Загальний білок"- набір для визначення концентрації загального білку у сироватці крові людини (REF HP010.01) Виробник Інтермедіка Україна – 1 набір;
</t>
  </si>
  <si>
    <t>ДК 021:2015 33696500-0  Лабораторні реактиви:«Калібратори глюкози»; «Калібратори гемоглобіну» ; Антиген РМП; Фарбник по Романовському 1л.; Фарбник-фіксатор по Май-Грюнвальду, 1 л; «Буфер на ЕКСАН»; Тромбопластин (Львов); Ацетонтест  №50; Глюкотест №100; Скаріфікатор-спис;  Діагностичний моноклональний реагент анти – А  (100доз./10мл); Діагностичний моноклональний реагент анти – В  (100доз./10мл);  Діагностичний моноклональний реагент анти – D (100доз./10мл); Мембрана глюкозооксидазна MG-1 ; Бромтимоловий синій; Калій йодистий; Йод кристалічний</t>
  </si>
  <si>
    <t>ДК 021:2015 33696500-0  Лабораторні реактиви:Антиген кардіоліпіновий для РМП 10 амп*2 мл "Буфер на Ексан"- набір для використання буферного розчину на Ексан для кількісного визначення глюкози у біологічних рідинах (REF HP 009.04)(58/76/100 визнач.) "Гемоглобін"-набір для визначення концентрації гемоглобіну у крові (REF HP 008.01)(400/800 визнач.) Глюкотест №100 "Калібратори глюкози" -набір для використання калібрувальних розчинів глюкози для кнтролю кількісного визначення глюкози у біологічних рідинах (REF HK 009.03) Скаріфікатор-спис Діагностичний моноклональний реагент анти-А для визначення групи крові людини за системою АВО (100 доз./10 мл) Діагностичний моноклональний реагент анти-В для визначення групи крові людини за системою АВО (100 доз./10 мл) Діагностичний моноклональний реагент анти-D для визначення групи крові людини за системою Rhesus (100 доз./10 мл) Холестерин -Ф НР026.02 (40/80/200 визнач.)</t>
  </si>
  <si>
    <t>ДК 021:2015 33696500-0  Лабораторні реактиви:Антиген кардіоліпіновий для РМП 10 амп*2 мл "Фармастандарт-Біолік" ;"Буфер на Ексан"- набір для використання буферного розчину на Ексан  (REF HP 009.04)(58/76/100 визнач.)"Філісіт-Діагностика"; "Гемоглобін"-набір для визначення концентрації гемоглобіну у крові ; "Філісіт-Діагностика"; Глюкотест №100; Калібратори глюкози 10 ммоль "Філісіт-Діагностика"; Скаріфікатор-спис; Діагностичний моноклональний реагент анти-А  (100 доз./10 мл) "Групотест"; Діагностичний моноклональний реагент анти-В (100 доз./10 мл)"Групотест"; Діагностичний моноклональний реагент анти-D; (100 доз./10 мл)"Групотест"; Холестерин -Ф НР026.02 (40/80/200 визнач.)"Філісіт-Діагностика"; Філісіт-СРБ-латекс ЛА 033.02 (200 визнач); Філісіт-РФ-латекс ЛА 033.03 (200 визнач.); Мембрана глюкооксидазна до Ексану Литва</t>
  </si>
  <si>
    <t>ДК 021:2015 33696500-0  Лабораторні реактиви:Мембрана глюкооксидазна MG-1 до аналізатору глюкози Ексан-ГМ; Скло покрівне 24*24 в уп. 100 шт.; «Калібратори глюкози» - набір для використання калібрувальних розчинів глюкози для контролю кількісного визначення глюкози у біологічних рідинах (REF НК009.03); "Гемоглобін" - набір для визначення концентрації гемоглобіну у крові (REF HP008.01)(400/800 визнач.); Скаріфікатор-спис; Діагностичний моноклональний регент анти-А для визначення групи крові людини за системою АВО (100 доз/10 мл.); Діагностичний моноклональний регент анти-В для визначення групи крові людини за системою АВО (100 доз/10 мл.); Діагностичний моноклональний реагент анти-D (10 мл-100 доз); Ацетонтест №50; Глюкотест №100; "Буфер на Ексан"- набір для використання буферного розчину на Ексан для кількісноно визначення глюкози у біологічних рідинах (REF HP009.04); РНП плазма</t>
  </si>
  <si>
    <t>ДК 021:2015 33696500-0  Лабораторні реактиви:Мембрана глюкооксидазна MG-1 до аналізатору глюкози Ексан-ГМ; Скло покрівне 24*24 в уп. 100 шт.; «Калібратори глюкози» - набір для використання калібрувальних розчинів глюкози для контролю кількісного визначення глюкози у біологічних рідинах (REF НК009.03); "Гемоглобін" - набір для визначення концентрації гемоглобіну у крові (REF HP008.01)(400/800 визнач.); Скаріфікатор-спис; Моноклональний тест-реагент анти-D (10 мл-100 доз); РНП плазма</t>
  </si>
  <si>
    <t xml:space="preserve">ДК 021:2015 33696500-0  Лабораторні реактиви:Набір білірубін; Аспартатамінотрансфераза (АСТ) Набір реагентів: Реагент1, 1*120 мл+Реагент2, 1*30 мл; Аланінамінотрансфераза (АЛТ) Набір реагентів: Реагент1, 1*100 мл+Реагент2, 1*20 мл; Лужна фосфотаза Набір реагентів: Реагент1, 1*100 мл+Реагент2, 1*20 мл; Гамма-глютамілтрансфераза (ГГТ) Набір реагентів: Реагент1, 1*100 мл+Реагент2, 1*20 мл; Сечовина Набір реагентів: Реагент1, 1*125 мл+Реагент2, 1*25 мл+Стандарт, 1*5 мл; Креатинін Набір реагентів: Реагент1, 1*125 мл+Стандарт, 1*5 мл; Сечова кислота Набір реагентів: Реагент 1, 1*125 мл+Стандарт, 1*5 мл;  Хімічний контроль </t>
  </si>
  <si>
    <t>ДК 021:2015 33696500-0  Лабораторні реактиви:РенаУпластин Тромбопластин 8 мл (REF ПГ-5); Фібриноген-тест-У (ПГ10/1)</t>
  </si>
  <si>
    <t>ДК 021:2015 33696500-0  Лабораторні реактиви:РенаУпластин.Тромбопластин (з головного мозку кролика) для визначення протромбінового часу  8 мл № 10. Набори реагентів для визначення параметрів гемостазу людини "РенаУ" - 2 набори;Тромбін –реагент-У - 1 набір.</t>
  </si>
  <si>
    <t>ДК 021:2015 33696500-0  Лабораторні реактиви:РенаУпластин.Тромбопластин 8 мл (REF ПГ-5); Фібриноген-тест-У (ПГ10/1)</t>
  </si>
  <si>
    <t>ДК 021:2015 33696500-0  Лабораторні реактиви:РенаУпластин; Фібриноген-тест-У; Плазма контрольна; Тромбін-реагент-У</t>
  </si>
  <si>
    <t>ДК 021:2015 33696500-0  Лабораторні реактиви:Смужки діагностичні типу UrineRS, модель Н-10 для апарату CL -50 – 10 упаковок;  Набір глікірованний гемоглобін – 1 набір</t>
  </si>
  <si>
    <t>ДК 021:2015 33696500-0  Лабораторні реактиви:Тромбопластин; "Буфер на Ексан"- набір для використання буферного розчину на Ексан для кількісноно визначення глюкози у біологічних рідинах (REF HP009.04); Антиген кардіоліпіновий для РМП (10*2 мл); Оцтова кислота, л; Масло імерсійне 100 мл; "а-Амілаза" - набір для визначення активності альфа-амілази у біологічних рідинах (REF HP003.01); Скло предметне 25*76*1 з полем для запису 7105 в уп. 50 шт; Респиратор FFP3</t>
  </si>
  <si>
    <t>ДК 021:2015 33696500-0  Лабораторні реактиви:Фарба по Романовському 1л. - 1 фл.; Фарба-фіксатор по Май-Грюнвальду, 1л - 1 фл.; Ацетонтест №50 - 2 уп.;"Буфер на Ексан"- набір для використання буферного розчину на Ексан для кількісноно визначення глюкози у біологічних рідинах (REF HP009.04) - 30фл.; "Гемоглобін" - набір для визначення концентрації гемоглобіну у крові (REF HP008.01)(400/800 визнач.) - 5 уп.; Калібратори глюкози 10 ммоль - 5 амп.; Калій фосфорнокислий 2-х заміщений - 0,2 кг; Крохмаль розчинний - 0,2 кг; Масло імерсійне- 2фл.; Мембрана глюкооксидазна MG-1 до аналізатору глюкози Ексан-ГМ - 2 шт.;Натрій фосфорнокислий 2-х заміщений-0,2 кг; Азопірамова проба 6000 проб - 1 уп.; Натрій хлористий- 2 кг; Натрій лимоннокислий 3-заміщений 2- водн., - 0,2кг; Сульфацилова кислота- 1 кг; Скаріфікатор-спис-3000 шт</t>
  </si>
  <si>
    <t>ДК 021:2015 33696500-0  Лабораторні реактиви:Фарбник по Романовському 1л.; Фарбник-фіксатор по Май-Грюнвальду,1 л; Антиген кардіоліпіновий для РМП (10*2 мл); Ацетонтест №50; "Буфер на Ексан"- набір для використання буферного розчину на Ексан для кількісноно визначення глюкози у біологічних рідинах (REF HP009.04); Масло імерсійне; Скаріфікатор-спис; Моноклональний тест-реагент анти-А (10мл-100 доз); Моноклональний тест-реагент анти-В (10мл -100 доз); Моноклональний тест-реагент анти-D (10 мл-100 доз); Мембрана глюкооксидазна MG-1 до аналізатору глюкози Ексан-ГМ; Хлористий натрій; Тимолова проба</t>
  </si>
  <si>
    <t>ДК 021:2015 33696500-0  Лабораторні реактиви:Філісіт-СРБ-латекс ЛА 033.02; Філіст - РФ-Латекс ЛА 033.03; Філісіт-АСЛ-О-латекс ЛА 033.01;  Холестерин - Ф НР026.02 ;  Фарба по Романовському 1л.; Фарба-фіксатор по Май-Грюнвальду 1л; Масло імерсійне; Ацетонтест №50; Натрій хлористий; Натрій лимоннокислий 3-заміщений 2- водн., кг; "Тимолова проба"-набір (REF HP 021.01)(225/450/900 визнач.); Діагностичний моноклональний регент анти-А для визначення групи крові людини за системою АВО (100 доз/10 мл.); Діагностичний моноклональний регент анти-В для визначення групи крові людини за системою АВО (100 доз/10 мл.); Діагностичний моноклональний регент анти-Д для визначення групи крові людини за системою Rhesus (100 доз/10 мл.)</t>
  </si>
  <si>
    <t>ДК 021:2015 45220000-5 Інженерні та будівельні роботи (Поточний ремонт по заміні вікон та дверей)</t>
  </si>
  <si>
    <t xml:space="preserve">ДК 021:2015 45220000-5 Інженерні та будівельні роботи (Поточний ремонт по заміні вікон та дверей)  
</t>
  </si>
  <si>
    <t xml:space="preserve">ДК 021:2015 50110000-9 Послуги з ремонту і технічного обслуговування мототранспортних засобів і супутнього обладнання (Послуги з відновлення, оброблення та фарбування кузова автомобіля ВАЗ 21043)
</t>
  </si>
  <si>
    <t xml:space="preserve">ДК 021:2015 50110000-9 Послуги з ремонту і технічного обслуговування мототранспортних засобів і супутнього обладнання (Послуги з відновлення, оброблення та фарбування кузова автомобіля ВАЗ 21043) </t>
  </si>
  <si>
    <t>ДК 021:2015 50310000-1 Технічне обслуговування і ремонт офісної техніки (заправка картриджів до принтерів Brother DCP-L2540DNR)</t>
  </si>
  <si>
    <t>ДК 021:2015 64210000-1 Послуги телефонного зв’язку та передачі даних (телекомунікаційні послуги)</t>
  </si>
  <si>
    <t>ДК 021:2015 72250000-2 "Послуги пов’язані із системою та підтримкою" (тестування програмного забезпечення, послуги з підтримки користувачів комп’ютерної програми  «Єдина інформаційна система управління бюджетом» для місцевого бюджету)</t>
  </si>
  <si>
    <t>ДК 021:2015 72260000-5 - Послуги пов'язані з програмним забезпеченням (Послуги з супроводу програмного забезпечення "Медична статистика")</t>
  </si>
  <si>
    <t xml:space="preserve">ДК 021:2015 72260000-5 Послуги, пов'язані з програмним забезпеченням (Установка програмного забезпечення та право на подальше використання комп'ютерної програми та бази даних "Облік медичних кадрів України")
</t>
  </si>
  <si>
    <t>ДК 021:2015 Медичні матеріали : 1)Бинт гіпсовий 20 см*2.7 м  - 240 шт. 2) Бинт гіпсовий 15 см*2.7 м  - 240 шт.</t>
  </si>
  <si>
    <t>ДК 021:2015 код 09130000-9 Нафта і дистиляти (Бензин марки А-92 в талонах номіналом 10 л, скретч-картках)</t>
  </si>
  <si>
    <t>ДК 021:2015 – 31520000-7 Світильники та освітлювальна арматура (Світильники світлодіодні 36 Вт)</t>
  </si>
  <si>
    <t>ДК 021:2015 – 33140000-3  Медичні матеріали</t>
  </si>
  <si>
    <t>ДК 021:2015 – 33190000-8 - Медичне обладнання та вироби медичного призначення різні (НК 024:2019 13735 Разове опаковання для стерилізації)</t>
  </si>
  <si>
    <t>ДК 021:2015 – 33190000-8 - Медичне обладнання та вироби медичного призначення різні (Спалювач голок та деструктор шприців- НК 024:2019 38737 - Установка для подрібнення голок)</t>
  </si>
  <si>
    <t>ДК 021:2015 – 33696500-0 Лабораторні реактиви: Смужки діагностичні типу UrineRS, модель Н-10 - 10 упак.</t>
  </si>
  <si>
    <t>ДК 021:2015 – 33696500-0 Лабораторні реактиви: Смужки діагностичні типу UrineRS, модель Н-10 - 20 упак.</t>
  </si>
  <si>
    <t>ДК 021:2015 – 33696500-0 Лабораторні реактиви: Фарба по Романовському 1л. - 2 фл.; Фарба-фіксатор по Май-Грюнвальду, 1л - 1 фл.; Антиген кардіоліпіновий для РМП (10*2 мл) " - 1 набір; Буфер на Ексан"- набір для використання буферного розчину на Ексан для кількісноно визначення глюкози у біологічних рідинах (REF HP009.04)  - 30 фл..; Калібратори глюкози 10 ммоль - 5 амп.; "Гемоглобін" - набір для визначення концентрації гемоглобіну у крові (REF HP008.01)(400/800 визнач.) - 5 набір; Сульфацилова кислота - 1 кг; Папір фільтрувальний 370*370 - 5 лист.; Скарифікатор - 2000 шт.</t>
  </si>
  <si>
    <t>ДК 021:2015 – 44410000-7 Вироби для ванної кімнати та кухні (Санітарна техніка)</t>
  </si>
  <si>
    <t>ДК 021:2015 – 72260000-5 «Послуги пов’язані з програмним забезпеченням» (супровід програмного забезпечення «5С Бюджет»)</t>
  </si>
  <si>
    <t xml:space="preserve">ДК 021:2015 – 72410000-7 Послуги провайдерів (доступ до мережі інтернет) </t>
  </si>
  <si>
    <t xml:space="preserve">ДК 021:2015 – «33190000-8 - Медичне обладнання та вироби медичного призначення різні»  
(Меблі медичні )
</t>
  </si>
  <si>
    <t xml:space="preserve">ДК 021:2015 – «33190000-8 - Медичне обладнання та вироби медичного призначення різні»  
(Спалювач голок та деструктор шприців NULIFE DOTS - 1 шт.; 
Імпульсний термозварювальний апарат hd 260MS-8 - 1 шт.)
</t>
  </si>
  <si>
    <t>ДК 021:2015 – «33190000-8 - Медичне обладнання та вироби медичного призначення різні»  (Меблі медичні )</t>
  </si>
  <si>
    <t>ДК 021:2015 – «39130000-2 – Офісні меблі»</t>
  </si>
  <si>
    <t>ДК 021:2015 –22990000-6 Газетний папір, папір ручного виготовлення та інший некрейдований папір або картон для графічних цілей (термопапір для медичного обладнання)</t>
  </si>
  <si>
    <t>ДК 021:2015 –33710000-0 Парфуми, засоби гігієни та презервативи (Презервативи для УЗД код НК 024:2019 36281 Жіночий презерватив)</t>
  </si>
  <si>
    <t>ДК 021:2015- 09130000-9 Нафта і дистиляти (Бензин марки А-92 в талонах номіналом 10 л, скретч-картках)</t>
  </si>
  <si>
    <t>ДК 021:2015-33120000-7 Системи реєстрації медичної інформації та дослідне обладнання (Тест-смужки для загального аналізу сечі-код НК 024:2019-43539, Смужки індикаторні Ацетонтест №50- код НК 024:2019- 30225 )</t>
  </si>
  <si>
    <t>ДК 021:2015-33600000- Фармацевтична продукція – Вакцина антирабічна "Індіраб" №10 (rabies, inactivated, whole virus)</t>
  </si>
  <si>
    <t>ДК 021:2015-33690000-3 Лікарські засоби різні (лабораторні реактиви)</t>
  </si>
  <si>
    <t>ДК 021:2015-72710000-0 Послуги у сфері локальних мереж</t>
  </si>
  <si>
    <t>ДК 021:2015-72710000-0 Послуги у сфері локальних мереж (Послуги з монтажу та налаштування локальної мережі з використанням обладнання та комплектуючих виконавця)</t>
  </si>
  <si>
    <t>ДК 021:2015:  33600000-6 Фармацевтична продукція</t>
  </si>
  <si>
    <t>ДК 021:2015:  33600000-6 Фармацевтична продукція (Каптопрес 12,5 Дарниця №20 – 8 уп.; Клопідогрель 75 мг №30 – 1 уп.; Нітрогліцерин №40 – 1 уп.;Магнікор 75 мг №30 – 2 уп.; Фуросемід 40 мг №50 – 1 уп.; Септил 70% 100 мл – 200 фл.; Перекис водню 3% 100 мл – 20 фл.)</t>
  </si>
  <si>
    <t>ДК 021:2015: 22210000-5 Газети (Журнал "Управління закладом охорони здоров’я» на 2020 рік)</t>
  </si>
  <si>
    <t>ДК 021:2015: 24930000-2 Фотохімікати (Плівка для рентгенографії - НК 024:2019 - 40979 Медична рентгенівська плівка, екран)</t>
  </si>
  <si>
    <t xml:space="preserve">ДК 021:2015: 33694000-1 Діагностичні засоби (Гель для УЗД, 5000 мл - 6 кан.,  Кардіопапір 80*30 - 150 рул., Кардіопапір 58*30 - 150 рул.)  </t>
  </si>
  <si>
    <t>ДК 021:2015:22800000-8 паперові чи картонні реєстраційні журнали, бухгалтерські книги, швидкозшивачі, бланки та інші паперові канцелярські вироби (медична документація):                                                              1) Медична карта амбулаторного хворого - 3000 шт.;
2) Інформована добровільна згода пацієнта на проведення діагностики, лікування та на проведення операції та знеболення - 3000 шт.;
3) Згода на обробку персональних даних та користування Helsi - 3000 шт.;
4) Журнал обліку процедур - 5 шт.;
5) Журнал запису амбулаторних операцій - 12 шт.;
6) Книга обліку лікарських засобів та медичних виробів - 4 шт.;
7) Накладна-(вимога) - 1000 шт.;
8) Журнал обліку лікарських засобів - 3 шт.;
9) Журнал амбулаторного прийому - 5 шт.;
10) Журнал реєстрації хворих, які перебувають на АРТ у лікувальному закладі - 2 шт.;
11) Журнал реєстрації результатів досліджень за допомогою швидких тестів - 2 шт.;
12) Журнал протоколів проведення дослідження швидкими тестами - 2 шт.;
13) Журнал реєстрації добровільного перед - та після тестового консультування у зв'язку з тестувавнням на ВІЛ-інфекцію - 2 шт.;
15) Журнал реєстрації взяття крові для проведення дослідження на наявність антитіл до ВІЛ - 2 шт.;
16) Скринінгова анкета для виявлення людей, які потребують обстеження на туберкульоз - 1000 шт.;
17) Реєстраційна картка ВІЛ-інфікованої особи - 100 шт.;
18) Повідомлення про зміни в Реєстраційній карті ВІЛ-інфікованої особи - 100 шт.;
19) Контрольна карта диспансерного нагляду ВІЛ-інфікованою особою - 100 шт.;
20) Інформована згода на проходження тесту на ВІЛ - 1000 шт.;
21) Направлення на проведення дослідження на наявність антитіл до ВІЛ+  Довідка про результати досліджень на антитіла до ВІЛ методом імуноферментного аналізу - 1000 шт.;
22) Інформаційна згода на залучення до соціального супроводу - 1000 шт.;
23) Консультаційний висновок спеціаліста - 11500 шт.</t>
  </si>
  <si>
    <t>ДК 021:2015:22800000-8 паперові чи картонні реєстраційні журнали, бухгалтерські книги, швидкозшивачі, бланки та інші паперові канцелярські вироби (медична документація): Журнал реєстрації амбулаторних пацієнтів  ф. 074/0 - 60шт.; Відомість обліку відвідувань пацієнтів ф.039/0 - 600 шт.; Виписка із медичної карти амбулаторного (стаціонарного) хворого ф.027/о - 2000 шт.; Консультаційний висновок спеціаліста ф 028/0 - 7000 шт.; Направлення на медико-соціальну експертну комісію (МСЕК) ф.088/о - 300 шт.; Додаток на скерування на МСЕК - 300 шт.; Журнал запису висновків лікарсько-консультаційної комісії ф.035/0 - 4 шт.; Журнал реєстрації виданих (отриманих) довідок для призначення і виплати державної допомоги у зв'язку з вагітністю та пологами жінкам, які не застраховані в системі загальнообов'язкового соціального страхування ф.147-1/0 - 2 шт.; Довідка + Контрольний талон  ф. 147/0 - 500 шт.</t>
  </si>
  <si>
    <t>ДК 021:24450000-3 Агрохімічна продукція (Дезінфекційні засоби)</t>
  </si>
  <si>
    <t>ДП Дніпропетровський регіональний державний науково-технічний центр стандартизації, метрології та сертифікації</t>
  </si>
  <si>
    <t>ДУ "Дніпропетровський обласний лабораторний центр МОЗ України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</si>
  <si>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</si>
  <si>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</si>
  <si>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</si>
  <si>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</si>
  <si>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уточнення до:</t>
  </si>
  <si>
    <t>Дата уточнення з:</t>
  </si>
  <si>
    <t>Дезінфекційні засоби</t>
  </si>
  <si>
    <t>Дезінфікуючі засоби</t>
  </si>
  <si>
    <t>Дезінфікуючі засоби:1) АХД 2000 експрес (AHD 2000 express), 1л -20  шт. 2) Аеродезин, 250 мл з двофункційним тригером - 20 шт. 3) Аеродезин-2000, 1000 мл з розпилювачем - 10 шт. 4) Бланідас Софт, 5000 мл - 8 шт. 5) Бланідас Актив, 1000 мл -15 шт. 6) Бланідас 300, в табл. (по 300 шт.) - 20 шт. 7) Крем Майола-Х5  (Majola H5-Creme), 1000 мл - 10 шт. Детальніше в додатках:Дезінфікуючі засоби</t>
  </si>
  <si>
    <t>Дезінфікуючі засоби:Дезінфікуючі засоби</t>
  </si>
  <si>
    <t>Дезінфікуючі та миючі засоби</t>
  </si>
  <si>
    <t>Демонтаж рентгенівського апарату РУМ 20</t>
  </si>
  <si>
    <t>Договір діє до:</t>
  </si>
  <si>
    <t>Допамін 40мг/1 мл, 5 мл, №10; Лідокаїн 2%, 2 мл, №10; Каптоприл 25 мг, №20; Хлоргексидин біглюконат 0,05 %, 100 мл; Глюкоза 40%, 20 мл, №10; Піродоксин гідро хлорид (Вітамін В-6) 1 мл, №10; Розчин аміаку 10%, 40 мл; Клопідогрель 75 мг, №30; Магнію сульфат 25 %, 5 мл, №10; Метопролол 50 мг, №30; Натрію хлорид 0,9%, 10 мл, №10; Натрію хлорид 0,9%, 200 мл; Перекис водню 3%, 100 мл; Супрастин 1 мл, №5; Фуросемід 1%, 2 мл, №10; Дигоксин 0,025%, 1 мл, №10; Етанол 70%, 100 мл; Етанол 96%, 100 мл; Адреналін 0,18 %, 1 мл, №10; Ацетилсаліцилова кислота (АСК) 75 мг, №30; Верапаміл 0,25%, 2 мл, №10; Дексаметазон 4 мг, 1 мл, №5; Глюкоза 5%, 200 мл</t>
  </si>
  <si>
    <t>Допорогова закупівля</t>
  </si>
  <si>
    <t>Діагностичні засоби</t>
  </si>
  <si>
    <t>ЕНДЖЕРІКС-В вакцина   для профілактики вірусного гепатиту В, рекомбінантна-стерильна суспензія для ін’єкцій  1 мл 20мкг №10  для дорослих - 6 коробок</t>
  </si>
  <si>
    <t>ЕНДЖЕРИКС™-В/ENGERIX™-B ВАКЦИНА ДЛЯ ПРОФІЛАКТИКИ ВІРУСНОГО ГЕПАТИТУ В, РЕКОМБІНА НТНА. Суспензія для ін’єкцій, 20 мкг/1 мл, по 1 мл (20 мкг) (1доза для дорослих) у флаконі; по 10 скляних монодозних флаконів у картонній коробці</t>
  </si>
  <si>
    <t>ЕЦП/КЕП</t>
  </si>
  <si>
    <t xml:space="preserve">Електрокардіограф </t>
  </si>
  <si>
    <t>Електронна пошта переможця тендеру</t>
  </si>
  <si>
    <t>Журнал "Управління закладом охорони здоров’я» на 2020 рік</t>
  </si>
  <si>
    <t>Журнал реєстрації амбулаторних пацієнтів  ф. 074/0 - 60шт.; Відомість обліку відвідувань пацієнтів ф.039/0 - 600 шт.; Виписка із медичної карти амбулаторного (стаціонарного) хворого ф.027/о - 2000 шт.; Консультаційний висновок спеціаліста ф 028/0 - 7000 шт.; Направлення на медико-соціальну експертну комісію (МСЕК) ф.088/о - 300 шт.; Додаток на скерування на МСЕК - 300 шт.; Журнал запису висновків лікарсько-консультаційної комісії ф.035/0 - 4 шт.; Журнал реєстрації виданих (отриманих) довідок для призначення і виплати державної допомоги у зв'язку з вагітністю та пологами жінкам, які не застраховані в системі загальнообов'язкового соціального страхування ф.147-1/0 - 2 шт.; Довідка + Контрольний талон  ф. 147/0 - 500 шт.</t>
  </si>
  <si>
    <t>Журнал реєстрації амбулаторних пацієнтів; Журнал запису висновків лікарсько-консультативної комісії ; Консультаційний висновок спеціаліста; Направлення на консультацію, в діагностичні кабінети, в лабораторії та результат обстежень; Цитоморфологічне дослідження; Відомість обліку відвідувань пацієнтів ; Щоденник обліку роботи  ендоскопічного відділення (кабінету); Журнал реєстрації ендоскопічних досліджень; Журнал обліку технічного обслуговування та ремонту ендоскопічної апаратури; Щоденник обліку кабінету (відділення) ультразвукової діагностики; Журнал реєстраціїї ультразвукових досліджень; Журнал обліку інфекційних захворювань; Довідка + Контрольний талон  ; Направлення на проведення дослідження на наявність антитіл до ВІЛ+  Довідка про результати досліджень на антитіла до ВІЛ методом імуноферментного аналізу; Журнал обліку відділеннями отриманих і використаних лікарських засобів та медичних виробів; Журнал обліку фактично отриманих і використаних лікарських засобів та медичних виробів; Журнал реєстрації функціональних досліджень; Журнал запису рентгенологічних досліджень; Журнал реєстрації аналізів і їх результатів ; Журнал реєстрації мікробіологічних і паразитологічних досліджень; Журнал реєстрації серологічних досліджень  (діагностика сифілісу) ; Журнал обліку числа аналізів, зроблених в лабораторії; Направлення N для дослідження крові на   резус-приналежність і резус-антитіла; Аналіз сечі загальний N; Аналіз сечі по Зимницькому; Аналіз сечі N по Нечипоренко; Аналіз сечі N (на активність L-амілази   (діастаза); Аналіз мокротиння N; Аналіз калу (копрограма) N; Аналіз калу N на гельмінти та найпростіші; Клінічний аналіз крові N; Аналіз крові на вміст глюкози натщесерце; Аналіз крові N (глікемічна крива після навантаження глюкозою, галактозою); Аналіз крові (показники системи згортання); Аналіз крові N (на реакцію Васермана); Картка-довідка; Журнал запису висновків лікарсько-консультативної комісії ; Журнал реєстрації листків непрацездатності; Журнал обліку результатів перевірок стану військового обліку призовників і військозобов'язаних та звіряння їх облікових даних з даними районних (міських) військових комісіріатів; Журнал обліку робочого часу; Журнал обліку відпусток; Журнал обліку ознайомлення працівників з правилами інутрішнього трудового розпоряядку, коллективним договором; Штатно-посадова книга; Алфавітна книга особового складу; Книга обліку руху трудових книжок і вкладишів до них; Книга реєстрації наказів по особовому складу; Журнал реєстрації наказів з кадрових питань тривалого зберігання; Особова картка працівника</t>
  </si>
  <si>
    <t>З ПДВ</t>
  </si>
  <si>
    <t>Закупівля скасова у зв'язку з виявленими порушеннями  законодавства у сфері публічних закупівель в інформації, оприлюдненій в електронній системі закупівель та в тендерній документації Учасника</t>
  </si>
  <si>
    <t>Закупівля скасована у зв'язку з коригуванням параметрів закупівлі</t>
  </si>
  <si>
    <t>Заправка картриджів до принтерів Brother DCP-L2540DNR</t>
  </si>
  <si>
    <t>Засіб для антисептичної обробки рук, шкірних покривів; Засіб для швидкої дезінфекції невеликих за площею поверхонь, та дезінфекції шкіри; Засіб для  дезінфекції поверхонь в приміщеннях; для дезінфекції, достерилізаційного очищення, суміщення дезінфекції та достерилізаційного очищення, дезінфекції високо рівня та стерилізації виробів медичного призначення, наркозно-дихальної апаратури та матеріалів, гнучких та жорстких ендоскопів</t>
  </si>
  <si>
    <t>Засіб для швидкої дезінфекції невеликих за площею поверхонь, та дезінфекції шкіри рук; Засіб для швидкої дезінфекції невеликих за площею поверхонь, та дезінфекції шкіри рук; Засіб для дезінфекції поверхонь в приміщеннях; для дезінфекції, достерилізаційного очищення, суміщення дезінфекції та достерилізаційного очищення, дезінфекції високо рівня та стерилізації виробів медичного призначення, апаратури та матеріалів.; Засіб для дезінфекції поверхонь, санітарно-технічного устаткування; біологічні виділення для проведення генеральних прибирань.; Засіб для антисептичної обробки рук, шкірних покривів, поверхонь, рукавичок; Засіб для гігієнічної та антисептичної обробки рук, шкірних покривів, поверхонь</t>
  </si>
  <si>
    <t>Звіт про укладений договір</t>
  </si>
  <si>
    <t>Звіт створено 17 березня о 08:35 з використанням http://zakupki.prom.ua</t>
  </si>
  <si>
    <t>Звітувати про виконання</t>
  </si>
  <si>
    <t>Зміна процедури закупівлі</t>
  </si>
  <si>
    <t>Змішувач для умивальника; Сифон для умивальника; Умивальник керамічний з пьедесталом</t>
  </si>
  <si>
    <t>КАЛІМІН® 60 Н. Таблетки по 60 мг № 100</t>
  </si>
  <si>
    <t>КОМУНАЛЬНЕ НЕКОМЕРЦІЙНЕ ПІДПРИЄМСТВО "МІСЬКА ПОЛІКЛІНІКА № 2" ДНІПРОВСЬКОЇ МІСЬКОЇ РАДИ</t>
  </si>
  <si>
    <t>КОМУНАЛЬНИЙ ЗАКЛАД "ЦЕНТР ПІСЛЯДИПЛОМНОЇ ОСВІТИ МОЛОДШИХ СПЕЦІАЛІСТІВ З МЕДИЧНОЮ ТА ФАРМАЦЕВТИЧНОЮ ОСВІТОЮ" ДНІПРОПЕТРОВСЬКОЇ ОБЛАСНОЇ РАДИ"</t>
  </si>
  <si>
    <t>КРАСУЛЯ ЮРІЙ СЕРГІЙОВИЧ</t>
  </si>
  <si>
    <t>Канцтовари та папір</t>
  </si>
  <si>
    <t>Каптопрес 12,5 Дарниця №20 – 8 уп.; Клопідогрель 75 мг №30 – 1 уп.; Нітрогліцерин №40 – 1 уп.;Магнікор 75 мг №30 – 2 уп.; Фуросемід 40 мг №50 – 1 уп.; Септил 70% 100 мл – 200 фл.; Перекис водню 3% 100 мл – 20 фл.</t>
  </si>
  <si>
    <t xml:space="preserve">Карбамазепин 0,2 №20 таблетки; Вальпроком 300 №100 таблетки; Вальпроком 500 №30 таблетки; Ламотрин 100 №30 таблетки; Топиромакс 100 №30 таблетки; Левитирацетам 500 №60 таблетки ; Калімін 60 мг Н №100 </t>
  </si>
  <si>
    <t>Кардіопапір 80*30; Кардіопапір 58*30; Кардіопапір Schiller Cardiovit AT-1 Spirovit Sp-1 90*90*400; Гель для УЗД</t>
  </si>
  <si>
    <t>Класифікатор</t>
  </si>
  <si>
    <t>Код ДК 021:2015 (30230000-0)   Комп’ютерне обладнання (Комп'ютер в зборі (системний блок+монітор+клавіатура+миша)</t>
  </si>
  <si>
    <t>Код ДК 021:2015 (30230000-0)   Комп’ютерне обладнання (Принтер CANON i-SENSYS LBP6030 Black (8468B006) +USB cable  (або еквівалент) - 1 шт. Принтер Xerox Phaser 3020BI  Wi-Fi (3020V_BI) + USB cable  або еквівалент) - 1 шт.</t>
  </si>
  <si>
    <t>Код ДК 021:2015 (30230000-0)   Комп’ютерне обладнання (Принтер МФУ А4 ч/б HP Lazer Jet Pro M130a – 3 в 1 (або еквівалент) Принтер Xerox Phaser 3020BI  Wi-Fi (3020V_BI) + USB cable  або еквівалент)</t>
  </si>
  <si>
    <t>Код ДК 021:2015 (30230000-0)   Комп’ютерне обладнання:  (МФУ А4 ч/б HP Lazer Jet Pro M130a – 3 в 1 або HP LaserJet Pro MFP M26A (T0L49A) – 3 в 1або еквівалент – 2 шт.)</t>
  </si>
  <si>
    <t>Код ДК 021:2015 (30230000-0)  Принтер</t>
  </si>
  <si>
    <t>Код ДК 021:2015 - 80560000-7 - Послуги з професійної підготовки у сфері охорони здоров’я та надання першої медичної допомоги ((Акушерство (удосконалення акушерок жіночих консультацій та оглядових кабінетів) - 3 особи та Отоларингологія (удосконалення сестер медичних отоларингологічних відділень і кабінетів)) - 2 особи.</t>
  </si>
  <si>
    <t>Код ДК 021:2015 39220000-0 Кухонне приладдя, товари для дому та господарства і приладдя для закладів громадського харчування (прибиральне приладдя)</t>
  </si>
  <si>
    <t>Код ДК 021:2015 – 31220000-4 Елементи електричних схем (розетки)</t>
  </si>
  <si>
    <t>Код ДК 021:2015: 22210000-5 Газети (Комплект газет "Медична бухгалтерія" та "Зарплата та кадрова справа" на 2020 рік)</t>
  </si>
  <si>
    <t xml:space="preserve">Код ДК 021:2015: 7160000-4  «Послуги з технічних випробувань, аналізування та консультування» (Перевірка вихідних параметрів рентгенапаратів та перевірка свинцевого еквіваленту захисних засобів) </t>
  </si>
  <si>
    <t xml:space="preserve">Код ДК 021:2015: 71600000-4  «Послуги з технічних випробувань, аналізування та консультування» (Перевірка вихідних параметрів рентгенапаратів та перевірка свинцевого еквіваленту захисних засобів) </t>
  </si>
  <si>
    <t xml:space="preserve">Код ДК 021:2015: 71600000-4  «Послуги з технічних випробувань, аналізування та консультування» (Повірка засобів вимірювальної техніки (ЗВТ) відповідно до чинного законодавства та нормативної документації (НД) УЗД Система HD-7 Fhilips; УЗД апарат ECHO BLASTER 128 EXT -1zkit; Прилад ультразвуковий скануючий ULTIMA PRO; Электрокардіограф ЮКАРД -100  </t>
  </si>
  <si>
    <t xml:space="preserve">Код ДК 021:2015: 71600000-4  «Послуги з технічних випробувань, аналізування та консультування» (проведення вимірювань свинцевого еквіваленту засобів захисту від рентгенівського випромінювання) </t>
  </si>
  <si>
    <t>Комплект газет "Медична бухгалтерія" та "Зарплата та кадрова справа" на 2020 рік</t>
  </si>
  <si>
    <t>Контактний телефон переможця тендеру</t>
  </si>
  <si>
    <t>Кювети реакційні - 1 набір;</t>
  </si>
  <si>
    <t>Кількість одиниць</t>
  </si>
  <si>
    <t>Кількість учасників аукціону</t>
  </si>
  <si>
    <t>Лабораторні реактиви</t>
  </si>
  <si>
    <t>Лабораторні реактиви : РенаУпластин 8 мл № 10 - 2 набора; Плазма-У контрольна 1 мл №6 - 1 набір;РенаУпластин  2 мл № 4 -4 набора;Фібриноген-тест-У-2 набора.</t>
  </si>
  <si>
    <t>Лабораторні реактиви ДК 021:2015 - 33690000-3 «Лікарські засоби різні» НК ДК 024:2019 30168 Набір реагентів для вимірювання глікозированого гемоглобіну Glycated haemoglobin kit</t>
  </si>
  <si>
    <t>Лабораторні реактиви для коагулометра</t>
  </si>
  <si>
    <t xml:space="preserve">Лабораторні реактиви: Мембрана глюкооксидазна до аналізатору Ексан -ГМ Буфер на Ексан- набір для використання буферного розчину на Ексан для кількісноно визначення глюкози у біологічних рідинах (REF HP009.04) Гемоглобін -набір для визначення концентрації гемоглобіну у крові (REF HP008.01) Ацетонтест №50 Антиген кардіоліпіновий для РМП (10*2 мл) Діагностичний моноклональний реагент -Анти -А (100 доз/10 мл) Діагностичний моноклональний реагент -Анти -B (100 доз/10 мл) Діагностичний моноклональний реагент -Анти -D (100 доз/10 мл) Калібратори гемоглобіну Трубка з'єднувальна до Ексан-Г:Лабораторні реактиви </t>
  </si>
  <si>
    <t>Лабораторні реактиви: Набор Техпластин-R (Протромбин) 100 опр Набор АЧТВ 100 опр. Набор Тромботест  50 опр. Натрій хлорид Глюкоза Антиген кардіоліпіновий для РМП (10*2 мл) Азур-еозін по Романовському Еозин по Май-Грюнвальду Мембрана глюкооксидазна до Ексану:Лабораторні реактиви</t>
  </si>
  <si>
    <t xml:space="preserve">Лабораторні реактиви: Скаріфікатори Глюкотест №100 Азур-еозін по Романовському Еозин по Май-Грюнвальду Скло покрівне 24*24 Калібратори глюкози 10 ммоль Тромбопластин (1гр)  Натрій лимоннокислий 3-заміщений 2- водн. Сульфосаліцилова кислота Оцтова кислота Філонорм (контроль привильності (вірогідності) 3 мл а-Амілаза - набір для визначення активності альфа-амілази у біологічних рідинах (REF HP003.01) МБ 05.3-07 Фарби Ціль-Нільсена -200 Ретикулофарб Плазма N:Лабораторні реактиви </t>
  </si>
  <si>
    <t>Лабораторні реактиви: Смужки діагностичні типу UrineRS, модель Н-10 :Лабораторні реактиви : Смужки діагностичні типу UrineRS, модель Н-10</t>
  </si>
  <si>
    <t>Лабораторні реактиви:Лабораторні реактиви</t>
  </si>
  <si>
    <t>Леза для скальпеля №21 одноразового використання  стерильне уп.100 шт.	- 2 уп.;
Матеріал шовний з атравматичною голкою 3/0	- 70 шт.;
Матеріал шовний з атравматичною голкою 4/0	- 70 шт.;
Пластир гіпоалергенний на нетканій основі 1.25*5 - 20 шт.;
Пластир гіпоалергенний на нетканій основі 2.5*9 - 30 шт.;
Катетер в/в Унофлон G22 - 15 шт.;
Катетер в/в Унофлон G20 - 15 шт.;
Шприц 1.0 мл	33140000-3	- 100 шт.;
Катетер Фолея №16	33140000-3	- 10 шт.;
Катетер Фолея №18	33140000-3	- 10 шт.;
Рукавички оглядові н/с припудрені р. S - 1000 пар;
Рукавички оглядові н/с припудрені р. M - 4000 пар;
Рукавички хір. р.7	33140000-3	- 250 пар;
Рукавички хір. р.8	33140000-3	- 250 пар;
Вата медична гігроскопічна гігієнічна нестерильна "зіг-заг" 100г - 100 шт.;
Відріз марлевий мед.  5м*90 см Тип 17 - 30 шт.;
Бинт марлевий медичний  5м*10 см Тип 17 - 300 шт.</t>
  </si>
  <si>
    <t>Леза для скальпеля №21 одноразового використання  стерильне уп.100 шт.	- 2 уп.;
Матеріал шовний з атравматичною голкою 3/0	- 70 шт.;
Матеріал шовний з атравматичною голкою 4/0	- 70 шт.;
Пластир гіпоалергенний на нетканій основі 1.25*5 - 20 шт.;
Пластир гіпоалергенний на нетканій основі 2.5*9 - 30 шт.;
Катетер в/в Унофлон G22 - 15 шт.;
Катетер в/в Унофлон G20 - 15 шт.;
Шприц 1.0 мл	33140000-3	- 100 шт.;
Катетер Фолея №16	33140000-3	- 10 шт.;
Катетер Фолея №18	33140000-3	- 10 шт.;
Рукавички оглядові н/с припудрені р. S - 1000 пар;
Рукавички оглядові н/с припудрені р. M - 4000 пар;
Рукавички хір. р.7	33140000-3	- 250 пар;
Рукавички хір. р.8	33140000-3	- 250 пар;
Пробирка Vacumed без наповнювача, розмір:13*100 мм, об'єм: 6 мл., уп. 100 шт., колір  кришки - червоний - 14 уп.</t>
  </si>
  <si>
    <t>Лідокаїну Гідрохлорид. Розчин для ін'єкцій, 20 мг/мл по 2 мл в амп. №10;Глюкоза 5%, 200 мл;Дексаметазона фосфат амп. 0.4 % 1 мл №5;Магнію сульфат 25% 5.0 амп. №10 ;Тавегил 2 мл, №5;Перекис водню 3 % 100 мл;Коргликон 0.06 % 1.0 №10;Аспаркам 5 мл амп. №10;Супрастин 1 мл, №5;Натрия хлорид амп. 0.9% 5 мл №10</t>
  </si>
  <si>
    <t>Ліки</t>
  </si>
  <si>
    <t>Ліки:Ліки</t>
  </si>
  <si>
    <t>МАЛЕ ПРИВАТНЕ ПІДПРИЄМСТВО "АНІС"</t>
  </si>
  <si>
    <t>МБ 12.3-07    Забарвлювач азур-еозин за Романовським: Азур-еозин за Романовським: 1 х 1000 мл; Конц. буферний розчин: 1 х 100 мл - 2 наб.; БП 004-03  ГЕМОГЛОБІН-2000 мл - 5 наб.;  Діагностичний моноклональний реагент-Анти-D для визн.групи крові людини за системою Rhesus (10мл) - 8 фл.;   Діагностичний моноклональний реагент-Анти-А  для визн.групи крові людини за системою АВО(10мл) - 8 фл.;  Діагностичний моноклональний реагент-Анти-В  для визн.групи крові людини за системою АВО(10мл) - 8 фл.; БХ 038.3-04  КАЛІБРАТОР ГЛЮКОЗИ 10 ммоль/л -наб.реактивів д/побудови калібрувального графіка д/визнач.глюкози глюкозооксидазним методом(1 амп х 5 мл) - 20 шт.;  Камера Горяєва, д/взяття проб крові. скло,4-х сіткова  EximLab - 2 шт.;   Мембрана МГ-1 к "Ексану" - 2 шт.;  Скло предметне "MICROmed" 25х76 з 1-й лункою і шліф.гран.7103(№ 50) - 5 уп.;  Смужки індикаторні Ацетонтест № 50 "Норма" - 5 уп.;   Тромбопластин (1гр) МБ 10.4-07 - 2 фл.; ФІКСАТОР-ЕОЗИН за МАЙ-ГРЮНВАЛЬДОМ-1000  Фіксатор- еозин метиленовий синій за Май-Грюнвальдом:1*1000мл/2000 проб - 2 фл.; "Буфер на Ексан"- набір для використання буферного розчину на Ексан для кількісноно визначення глюкози у біологічних рідинах (REF HP009.04)  - 10 фл.; Антиген кардіоліпіновий для РМП (10*2 мл) - 5 уп.</t>
  </si>
  <si>
    <t>МЛ 10082017/056</t>
  </si>
  <si>
    <t>МФУ А4 ч/б HP Lazer Jet Pro M130a – 3 в 1 або HP LaserJet Pro MFP M26A (T0L49A))</t>
  </si>
  <si>
    <t>Маски одноразові медичні 3-шарові</t>
  </si>
  <si>
    <t>Маски одноразові медичні з вушними петлями 3-шарові</t>
  </si>
  <si>
    <t>Медичне обладнання (спалювач голок, пакувальна машина, щілинна лампа):Лот № 2 Пакувальна машина для стерилізації</t>
  </si>
  <si>
    <t xml:space="preserve">Медичне обладнання (спалювач голок, пакувальна машина, щілинна лампа):Лот № 3 Щілинна лампа </t>
  </si>
  <si>
    <t>Медичне обладнання (спалювач голок, пакувальна машина, щілинна лампа):Лот №1 Спалювач голок</t>
  </si>
  <si>
    <t>Медичні матеріали</t>
  </si>
  <si>
    <t>Медичні матеріали - за кодом CPV за ДК 021:2015 - 33140000-3 :Рукавички латексні оглядові нестерильні припудрені р.S-1000 пар, р.М - 2000 пар.Рукавички хірургічні стерильні припудрені р.7 - 150 пар, р.8 – 150 пар.</t>
  </si>
  <si>
    <t>Медичні матеріали - за кодом CPV за ДК 021:2015 - 33140000-3 :Рукавички латексні оглядові нестерильні припудрені р.S-2000 пар, р.М - 2500 пар.</t>
  </si>
  <si>
    <t>Медичні матеріали - за кодом CPV за ДК 021:2015 – 33140000-3 :Відріз марлевий медичний нестерильний, 5м*90 см, тип 17 - 30 шт.,                 Бинт марлевий медичний нестерильний розміром 7,0м х 14,0 см тип 17 - 200 шт.,Вата медична гігроскопічна гігієнічна нестерильна "зіг-заг" 100г - 200 шт.,Шприц ін’єкційний стерильний одноразового застосування трикомпонентний об’ємом  2 мл.(0,6*25 мм) - 500 шт. 5 мл.(0,7*38 мм) - 1000 шт. 10 мл. (0,8*38 мм) - 1000 шт.  "Луер",Рукавички латексні оглядові нестерильні припудрені р.S-500 пар, р.М - 1500 пар.</t>
  </si>
  <si>
    <t>Мембрана глюкооксидазна MG-1 до Ексан-ГМ; Скло покрівне 24*24 в уп. 100 шт. ;«Калібратори глюкози» - набір (REF НК009.03) ;"Гемоглобін" - набір (REF HP008.01)(400/800 визнач.); Скаріфікатор-спис; Діагностичний моноклональний регент анти-А  (100 доз/10 мл.); Діагностичний моноклональний регент анти-В  (100 доз/10 мл.); Діагностичний моноклональний реагент анти-D (10 мл-100 доз); Ацетонтест №50; Глюкотест №100; "Буфер на Ексан"-  (REF HP009.04); РНП плазма</t>
  </si>
  <si>
    <t>Мембрана глюкооксидазна MG-1 до аналізатору глюкози Ексан-ГМ; Скло покрівне 24*24 в уп. 100 шт.; «Калібратори глюкози» - набір для використання калібрувальних розчинів глюкози для контролю кількісного визначення глюкози у біологічних рідинах (REF НК009.03); "Гемоглобін" - набір для визначення концентрації гемоглобіну у крові (REF HP008.01)(400/800 визнач.); Скаріфікатор-спис; Моноклональний тест-реагент анти-D (10 мл-100 доз); РНП плазма</t>
  </si>
  <si>
    <t>Мембрана глюкооксидазна до аналізатору Ексан-ГМ; Глюкотест №100;  Глюкоза;  "Гемоглобін" - набір для визначення концентрації гемоглобіну у крові (REF HP 008.01) ( 400/800 визнач.); "Буфер на Ексан"- набір для використання буферного розчину на Ексан для кількісноно визначення глюкози у біологічних рідинах (REF HP009.04)</t>
  </si>
  <si>
    <t>Мембрана глюкооксидазна; Глюкоза; Натрій хлористий; Масло імерсійне; Спринцівка №0; Спринцівка №1; "Гемоглобін"; Фарбник по Романовському 1л.; Фарбник-фіксатор по Май-Грюнвальду 1 л.; "Калібратори глюкози"; Діагностичний моноклональний реагент анти-А;  (100 доз./10 мл.); Діагностичний моноклональний реагент анти-В  (100 доз./10 мл.); Діагностичний моноклональний реагент анти-D  (100 доз./10 мл.);Скаріфікатор-спис</t>
  </si>
  <si>
    <t>Молоко коров’яче питне пастеризоване 2,5%</t>
  </si>
  <si>
    <t>Молоко коров’яче питне пастеризоване 2,5% жирності (поліет.) по 1 л</t>
  </si>
  <si>
    <t>Молоко коров’яче питне пастеризоване 2,5% жирності (поліет.) по 1 л.</t>
  </si>
  <si>
    <t>Моющее средство для стекол 5л., Naki канистра  - 4 кан.; Губка кухонна 10 шт -50 упак.; Средство для чистки унитазов, кафеля, фаянса 5л., - 4 шт.; Санитарный У Мыло хозяйственное белое 125г.,- 40 шт.;  Maestro Пакети для сміття 35 л - 60 шт.; Чистящий порошок 500г., лимон САМА - 40 шт.; Моющее средство для посуды 5л., ECO-LUX - 4 шт.; Перчатки резиновые универсальные без упаковки, (M) - 60 пар.; Полироль для мебели аэрозоль 250мл., Pronto Классик Блеск - 1 шт.;  Моющее средство-шампунь для ковров 500мл., VANISH 7506816 - 1шт.</t>
  </si>
  <si>
    <t>Мої дії</t>
  </si>
  <si>
    <t>НОР-експрес з дозатором, 1000 мл- 15 фл., НОР-експрес з розпилювачем, 1000 мл – 15 фл.</t>
  </si>
  <si>
    <t>НОР-експрес з дозатором, 1000 мл- 20 фл., НОР-експрес з розпилювачем, 1000 мл – 20 фл.</t>
  </si>
  <si>
    <t xml:space="preserve">На даний час відсутня потреба </t>
  </si>
  <si>
    <t xml:space="preserve">Набір білірубін; Аспартатамінотрансфераза (АСТ); Аланінамінотрансфераза (АЛТ); Лужна фосфотаза;Гамма-глютамілтрансфераза  (ГГТ); Сечовина; Креатинін; Сечова кислота;  Хімічний контроль </t>
  </si>
  <si>
    <t>Набір гінекологічний JS №10 - 300 шт.;  Пристрій інфузійний ПР - 200 шт.;  Шприц 2.0 - 500 шт.; Шприц 5.0 - 2000 шт.;  Шприц 10.0 - 500 шт.; Шприц 20.0 - 200 шт.; Рукавички латексні оглядові нестерильні припудрені р. S - 2000 пар; Рукавички латексні оглядові нестерильні припудрені р. М - 3000 пар;  Рукавички хірургічні стерильні припудрені р.7- 250 пар; Рукавички хірургічні стерильні припудрені р.8 - 250 пар.</t>
  </si>
  <si>
    <t>Набір гінекологічний №10 JS</t>
  </si>
  <si>
    <t>Набір гінекологічний №12 JS або еквівалент:Набір медичний гінекологічний стерильний №12 для цитології з ендоцервікальною щіточкою "Jiangsu Suyun" або еквівалент</t>
  </si>
  <si>
    <t xml:space="preserve">Набір медичний гінекологічний стерильний </t>
  </si>
  <si>
    <t>Набір медичний гінекологічний стерильний №10 для цитології з ендоцервікальною щіточкою "Jiangsu Suyun"</t>
  </si>
  <si>
    <t>Набір медичний гінекологічний стерильний №10 для цитології з ендоцервікальною щіточкою "Jiangsu Suyun":</t>
  </si>
  <si>
    <t>Набір медичний гінекологічний стерильний №12 для цитології з ендоцервікальною щіточкою "Jiangsu Suyun" або еквівалент</t>
  </si>
  <si>
    <t>Набір отоларингологічний  ; Хірургічний шовний матеріал №4/0 (1,5) 0,75 м; Рукавички хірургічні,  стерильні, розміри: 8,0; Рукавички оглядові, розмір S; Рукавички оглядові, розмір М; Вата медична, 100 г; Бинт в'язаний медичний нестерильний 5м х 10см; Бинт  марлевий  медичний  нестерильний 7м × 14 см; Бинт  марлевий  медичний  нестерильний     5 м × 10 см ; Відріз марлевий медичний нестерильний 5м х 90 см ; Бинт гіпсовий, 15 х 270 см; Бинт гіпсовий, 20 х 270 см; Шприц ін’єкційний, 2,0 мл  ; Шприц ін’єкційний, 5,0 мл  ; Ланцет (скарифікатор) 200 шт/уп; Респіратор з   FFPЗ марка ЗМ 9332 (або аналог)</t>
  </si>
  <si>
    <t>Назва потенційного переможця (з найменшою ціною)</t>
  </si>
  <si>
    <t>Натрия хлорид амп. 0.9% 5 мл №10, Аспаркам амп. 5мл №10, Корглікон амп.0.06% 1 мл №10, Магния сульфат-Д амп. 25 % 5 мл №10, Фуросемид-Д р-р д/ин амп. 1% 2 мл №10, Каптопрес-Д табл. 12.5 №20, Магникор табл. п/пл об №30 (10*3), Септил плюс спирт 96% 100 мл, Перекись вод. Р-р 3% 100 мл, Лидокаїн-Д амп. 2% 2мл №10</t>
  </si>
  <si>
    <t>Натрия хлорид р-р д/ин 0.9% 200 мл - 400 фл., Лидокаин амп. 20 мг/мл 2 мл №10 -50 уп.</t>
  </si>
  <si>
    <t>Не соответствие технической спецификации</t>
  </si>
  <si>
    <t>Немає лотів</t>
  </si>
  <si>
    <t>Неможливость усунення порушень, що виникли через виявлені порушення законодавства з питань публічних закупівель</t>
  </si>
  <si>
    <t>Нецінові критерії</t>
  </si>
  <si>
    <t>Номер договору</t>
  </si>
  <si>
    <t>Ні</t>
  </si>
  <si>
    <t>ОБОЛЬ ПАВЛО ВОЛОДИМИРОВИЧ</t>
  </si>
  <si>
    <t>ООО "ІМЕД"</t>
  </si>
  <si>
    <t>ООО "ВИДЖИ МЕДИКАЛ"</t>
  </si>
  <si>
    <t>ООО "Дезцентр плюс"</t>
  </si>
  <si>
    <t>ООО "Игар"</t>
  </si>
  <si>
    <t>ООО "ТОРГОВИЙ ДІМ "НЄФТЕК"</t>
  </si>
  <si>
    <t>ООО "Факультет"</t>
  </si>
  <si>
    <t>Одиниця виміру</t>
  </si>
  <si>
    <t>Ольга Володимирівна Разумовська</t>
  </si>
  <si>
    <t>Організатор</t>
  </si>
  <si>
    <t>Організатор закупівлі</t>
  </si>
  <si>
    <t>Основний контакт</t>
  </si>
  <si>
    <t>Офісні меблі</t>
  </si>
  <si>
    <t>Очікувана вартість закупівлі</t>
  </si>
  <si>
    <t>Очікувана вартість лота</t>
  </si>
  <si>
    <t>Очікувана вартість, одиниця</t>
  </si>
  <si>
    <t>ПП "КІФА"</t>
  </si>
  <si>
    <t>ПП "Релакс"</t>
  </si>
  <si>
    <t>ПП «СКАНМЕД»</t>
  </si>
  <si>
    <t>ПП АКБАРС</t>
  </si>
  <si>
    <t>ПП ВЕГА-Д</t>
  </si>
  <si>
    <t>ПП Протон</t>
  </si>
  <si>
    <t>ПРИВАТНЕ ВИРОБНИЧО-КОМЕРЦІЙНЕ ПІДПРИЄМСТВО " ВАЛЛЕНТА "</t>
  </si>
  <si>
    <t>ПРИВАТНЕ ПІДПРИЄМСТВО "МЕДІНФОСЕРВІС"</t>
  </si>
  <si>
    <t>ПРИВАТНЕ ПІДПРИЄМСТВО "ТЕХНОІНФОМЕД-2"</t>
  </si>
  <si>
    <t>ПУБЛІЧНЕ АКЦІОНЕРНЕ ТОВАРИСТВО "УКРТЕЛЕКОМ"</t>
  </si>
  <si>
    <t xml:space="preserve">Пакет для стерилізації самоклеючий 90 ммх260мм (200шт) (НК 024:2019 «Класифікатор медичних виробів»: 13735 Разове опаковання для стерилізації Sterilization packaging, single-use)
; Пакет для стерилізації самоклеючий 135мм x 280мм (200шт) (НК 024:2019 «Класифікатор медичних виробів»: 13735 Разове опаковання для стерилізації Sterilization packaging, single-use); Пакет для стерилізації самоклеючий 305мм x 432мм(200шт) (НК 024:2019 «Класифікатор медичних виробів»: 13735 Разове упакування для стерилізації Sterilization packaging, single-use); Індикатор Стерилан 132/20 ВН (1000шт) (НК 024:2019 «Класифікатор медичних виробів»: 13732 Біологічний індикатор контролювання стерилізаціїBiological sterilization indicato; Індикатор Стерилан 132/20 Н (1000шт) (НК 024:2019 «Класифікатор медичних виробів»: 13732 Біологічний індикатор контролювання стерилізаціїBiological sterilization indicator).
</t>
  </si>
  <si>
    <t>Пакети для сміття 35 л 50 шт.; Губка кухонна 10 шт.; Рукавички господарські розмір М; Рукавички господарські розмір L; Швабра для миття вікон; Швабра дерев’яна; Відро пластикове 10 л</t>
  </si>
  <si>
    <t>Пакети для стерилізації самоклеючі та смуги індикаторні для контролю парової стерилізації</t>
  </si>
  <si>
    <t>Пакети самоклеючі для стерилізації</t>
  </si>
  <si>
    <t>Пакети самоклеючі для стерилізації:Пакети самокліючі для стерилізації</t>
  </si>
  <si>
    <t>Пакувальна машина для стерилізації Seal-320</t>
  </si>
  <si>
    <t>Пакувальна машина для стерилізації Seal-320 (НК 024:2019 «Класифікатор медичних виробів»: 36674 Пристрій для запаювання пакетів Package sealing unit)</t>
  </si>
  <si>
    <t>Папір А4 80г/м2 500арк.; Файл А4+ 40мкм глянцевий 100шт/уп.; Папка-регистратор А4 7,5 см., стандарт; Папка швидкозшивач А4, картон ; Папка на зав’язках А4, картон</t>
  </si>
  <si>
    <t>Папір А4 ; Файл А4; Калькулятор настільний; Степлер 24/6</t>
  </si>
  <si>
    <t>Папір для відеопринтера 110*20 110 S - 10 рул.</t>
  </si>
  <si>
    <t>Парафін медичний, озокерит медичний</t>
  </si>
  <si>
    <t>Перев'язувальні матеріали</t>
  </si>
  <si>
    <t>Перегляд кількісних та якісних характеристик предмету закупівлі через зміну потреби</t>
  </si>
  <si>
    <t>Персональний комп'ютер  у  комплекті</t>
  </si>
  <si>
    <t>Персональний комп'ютер в комплекті</t>
  </si>
  <si>
    <t xml:space="preserve">Персональний комп’ютер  у  комплекті ( системний  блок,  монітор,  клавіатура,  маніпулятор «миша») -  37  шт., багатофункціональний  пристрій ( БФП)  - 3  шт. </t>
  </si>
  <si>
    <t xml:space="preserve">Персональний комп’ютер  у  комплекті ( системний  блок,  монітор,  клавіатура,  маніпулятор «миша») -  44  шт., багатофункціональний  пристрій ( БФП)  - 47  шт. </t>
  </si>
  <si>
    <t xml:space="preserve">Персональний комп’ютер  у  комплекті ( системний  блок,  монітор,  клавіатура,  маніпулятор «миша») -  7  шт., багатофункціональний  пристрій ( БФП)  - 44  шт. </t>
  </si>
  <si>
    <t>Плівка для рентгенографії 30*40 см №100; Плівка для рентгенографії 24*30 см №100; Плівка для рентгенографії 18*24 см №100</t>
  </si>
  <si>
    <t>Плівка радіографічна 30*40 см по 100 арк.; Плівка радіографічна 24*30 см по 100 арк.; Плівка радіографічна 18*24 см по 100 арк.; Плівка радіографічна 13*18 см по 100 арк.; Проявник "ХімРей" для ручної обробки рентгенівської плівки, 3 л (для 15 л розчину) або еквівалент; Фіксаж "ХімРей" для ручної обробки рентгенівської плівки, 3 л (для 15 л розчину) або еквівалент</t>
  </si>
  <si>
    <t xml:space="preserve">Плівка радіографічна 30*40 см по 100 арк.; Плівка радіографічна 24*30 см по 100 арк.; Плівка радіографічна 18*24 см по 100 арк.; Проявник для ручної обробки рентгенівської плівки, 3 л (для 15 л розчину) ; Фіксаж для ручної обробки рентгенівської плівки, 3 л (для 15 л розчину) </t>
  </si>
  <si>
    <t>Плівка радіографічна медична  Зелена  30х40 см по 100 арк.- 4 шт., 24*30 см - 2 шт., 18*24 см - 4шт., 13*18 см - 4 шт.,Проявник для рентгенівської плівки - 4 шт, Фіксаж для рентгенівської плівки - 2 шт.</t>
  </si>
  <si>
    <t>Плівка радіографічна медична  Зелена  30х40 см по 100 арк.- 4 шт., 24*30 см - 6 шт., 18*24 см - 4шт., 13*18 см - 4 шт.,Проявник для рентгенівської плівки - 6 шт, Фіксаж для рентгенівської плівки - 4 шт.</t>
  </si>
  <si>
    <t>Плівка радіографічна медична "Кровлекс-ОРГЗ" Зелена 30х40 см по 100 арк. - 5 шт. - Плівка радіографічна медична "Кровлекс-ОРГЗ" Зелена 24x30cм по 100 арк. - 5 шт. - Плівка радіографічна медична "Кровлекс-ОРГЗ" Зелена 18x24cм по 100 арк. - 5 шт.  Проявник "Кровлекс" для ручної обробки рентгенівської плівки "Кровлекс-П-РОК", 3л (на 15 л розчину) - 6 шт.Фіксаж "Кровлекс" для ручної обробки рентгенівської плівки "Кровлекс-Ф-РОК", 3л (на 15 л розчину) - 5шт</t>
  </si>
  <si>
    <t>Плівка радіографічна медична Зелена 24x30 cм по 100 арк.- 4 шт; Плівка радіографічна медична Зелена 18x24 cм по 100 арк.- 4 шт.; Плівка радіографічна медична Зелена 18x24 cм по 100 арк.	- 4 шт.; Проявник для ручної обробки рентгенівської плівки, 3 л (для 15л розчину) - 8 шт;. Фіксаж для ручної обробки рентгенівської плівки, 3 л (для 15л розчину) - 4 шт.</t>
  </si>
  <si>
    <t>Плівка радіографічна медична Лізоформ Зелена або «еквівалент» 30х40 см по 100 арк. - 14 шт. - Плівка радіографічна медична Лізоформ Зелена або «еквівалент» 24x30cм по 100 арк. - 13шт. - Плівка радіографічна медична Лізоформ Зелена або «еквівалент» 18x24cм по 100 арк. - 7 шт. - Плівка радіографічна медична Лізоформ Зелена або «еквівалент» 13x18cм по 100 арк. - 6 шт. Проявник для ручної обробки рентгенівської плівки 3л на 15 л - 5 шт.Фіксаж для ручної обробки рентгенівської плівки 3л на 15л -7шт</t>
  </si>
  <si>
    <t>Плівка радіографічна медична Лізоформ Зелена або «еквівалент» 30х40 см по 100 арк. - 4 шт. - Плівка радіографічна медична Лізоформ Зелена або «еквівалент» 24x30cм по 100 арк. - 4 шт. - Плівка радіографічна медична Лізоформ Зелена або «еквівалент» 18x24cм по 100 арк. - 4 шт.  Проявник для ручної обробки рентгенівської плівки 3л на 15 л - 5 шт.Фіксаж для ручної обробки рентгенівської плівки 3л на 15л -4 шт</t>
  </si>
  <si>
    <t>Плівка радіографічна медична Лізоформ Зелена або «еквівалент» 30х40 см по 100 арк. - 4 шт. - Плівка радіографічна медична Лізоформ Зелена або «еквівалент» 24x30cм по 100 арк. - 4 шт. - Плівка радіографічна медична Лізоформ Зелена або «еквівалент» 18x24cм по 100 арк. - 4 шт. - Плівка радіографічна медична Лізоформ Зелена або «еквівалент» 13х18 см по 100 арк. - 2 шт. Проявник для ручної обробки рентгенівської плівки 3л на 15 л - 5 шт.Фіксаж для ручної обробки рентгенівської плівки 3л на 15л -2 шт</t>
  </si>
  <si>
    <t>Плівка радіографічна медична Лізоформ Зелена або «еквівалент» 30х40 см по 100 арк.- 4 шт., 24*30 см - 2 шт., 18*24 см - 8 шт.,Проявник "ХімРей"для ручної обробки рентгенівської плівки, 3 л (для 15л розчину)  або "еквівалент"- 4 шт, Фіксаж "ХімРей" для ручної обробки рентгенівської плівки, 3 л (для 15л розчину) або "еквівалент"- 2 шт.</t>
  </si>
  <si>
    <t>Плівка радіографічна медична Лізоформ Зелена або «еквівалент» 30х40 см по 100 арк.- 4 шт., 24*30 см - 4 шт., 18*24 см - 4 шт.,13*18 см - 4 шт.,Проявник "ХімРей"для ручної обробки рентгенівської плівки, 3 л (для 15л розчину)  або "еквівалент"- 10 шт, Фіксаж "ХімРей" для ручної обробки рентгенівської плівки, 3 л (для 15л розчину) або "еквівалент"- 4 шт.</t>
  </si>
  <si>
    <t>Плівка радіографічна, проявник та фіксаж для обробки рентгенівської плівки</t>
  </si>
  <si>
    <t>Посилання на редукціон</t>
  </si>
  <si>
    <t>Послуги з відновлення, оброблення та фарбування кузова автомобіля ВАЗ 21043</t>
  </si>
  <si>
    <t>Послуги з поточного ремонту апарату рентген-діагностичного «Нео-Діагномакс».</t>
  </si>
  <si>
    <t>Послуги з ремонту і технічного обслуговування рентгенологічного обладнання</t>
  </si>
  <si>
    <t xml:space="preserve">Послуги з ремонту і технічного обслуговування стерилізаційного обладнання
</t>
  </si>
  <si>
    <t>Послуги з супроводу програмного забезпечення "Медична статистика"</t>
  </si>
  <si>
    <t>Послуги з технічного обслуговування рентген-діагоностичного обладнання: Апарат рентген.флюорографічний 12Ф9 "Україна", Апарат рентген.флюорографічний 12Ф7Ц, Комплекс рентген.діагностичний РУМ-20, Комплекс рентген.діагностичний РУМ-10, Апарат РФЛГ КРД 50 Індіарс, Апарат рентген.діагностичний Нео-Діагномакс.</t>
  </si>
  <si>
    <t xml:space="preserve">Послуги провайдерів (доступ до мережі інтернет) </t>
  </si>
  <si>
    <t xml:space="preserve">Поточний ремонт Поточний ремонт приладу ультразвукового ULTIMA PRO-10  (принтер лазерний -1 шт., рідко-крісталічний монітор - 1 шт., джойстик до приладу - 1 шт., </t>
  </si>
  <si>
    <t>Поточний ремонт Стерилізатор паровий ГК-100-3 та Термоста ТС-80</t>
  </si>
  <si>
    <t>Поточний ремонт апарату Електрокардіограф "Юкард-100" та апарату Діагностичного комплексу "Сфера-4"</t>
  </si>
  <si>
    <t>Поточний ремонт апарату РФЛГ КРД 50 "індіарс", комплексу рентген-діагностичного "Нео-Діагномакс", апарату флюорографічного 12Ф7Ц.</t>
  </si>
  <si>
    <t>Поточний ремонт апарату Ранет ДМВ 20-1 та апарату Ампліпульс 5</t>
  </si>
  <si>
    <t>Поточний ремонт апарату флюорографічного з ЦОЗ 12Ф9</t>
  </si>
  <si>
    <t>Поточний ремонт з заміною вікон</t>
  </si>
  <si>
    <t>Поточний ремонт по заміні вікон та дверей</t>
  </si>
  <si>
    <t xml:space="preserve">Поточний ремонт по заміні вікон та дверей
</t>
  </si>
  <si>
    <t>ПрАТ Реагент</t>
  </si>
  <si>
    <t>Предмет закупівлі</t>
  </si>
  <si>
    <t>Презервативи для УЗД№100</t>
  </si>
  <si>
    <t>Прийом пропозицій до:</t>
  </si>
  <si>
    <t>Прийом пропозицій з</t>
  </si>
  <si>
    <t>Причина скасування закупівлі</t>
  </si>
  <si>
    <t>Пробірка вакуумна, 4 мл, ЕДТА К3 лавандова 13х75мм ПЕТ(або еквівалент)</t>
  </si>
  <si>
    <t>Пробірка вакуумна, 6 мл, без наповнювача Червона 13х100мм ПЕТ(або еквівалент)</t>
  </si>
  <si>
    <t>Пробірки для капілярного та венозного забору крові:Лот № 1 PED-EDK02L Пробірка для капілярної крові D-VAC з ЕДТА (К3) без капіляра 0,25 мл ПП(або еквівалент)</t>
  </si>
  <si>
    <t>Пробірки для капілярного та венозного забору крові:Лот № 2 Пробірка вакуумна, 6 мл, без наповнювача Червона 13х100мм ПЕТ(або еквівалент)</t>
  </si>
  <si>
    <t>Пробірки для капілярного та венозного забору крові:Лот № 3 Пробірка вакуумна, 4 мл, ЕДТА К3 лавандова 13х75мм ПЕТ(або еквівалент)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</si>
  <si>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</si>
  <si>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</si>
  <si>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Проявник для рентгенівської плівки,  Фіксаж для рентгенівської плівки, Рентгенівська плівка</t>
  </si>
  <si>
    <t xml:space="preserve">Проявник для рентгенівської плівки,  Фіксаж для рентгенівської плівки, Рентгенівська плівка,Флюорографічна плівка </t>
  </si>
  <si>
    <t>РенаУпластин. Тромбопластин (з головного мозку кролика) для визначення протромбінового часу. 8 мл № 10. (ПГ-5/1); 400-800 визначень - 1 набір ; Фібриноген-тест-У (ПГ-10/1); 160-320 визначень - 1 набір; Тромбін-реагент-У (ПГ-9А); 200-600 визначень - 1 набір</t>
  </si>
  <si>
    <t xml:space="preserve">РенаУпластин. Тромбопластин ; Тромбін-реагент-У ; АЧТВ-тест ; Фібриноген-тест-У </t>
  </si>
  <si>
    <t>РенаУпластин.Тромбопластин (з головного мозку кролика) для визначення протромбінового часу  8 мл № 10. Набори реагентів для визначення параметрів гемостазу людини "РенаУ" - 2 набори;Тромбін –реагент-У - 1 набір.</t>
  </si>
  <si>
    <t>РенаУпластин.Тромбопластин 8 мл (REF ПГ-5) Фібриноген-тест-У (ПГ10/1)</t>
  </si>
  <si>
    <t>РенаУпластин.Тромбопластин 8 мл (REF ПГ-5); АЧТВ-тест 100-200 визначень; Фібриноген-тест-У; Тромбін-реагент-У на 200-600 визначень</t>
  </si>
  <si>
    <t>РенаУпластин.Тромбопластин 8 мл № 10 (ПГ-5/1), 400-800 визначень; АЧТВ-тест 100-200 визначень; Фібриноген-тест-У; Тромбін-реагент-У на 200-600 визначень</t>
  </si>
  <si>
    <t>РенаУпластин; Фібриноген-тест-У; Плазма контрольна; Тромбін-реагент-У</t>
  </si>
  <si>
    <t>Респіратори типу РУ 60М з комплектом фільтрів</t>
  </si>
  <si>
    <t xml:space="preserve">Розетка з заземленням одинарна внутрішня Viko; Розетка з заземленням подвійна внутрішня Viko; Розетка з заземленням четверна зовнішня </t>
  </si>
  <si>
    <t>Рукавички  латексні оглядові нестерильні припудрені р. S -2500 пар;Рукавички  латексні оглядові нестерильні припудрені р. М - 2500 пар; Рукавички хірургічні стерильні припудрені р. 7 - 250 пар;Рукавички хірургічні стерильні припудрені р.8 - 250 пар; Вата медична гігроскопічна гігієнічна нестерильна "зіг-заг" 100г - 100 шт.; Марлевий відріз медичний нестерильний 500 см*90 см - 40 шт.; Бинт марлевий медичний нестерильний розміром 5,0м х 10,0 см тип - 300 шт.;17 Бинт марлевий медичний нестерильний розміром 7,0м х 14,0 см тип 17 - 400 шт.;Шприц ін'єкційний одноразового застосування  2,0 мл. 3-х компонентний з голкою 0,7*38 мм - 500 шт.; Шприц ін'єкційний одноразового застосування  5,0 мл. 3-х компонентний з голкою 0,7*38 мм - 1000 шт.;Шприц ін'єкційний одноразового застосування  10,0 мл. 3-х компонентний з голкою 0,8*38 мм - 500 шт.</t>
  </si>
  <si>
    <t>Рукавички  латексні оглядові нестерильні припудрені р. М – 3000 пар, Септил 70%, 100 мл – 200 фл., Перекис водню 3%, 100 мл – 20 фл., Корглікон 0.6 мг/мл 1 мл №10 – 5 упак.</t>
  </si>
  <si>
    <t>Рукавички латексні оглядові нестерильні припудрені р.S-1000 пар, р.М - 2000 пар. Рукавички хірургічні стерильні припудрені р.7 - 150 пар, р.8 – 150 пар.</t>
  </si>
  <si>
    <t>Рукавички латексні оглядові нестерильні припудрені р.S-2000 пар, р.М - 2500 пар пар. Рукавички хірургічні стерильні припудрені р.7 - 150 пар, р.8 – 150 пар.</t>
  </si>
  <si>
    <t>Рукавички оглядові латексні нестерильні без пудри Medicare, розмір S,М (або еквівалент)</t>
  </si>
  <si>
    <t>Рукавички оглядові латексні нестерильні припудрені</t>
  </si>
  <si>
    <t xml:space="preserve">Рукавички оглядові латексні нестерильні припудрені Medicare, розмір S,М </t>
  </si>
  <si>
    <t>Рукавички оглядові латексні нестерильні припудрені Medicare, розмір S,М ; Рукавички хірургічні стерильні, розмір 7,8</t>
  </si>
  <si>
    <t>Рукавички оглядові латексні нестерильні припудрені:1) Рукавички оглядові латексні нестерильні припудрені Medicare або еквівалент, розмір S - 1800пар  2) Рукавички оглядові латексні нестерильні припудрені Medicare або еквівалент, розмір М - 2500 пар</t>
  </si>
  <si>
    <t>Рукавички оглядові н/с, припудрені, латексні Medicare -6000 пар.</t>
  </si>
  <si>
    <t xml:space="preserve">Рукавички оглядові н/с, припудрені, латексні Medicare або еквівалент,  Рукавички хірургічні стерильні латексні припудрені </t>
  </si>
  <si>
    <t>Рукавички оглядові н/с, припудрені, латексні Medicare розмір S -2000, розмір М - 4000 пар. або еквівалент:Рукавички оглядові н/с, припудрені, латексні Medicare розмір S -2000, розмір М - 4000 пар. або еквівалент</t>
  </si>
  <si>
    <t>Рукавички оглядові н/с, припудрені, латексні p.S Medicare-2000 пар, Рукавички оглядові н/с, припудрені, латексні p.M Medicare -4000 пар,</t>
  </si>
  <si>
    <t>Рукавички оглядові нестерильні латексні Medicare</t>
  </si>
  <si>
    <t>Рукавички оглядові розмір M; Рукавички хірургічні,  розмір 7,0; Рукавички хірургічні,  розмір 8,0</t>
  </si>
  <si>
    <t xml:space="preserve">Самогерметизуючий  пакет   90мм х 230мм; Самогерметизуючий  пакет  140x250 мм   </t>
  </si>
  <si>
    <t>Світильники світлодіодні 36 Вт</t>
  </si>
  <si>
    <t>Світлана Вікторівна Цемкалова</t>
  </si>
  <si>
    <t>Світлана Цемкалова</t>
  </si>
  <si>
    <t>Септил</t>
  </si>
  <si>
    <t>Септил 70 %</t>
  </si>
  <si>
    <t>Септил 70 %, 100 мл.</t>
  </si>
  <si>
    <t>Септил 70 %, 100 мл.- 400 флак.,:Септил 70 %, 100 мл.</t>
  </si>
  <si>
    <t>Септил 70 %, 100 мл.- 400 флак.,Вата медична нестерильна 100 г Зіг-Заг «Белоснежка»-200 шт., Бинт марлевий мед. н/ст. 5*10 "Белоснежка" тип 17 -200 шт.,Бинт марлевий мед. н/ст. 7*14 "Белоснежка"тип 17 -200 шт.,Одноразова система для переливання інфузійних розчинів (Luer Slip Medicare) Домогага-1 -100 шт., Шприци ін’єкційні одноразового використання луєр сліп Medicare, «Допомога-1» -3000 шт.,Рукавички оглядові н/с, припудрені, латексні Medicare -6000 пар.</t>
  </si>
  <si>
    <t>Септил 70 %, 100 мл.- 400 флак.,Вата медична нестерильна 100 г Зіг-Заг «Белоснежка»-200 шт., Бинт марлевий мед. н/ст. 5*10 "Белоснежка" тип 17 -200 шт.,Бинт марлевий мед. н/ст. 7*14 "Белоснежка"тип 17 -200 шт.,Одноразова система для переливання інфузійних розчинів (Luer Slip Medicare) Домогага-1 -100 шт., Шприци ін’єкційні одноразового використання луєр сліп Medicare, «Допомога-1» -3000 шт.,Рукавички оглядові н/с, припудрені, латексні Medicare -6000 пар.:Вата мед. н/стер. 100 г Зіг-заг "Белоснежка", Бинт марлевий мед. н/ст. 5*10 "Белоснежка", Бинт марлевий мед. н/ст. 7*14 "Белоснежка", Одноразова система  (Luer Slip Medicare, Допомога-1),Шприци ін’єкційні одноразового використання.</t>
  </si>
  <si>
    <t>Септил 70 %, 100 мл.- 400 флак.,Вата медична нестерильна 100 г Зіг-Заг «Белоснежка»-200 шт., Бинт марлевий мед. н/ст. 5*10 "Белоснежка" тип 17 -200 шт.,Бинт марлевий мед. н/ст. 7*14 "Белоснежка"тип 17 -200 шт.,Одноразова система для переливання інфузійних розчинів (Luer Slip Medicare) Домогага-1 -100 шт., Шприци ін’єкційні одноразового використання луєр сліп Medicare, «Допомога-1» -3000 шт.,Рукавички оглядові н/с, припудрені, латексні Medicare -6000 пар.:Рукавички оглядові н/с</t>
  </si>
  <si>
    <t>Септил 70 %, 100 мл.- 400 флак.,Вата медична нестерильна 100 г Зіг-Заг «Белоснежка»-200 шт., Бинт марлевий мед. н/ст. 5*10 "Белоснежка" тип 17 -200 шт.,Бинт марлевий мед. н/ст. 7*14 "Белоснежка"тип 17 -200 шт.,Одноразова система для переливання інфузійних розчинів (Luer Slip Medicare) Домогага-1 -100 шт., Шприци ін’єкційні одноразового використання луєр сліп Medicare, «Допомога-1» -3000 шт.,Рукавички оглядові н/с, припудрені, латексні Medicare -6000 пар.:Септил 70 %, 100 мл.</t>
  </si>
  <si>
    <t>Септил 70 %, 100 мл.- 400 флак.,Вата медична нестерильна 100 г Зіг-Заг «Белоснежка»-200 шт., Бинт марлевий мед. н/ст. 5*10 "Белоснежка" тип 17 -200 шт.,Бинт марлевий мед. н/ст. 7*14 "Белоснежка"тип 17 -200 шт.,Одноразова система для переливання інфузійних розчинів (Luer Slip Medicare) Домогага-1 -100 шт., Шприци ін’єкційні одноразового використання луєр сліп Medicare, «Допомога-1» -3000 шт.,Рукавички оглядові н/с, припудрені, латексні Medicare -6000 пар.:Септил 70 %, 100 мл.,Вата медична нестерильна 100 г Зіг-Заг «Белоснежка», Бинт марлевий мед. н/ст. 5*10,  7*14, Одноразова система для переливання інфузійних розчинів, Шприци ін’єкційні ,Рукавички оглядові н/с, припудрені, латексні Medicare</t>
  </si>
  <si>
    <t>Септил 70%</t>
  </si>
  <si>
    <t>Септил 70% 100 мл,  Лідокаїн-Д амп. 2% 2мл №10</t>
  </si>
  <si>
    <t>Септил 70% 100 мл. – 300 флаконів; Лідокаїн 2% 2 мл №10 - 50 уп.</t>
  </si>
  <si>
    <t>Септил 70% 100 мл. – 300 флаконів; Септил плюс 96%, 100 мл - 50 фл.)</t>
  </si>
  <si>
    <t>Септил 70%, 100 мл – 200 фл., Перекис водню 3%, 100 мл – 20 фл., Корглікон 0.6 мг/мл 1 мл №10 – 5 упак.</t>
  </si>
  <si>
    <t xml:space="preserve">Септил 70%, 100 мл – 300 фл., </t>
  </si>
  <si>
    <t>Септил 70%,100 мл - 200 фл.;       Септил 96%,100 мл - 40 фл.</t>
  </si>
  <si>
    <t>Септил 70%:Септил 70%</t>
  </si>
  <si>
    <t>Септил 96%; Натрію хлорид 0,9%, 200 мл; Натрію хлорид 0,9%, 10 мл; Лідокаїн 2%, 2 мл, №10; Перекис водню 3%, 100 мл; Каптропрес 12,5 мг, №20; Клопідогрель 75 мг, №30; Метопролол 50 мг №30; Септил 70%</t>
  </si>
  <si>
    <t>Системи реєстрації медичної інформації та дослідне обладнання (Електрокардіограф)</t>
  </si>
  <si>
    <t>Смужки діагностичні типу UrineRS, модель Н-10</t>
  </si>
  <si>
    <t>Смужки діагностичні типу UrineRS, модель Н-10 - 10 уп.;Кювети реакційні - 1 набір;Кулі для фіксації часу утворення згустку - 1 набір.</t>
  </si>
  <si>
    <t>Смужки діагностичні типу UrineRS, модель Н-10 для апарату CL -50 (виробництво США, система закрита, будь – які інші не підходять) – 10 упаковок;  Набір глікірованний гемоглобін – 1 набір</t>
  </si>
  <si>
    <t>Спалювач голок та деструктор шприців</t>
  </si>
  <si>
    <t xml:space="preserve">Спалювач голок та деструктор шприців Nulife DOTS </t>
  </si>
  <si>
    <t>Спалювач голок та деструктор шприців Nulife DOTS (НК 024:2019 «Класифікатор медичних виробів»: 35386 Знищувач колючо-ріжучих медичних відходів  Sharps crusher)</t>
  </si>
  <si>
    <t>Список державних закупівель</t>
  </si>
  <si>
    <t>Спідниця рентгенозахисна, Рукавиці рентгенозахисні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</si>
  <si>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</si>
  <si>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</si>
  <si>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</si>
  <si>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</si>
  <si>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</si>
  <si>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</si>
  <si>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</si>
  <si>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Супровід програмного забезпечення «5С Бюджет»</t>
  </si>
  <si>
    <t>ТОВ "ЄВРОПЛАСТ ЛТД"</t>
  </si>
  <si>
    <t>ТОВ "ІМЕД"</t>
  </si>
  <si>
    <t>ТОВ "АВЕРС КАНЦЕЛЯРІЯ"</t>
  </si>
  <si>
    <t>ТОВ "АКТА ФАРМ ГРУП"</t>
  </si>
  <si>
    <t>ТОВ "БІОНІК"</t>
  </si>
  <si>
    <t>ТОВ "БАДМ-Б"</t>
  </si>
  <si>
    <t>ТОВ "ВІДЖИ МЕДІКАЛ"</t>
  </si>
  <si>
    <t>ТОВ "ВІК-ХХІ ВІК"</t>
  </si>
  <si>
    <t>ТОВ "ВІНТЕРА-ВІКНА"</t>
  </si>
  <si>
    <t>ТОВ "ВИДЖИ МЕДИКАЛ"</t>
  </si>
  <si>
    <t>ТОВ "Валанж-Фарм"</t>
  </si>
  <si>
    <t>ТОВ "Вотан Україна"</t>
  </si>
  <si>
    <t>ТОВ "ДНІПРО ОІЛ ТРЕЙД"</t>
  </si>
  <si>
    <t>ТОВ "Дезцентр плюс"</t>
  </si>
  <si>
    <t>ТОВ "ЕВРОФАРМ ГРУП"</t>
  </si>
  <si>
    <t>ТОВ "ЕКВІПМЕД"</t>
  </si>
  <si>
    <t>ТОВ "КОМПАКОМ-2000"</t>
  </si>
  <si>
    <t>ТОВ "КРОВЛЕКС ПЛЮС"</t>
  </si>
  <si>
    <t>ТОВ "ЛІВАЙН ТОРГ"</t>
  </si>
  <si>
    <t>ТОВ "ЛЕДУМ"</t>
  </si>
  <si>
    <t>ТОВ "НЄФТЕК СІТІ ОІЛ"</t>
  </si>
  <si>
    <t>ТОВ "НТР"</t>
  </si>
  <si>
    <t>ТОВ "ОЛФАРММЕД"</t>
  </si>
  <si>
    <t>ТОВ "ПОІСК-НІКА"</t>
  </si>
  <si>
    <t>ТОВ "ПРИДНІПРОВСЬКИЙ РАДІОЛОГІЧНИЙ ЦЕНТР"</t>
  </si>
  <si>
    <t>ТОВ "СЕРВІС ПРОТЕКШН СІСТЕМС"</t>
  </si>
  <si>
    <t>ТОВ "СМС - УК"</t>
  </si>
  <si>
    <t>ТОВ "СМС-УК"</t>
  </si>
  <si>
    <t>ТОВ "ТЕТАФАРМ"</t>
  </si>
  <si>
    <t>ТОВ "ТОРГЕКСПЕРТ-СЕРВIС"</t>
  </si>
  <si>
    <t>ТОВ "ТОРГОВИЙ ДІМ "НЄФТЕК"</t>
  </si>
  <si>
    <t>ТОВ "ТУШИБО"</t>
  </si>
  <si>
    <t>ТОВ "УКРМЕДТЕХНІКА"</t>
  </si>
  <si>
    <t>ТОВ "ФАРТУНАТ"</t>
  </si>
  <si>
    <t>ТОВ "Факультет"</t>
  </si>
  <si>
    <t>ТОВ "Фірма "Технокомплекс"</t>
  </si>
  <si>
    <t>ТОВ «ІТ-ІНТЕГРАТОР»</t>
  </si>
  <si>
    <t>ТОВ Інтермедика-Україна</t>
  </si>
  <si>
    <t>ТОВ Аметрін ФК</t>
  </si>
  <si>
    <t>ТОВ БИО-ТЕХНОЛОГИИ</t>
  </si>
  <si>
    <t>ТОВ Бадм-Б</t>
  </si>
  <si>
    <t>ТОВ ВІДЖИ МЕДІКАЛ</t>
  </si>
  <si>
    <t>ТОВ ВВ-Профіт</t>
  </si>
  <si>
    <t>ТОВ ВИРОБНИЧА ФІРМА "СЕРВІС"</t>
  </si>
  <si>
    <t>ТОВ Західмедінвест</t>
  </si>
  <si>
    <t>ТОВ Медтехніка-Центр 1</t>
  </si>
  <si>
    <t>ТОВ НВП Філісіт-Діагностика</t>
  </si>
  <si>
    <t>ТОВ ОЛТА</t>
  </si>
  <si>
    <t>ТОВ ООО "Виджи Медикал"</t>
  </si>
  <si>
    <t>ТОВ Окіра</t>
  </si>
  <si>
    <t>ТОВ Промінтермед</t>
  </si>
  <si>
    <t>ТОВ ТОВ "ЕВРОФАРМ ГРУП"</t>
  </si>
  <si>
    <t>ТОВ ТОВ НВП Філісіт-Діагностика</t>
  </si>
  <si>
    <t>ТОВ Укрмедтехніка</t>
  </si>
  <si>
    <t>ТОВ ФАРМА МЕД СУМИ</t>
  </si>
  <si>
    <t>ТОВАРИСТВО З ОБМЕЖЕНОЮ ВІДПОВІДАЛЬНІСТЮ "ІНТЕЛЛА"</t>
  </si>
  <si>
    <t>ТОВАРИСТВО З ОБМЕЖЕНОЮ ВІДПОВІДАЛЬНІСТЮ "ЛАДА"</t>
  </si>
  <si>
    <t>ТОВАРИСТВО З ОБМЕЖЕНОЮ ВІДПОВІДАЛЬНІСТЮ "МЕТРОКОМ"</t>
  </si>
  <si>
    <t>ТОВАРИСТВО З ОБМЕЖЕНОЮ ВІДПОВІДАЛЬНІСТЮ "ТОРГОВИЙ ДІМ" АВІАС"</t>
  </si>
  <si>
    <t>ТОВАРИСТВО З ОБМЕЖЕНОЮ ВІДПОВІДАЛЬНІСТЮ "ХІМЛАБОРРЕАКТИВ"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</si>
  <si>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</si>
  <si>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ВИРОБНИЧА ФІРМА "СЕРВІС"</t>
  </si>
  <si>
    <t>Так</t>
  </si>
  <si>
    <t>Термометр скляний  ТС-7-М1 вик. 6 для холодильників в оправі, Гигрометр психрометрический ВИТ-2</t>
  </si>
  <si>
    <t>Термопапір для відеопринтера 110*20 110S ; Кардіопапір 80*30; Кардіопапір 80*20; Папір для енцефалографа 250*300*500 (теплова); Термопапір для аналізатора глюкози</t>
  </si>
  <si>
    <t>Тест-смужки для загального аналізу сечі; Смужки індикаторні Ацетонтест №50</t>
  </si>
  <si>
    <t>Тестування програмного забезпечення, послуги з підтримки користувачів комп’ютерної програми  «Єдина інформаційна система управління бюджетом» для місцевого бюджету</t>
  </si>
  <si>
    <t>Тетяна Анатоліївна Величко</t>
  </si>
  <si>
    <t>Тетяна Юріївна Крошевич</t>
  </si>
  <si>
    <t xml:space="preserve">Технічна помилка </t>
  </si>
  <si>
    <t>ТзОВ"Компанія"ВІП-ОЙЛ"</t>
  </si>
  <si>
    <t>Тип процедури</t>
  </si>
  <si>
    <t>Товариство з обмеженою відповідальністю "ВІК-ХХІ ВІК"</t>
  </si>
  <si>
    <t>Товариство з обмеженою відповідальністю "Емансіс Інтернешинел"</t>
  </si>
  <si>
    <t>Товариство з обмеженою відповідальністю "Крайт"</t>
  </si>
  <si>
    <t>Товариство з обмеженою відповідальністю "Лізоформ Медікал"</t>
  </si>
  <si>
    <t>Торги скасовано у зв'язку з необхідністью внести корективи у технічне завдання</t>
  </si>
  <si>
    <t>Тромбопластин- 2 фл.; Глюкотест №100-5 уп.; Ацетонтест №50-5 уп.; Натрій хлористий-0,2 кг; Азотна кислота-1 л; "Буфер на Ексан"- набір для використання буферного розчину на Ексан для кількісноно визначення глюкози у біологічних рідинах (REF HP009.04)-20 фл; Мембрана глюкооксидазна MG-1 до аналізатору глюкози Ексан-ГМ- 2 шт.; РНП плазма - 1 уп.; Діагностичний моноклональний регент анти-А  (100 доз/10 мл.)-5 фл.; Діагностичний моноклональний регент анти-В  (100 доз/10 мл.)- 5 фл.; Діагностичний моноклональний реагент анти-D (100 доз/10 мл.) - 5 фл.; Калібратори гемоглобіну - 1 набір; Калібратори глюкози 10 ммоль- 10 апм.</t>
  </si>
  <si>
    <t>Тромбопластин; "Буфер на Ексан"- набір для використання буферного розчину на Ексан для кількісноно визначення глюкози у біологічних рідинах (REF HP009.04); Антиген кардіоліпіновий для РМП (10*2 мл); Оцтова кислота, л; Масло імерсійне 100 мл; "а-Амілаза" - набір для визначення активності альфа-амілази у біологічних рідинах (REF HP003.01); Скло предметне 25*76*1 з полем для запису 7105 в уп. 50 шт; Респиратор FFP3</t>
  </si>
  <si>
    <t>У зв'язку з вимогами</t>
  </si>
  <si>
    <t>Узагальнена назва закупівлі</t>
  </si>
  <si>
    <t>Укладення договору до:</t>
  </si>
  <si>
    <t>Укладення договору з:</t>
  </si>
  <si>
    <t>Установка програмного забезпечення та право на подальше використання комп'ютерної програми та бази даних "Облік медичних кадрів України"</t>
  </si>
  <si>
    <t>ФІЗИЧНА ОСОБА-ПІДПРИЄМЕЦЬ БЕНЦА ТЕТЯНА ВОЛОДИМИРІВНА</t>
  </si>
  <si>
    <t>ФІЗИЧНА ОСОБА-ПІДПРИЄМЕЦЬ КОМЕНДАРОВА ОЛЕСЯ ВАЛЕРІЇВНА</t>
  </si>
  <si>
    <t>ФІЗИЧНА ОСОБА-ПІДПРИЄМЕЦЬ ТЕРЕЩЕНКО НАТАЛІЯ ВОЛОДИМИРІВНА</t>
  </si>
  <si>
    <t>ФОП "БОРОДІН ВАДИМ ІГОРОВИЧ
"</t>
  </si>
  <si>
    <t>ФОП "ГРИЩЕНКО РОМАН ЄВГЕНОВИЧ"</t>
  </si>
  <si>
    <t>ФОП "ЗУБ ОЛЬГА ОЛЕГІВНА"</t>
  </si>
  <si>
    <t>ФОП "КОБЯКОВ АНТОН МИКОЛАЙОВИЧ"</t>
  </si>
  <si>
    <t>ФОП "КОВАЛЕНКО ОЛЬГА АНАТОЛІЇВНА"</t>
  </si>
  <si>
    <t>ФОП "КУПІН СЕРГІЙ ПИЛИПОВИЧ"</t>
  </si>
  <si>
    <t>ФОП "Кулик Юлія Анатоліївна"</t>
  </si>
  <si>
    <t>ФОП "МАЛЬЧЕНКО СВІТЛАНА ГРИГОРІВНА"</t>
  </si>
  <si>
    <t>ФОП "Неліпа Майя Володимирівна"</t>
  </si>
  <si>
    <t>ФОП "ПРОКОПЕНКО ВАСИЛЬ ВАСИЛЬОВИЧ"</t>
  </si>
  <si>
    <t>ФОП "РАЙЧУК ОЛЕКСАНДР ПЕТРОВИЧ"</t>
  </si>
  <si>
    <t>ФОП "РЕПАЛО ЮРІЙ МИКОЛАЙОВИЧ"</t>
  </si>
  <si>
    <t>ФОП "СТУПНИК ВАЛЕНТИНА ВІКТОРІВНА
"</t>
  </si>
  <si>
    <t>ФОП "Старий Олексiй Дмитрович"</t>
  </si>
  <si>
    <t>ФОП "ШИЯН МАКСИМ ПАВЛОВИЧ"</t>
  </si>
  <si>
    <t>ФОП "Шиян Павло Вікторович"</t>
  </si>
  <si>
    <t>ФОП Андрющенко Денис Сергійович</t>
  </si>
  <si>
    <t>ФОП Борчук Р. Г.</t>
  </si>
  <si>
    <t>ФОП Борщова Наталія Володимирівна</t>
  </si>
  <si>
    <t>ФОП Гребенюк  Тетяна Іванівна</t>
  </si>
  <si>
    <t>ФОП Гуменюк В.М.</t>
  </si>
  <si>
    <t>ФОП ЗАГОРУЛЬКО ІГОР ВАЛЕРІЙОВИЧ</t>
  </si>
  <si>
    <t>ФОП КОЛОДЕЗНА АНАСТАСІЯ МИКОЛАЇВНА</t>
  </si>
  <si>
    <t>ФОП Коломієць Алла Миколаївна</t>
  </si>
  <si>
    <t>ФОП Кондарєв Олександр Анатолійович</t>
  </si>
  <si>
    <t>ФОП Курачевський П.О.</t>
  </si>
  <si>
    <t>ФОП ЛУПИКОВ ВЛАДИСЛАВ СЕРГІЙОВИЧ</t>
  </si>
  <si>
    <t>ФОП Лашко Тетяна Вікторівна</t>
  </si>
  <si>
    <t>ФОП Макаренко Геннадій Борисович</t>
  </si>
  <si>
    <t>ФОП Макаренко Лариса Олексіївна</t>
  </si>
  <si>
    <t>ФОП Мушинський Владислав Віталійович</t>
  </si>
  <si>
    <t>ФОП Сльозко Єлізавета Сергіївна</t>
  </si>
  <si>
    <t>ФОП Стахов Кирило Євгенович</t>
  </si>
  <si>
    <t>ФОП Ткаченко С.В.</t>
  </si>
  <si>
    <t>ФОП Фоміних Ігор Миколайович</t>
  </si>
  <si>
    <t>ФОП Хоменко Сергій Олександрович</t>
  </si>
  <si>
    <t>ФОП Чернишова Галина Іванівна</t>
  </si>
  <si>
    <t>ФОП ШИЯН ГАЛИНА ГРИГОРІВНА</t>
  </si>
  <si>
    <t>ФОП ШИЯН СЕРГІЙ ПАВЛОВИЧ</t>
  </si>
  <si>
    <t>ФОП Шатохін Денис Володимирович</t>
  </si>
  <si>
    <t>ФОП Шлюпенков Олександр Анатолійович</t>
  </si>
  <si>
    <t>ФОП Щеглова Лілія Валеріївна</t>
  </si>
  <si>
    <t>Фактичний переможець</t>
  </si>
  <si>
    <t>Фарба по Романовському 1л. - 1 фл.; Фарба-фіксатор по Май-Грюнвальду, 1л - 1 фл.; Ацетонтест №50 - 2 уп.;"Буфер на Ексан"- набір для використання буферного розчину на Ексан для кількісноно визначення глюкози у біологічних рідинах (REF HP009.04) - 30фл.; "Гемоглобін" - набір для визначення концентрації гемоглобіну у крові (REF HP008.01)(400/800 визнач.) - 5 уп.; Калібратори глюкози 10 ммоль - 5 амп.; Калій фосфорнокислий 2-х заміщений - 0,2 кг; Крохмаль розчинний - 0,2 кг; Масло імерсійне- 2фл.; Мембрана глюкооксидазна MG-1 до аналізатору глюкози Ексан-ГМ - 2 шт.;Натрій фосфорнокислий 2-х заміщений-0,2 кг; Азопірамова проба 6000 проб - 1 уп.; Натрій хлористий- 2 кг; Натрій лимоннокислий 3-заміщений 2- водн., - 0,2кг; Сульфацилова кислота- 1 кг; Скаріфікатор-спис-3000 шт</t>
  </si>
  <si>
    <t>Фарбник по Романовському 1л.; Фарбник-фіксатор по Май-Грюнвальду,1 л; Антиген кардіоліпіновий для РМП; Ацетонтест №50; "Буфер на Ексан"; Масло імерсійне; Скаріфікатор-спис; Моноклональний тест-реагент анти-А; Моноклональний тест-реагент анти-В ; Моноклональний тест-реагент анти-D; Мембрана глюкооксидазна MG-1 ; Хлористий натрій; Тимолова проба</t>
  </si>
  <si>
    <t>Фармацевтична продукція</t>
  </si>
  <si>
    <t>Фармацевтична продукція:Лідокаїну Гідрохлорид. Розчин для ін'єкцій, 20 мг/мл по 2 мл в амп. №10 - 150 уп.;Глюкоза 5%, 200 мл - 3 фл.;Дексаметазона фосфат амп. 0.4 % 1 мл №5 - 2 уп.;Магнію сульфат 25% 5.0 амп. №10 - 8 уп. ;Тавегил 2 мл, №5 - 1 уп.;Перекис водню 3 % 100 мл - 60 фл.;Коргликон 0.06 % 1.0 №10 - 5 уп.;Аспаркам 5 мл амп. №10 - 5 уп.;Супрастин 1 мл, №5 - 1 уп.;Натрия хлорид амп. 0.9% 5 мл №10-20уп.</t>
  </si>
  <si>
    <t>Флакон</t>
  </si>
  <si>
    <t>Фібриноген-тест-У (ПГ-10/1) 160-320 визначень – 1 набір; РенаУпластин. Тромбопластин (з головного мозку кролика) для визначенняпротромбінового часу. 8 мл № 10.(ПГ-5/1);400-800 визначень – 1 набір.</t>
  </si>
  <si>
    <t xml:space="preserve">Філісіт-СРБ-латекс ЛА 033.02; Філіст - РФ-Латекс ЛА 033.03; Філісіт-АСЛ-О-латекс ЛА 033.01;  Холестерин - Ф НР026.02 ;  Фарба по Романовському 1л.; Фарба-фіксатор по Май-Грюнвальду 1л; Масло імерсійне; Ацетонтест №50; Натрій хлористий; Натрій лимоннокислий 3-заміщений 2- водн., кг; "Тимолова проба"-набір (REF HP 021.01)(225/450/900 визнач.); Діагностичний моноклональний регент анти-А ; Діагностичний моноклональний регент анти-В ; Діагностичний моноклональний регент анти-Д </t>
  </si>
  <si>
    <t>ШИЯН ГАЛИНА ГРИГОРІВНА</t>
  </si>
  <si>
    <t>Шприц ін'єкційний одноразового застосування  2,0 мл 3-х компонентний з голкою 0,6*32 мм 	1300 шт.	
Шприц ін'єкційний одноразового застосування  5,0 мл. 3-х компонентний з голкою 0,7*38 мм	1500 шт.	
Шприц ін'єкційний одноразового застосування  10,0 мл. 3-х компонентний з голкою 0,7*38 мм	1300 шт.	
Шприц ін'єкційний одноразового застосування 20,0 мл. 3-х компонентний з голкою 0,8*38 мм	1000 шт.	
Пристрій інфузійний ПР «ПЛАСТМЕД»	200 шт.	
Рукавички хірургічні стерильні припудрені р. 7	250 пар	
Рукавички хірургічні стерильні припудрені р.8	250 пар	
Рукавички  латексні оглядові нестерильні припудрені р. М	4000 пар	
Гіпсовий бинт 20*270	100 шт.	
Гіпсовий бинт 15*270	100 шт.	
Вата медична гігроскопічна гігієнічна нестерильна "зіг-заг" 100г 	100 шт.	
Бинт марлевий медичний нестерильний розміром 5,0м х 10,0 см тип 17	300 шт.	
Бинт марлевий медичний нестерильний розміром 7,0м х 14,0 см тип 17	300 шт.	
Пробирка без наповнювача, розмір:16*100 мм, об'єм: 10 мл., уп. 100 шт., колір  кришки - червоний	10 уп.</t>
  </si>
  <si>
    <t>Шприцы</t>
  </si>
  <si>
    <t>Шприцы 10,0 мл; 20,0 мл</t>
  </si>
  <si>
    <t>Щілинна лампа ЩЛ – 2Б</t>
  </si>
  <si>
    <t xml:space="preserve">Щілинна лампа ЩЛ – 2Б (НК 024:2019 «Класифікатор медичних виробів»: 32817 Лампа щілинна офтальмологічна , хірургічна Ophthalmic slit lamp, surgical) </t>
  </si>
  <si>
    <t>Якщо ви маєте пропозицію чи побажання щодо покращення цього звіту, напишіть нам, будь ласка:</t>
  </si>
  <si>
    <t>аукціон не передбачено</t>
  </si>
  <si>
    <t>аукціон не проводився</t>
  </si>
  <si>
    <t>буде відома у момент початку прийому пропозицій</t>
  </si>
  <si>
    <t>завершено</t>
  </si>
  <si>
    <t>закупівля не відбулась</t>
  </si>
  <si>
    <t xml:space="preserve">згідно з ДК 021-2015: 33696500-0 Лабораторні реактиви: 
АЧТВ-тест 100-200 визначень – 1 набір; 
РенаУпластин.Тромбопластин 8 мл (REF ПГ-5) – 2 набора.
</t>
  </si>
  <si>
    <t xml:space="preserve">згідно з ДК 021-2015: 33696500-0 Лабораторні реактиви: 
Аланінамінотрансфераза (АЛТ) Набір реагентів: Реагент1, 1х100мл + Реагент2, 1х20мл - 1 набір;
Аспартатамінотрансфераза (АСТ) Набір реагентів: Реагент1, 1х120мл + Реагент2, 1х30мл	 - 1 набір;
Прямий Білірубін (напів-авто) Набір реагентів: Реагент1, 1x250мл + Реагент2, 1x25мл + Калібратор, 1x3мл	- 1 набір;
Білірубін Загальний (напів-авто) Набір реагентів: Реагент1, 1 250мл + Реагент2, 1x25мл, Калібратор, 1x3мл	- 1 набір;
Креатинін Набір реагентів: Реагент1, 1*125 мл+Стандарт, 1*5 мл	- 1 набір;
Сечовина Набір реагентів: Реагент1, 1*125 мл+Реагент2, 1*25 мл+Стандарт, 1*5 мл	- 1 набір;
Сечова кислота Набір реагентів: Реагент 1, 1*125 мл+Стандарт, 1*5 мл	- 1 набір;
Холестерол Набір реагентів: Реагент1, 1х125мл + Стандарт, 1х5мл - 1 набір;
ЛПВЩ Набір реагентів: Реагент1, 1х30мл + Реагент2, 1х10мл + Калібратор, 1х3мл - 1 набір;
ЛПНЩ Набір реагентів: Реагент1, 1х30мл + Реагент2, 1х10мл + Калібратор,1х3мл - 1 набір;
 Ліпіди Набір контролей: Рівень1, 1х3мл + Рівень2, 1х3мл - 1 набір;
Глікогемоглобін Набір контролей: Рівень1, 1х1мл + Рівень2, 1х1мл - 1 набір;
Глікогемоглобін Набір реагентів: Реагент1, 1х120мл + Реагент2, 1х30мл + Стандарт, 1х1мл + Сивороточні сепаратори, 80 - 1 набір;1
 Хімічний контроль  - 1 набір.
</t>
  </si>
  <si>
    <t>згідно з ДК 021-2015: 33696500-0 Лабораторні реактиви: 
Глюкоза	 - 1 кг
Фарба-фіксатор по Май-Грюнвальду, 1л	 - 1 фл.;
Калібратори глюкози 10 ммоль	 - 5 амп.;
Масло імерсійне	 - 2 фл.;
Скаріфікатор-спис	 - 5000 шт.;
Діагностичний моноклональний регент анти-А   (100 доз/10 мл.)	 - 2 фл.;
Діагностичний моноклональний регент анти-В   (100 доз/10 мл.)	 - 2 фл.;
Діагностичний моноклональний реагент анти-D (100 доз/10 мл.)	 - 2 фл.</t>
  </si>
  <si>
    <t xml:space="preserve">згідно з ДК 021-2015: 33696500-0 Лабораторні реактиви: 
Діагностичний моноклональний реагент анти-А (100 доз/10 мл.) - 3 фл.;
Діагностичний моноклональний реагент анти-В (100 доз/10 мл.) - 3 фл.;
Діагностичний моноклональний реагент анти-D (100 доз/10 мл.) - 3фл.;
Тромбопластин - 2 фл.;
"Буфер на Ексан"- набір для використання буферного розчину на Ексан для кількісноно визначення глюкози у біологічних рідинах - 20 фл.
  Мембрана МГ-1 к "Ексану" - 1 шт.;
Фарба-фіксатор по Май-Грюнвальду, 1л - 1 фл.;
Фарба по Романовському 1л. - 1 фл.;
"Гемоглобін" - набір для визначення концентрації гемоглобіну у крові - 5 уп.;
Папір фільтрувальний - 0,5 кг.;
Сульфацилова кислота - 0,5 кг.;
Антиген кардіоліпіновий для РМП (10*2 мл) - 3 шт.;
Масло імерсійне - 2 фл.
</t>
  </si>
  <si>
    <t xml:space="preserve">згідно з ДК 021-2015: 33696500-0 Лабораторні реактиви: 
Діагностичний моноклональний реагент анти-А (100 доз/10 мл.) - 3 фл.;
Діагностичний моноклональний реагент анти-В (100 доз/10 мл.) - 3 фл.;
Діагностичний моноклональний реагент анти-D (100 доз/10 мл.) - 3фл.;
Тромбопластин - 2 фл.;
"Буфер на Ексан"- набір для використання буферного розчину на Ексан для кількісноно визначення глюкози у біологічних рідинах - 20 фл.
  Мембрана МГ-1 к "Ексану" - 1 шт.;
Фарба-фіксатор по Май-Грюнвальду, 1л - 1 фл.;
Фарба по Романовському 1л. - 1 фл.;
"Гемоглобін" - набір для визначення концентрації гемоглобіну у крові - 5 уп.;
Папір фільтрувальний - 0,5 кг.;
Сульфацилова кислота - 0,5 кг.;
Антиген кардіоліпіновий для РМП (10*2 мл) - 3 шт.;
Масло імерсійне - 5 фл.
</t>
  </si>
  <si>
    <t xml:space="preserve">згідно з ДК 021-2015: 33696500-0 Лабораторні реактиви: 
Тромбін-реагент-У на 200-600 визначень - 1 набір;
АЧТВ-тест 100-200 визначень – 1 набір; 
РенаУпластин.Тромбопластин 8 мл (REF ПГ-5) – 1 набір.
</t>
  </si>
  <si>
    <t>комплект</t>
  </si>
  <si>
    <t>комплект (набор)</t>
  </si>
  <si>
    <t>кілограм</t>
  </si>
  <si>
    <t>кілька позицій</t>
  </si>
  <si>
    <t>літр</t>
  </si>
  <si>
    <t>місяць</t>
  </si>
  <si>
    <t>набір</t>
  </si>
  <si>
    <t>одиниця</t>
  </si>
  <si>
    <t>очікує підпису</t>
  </si>
  <si>
    <t xml:space="preserve">пакет для стерилізації самоклеючий 305 мм x 430 мм (200шт/уп) ; Смуги  індикаторні  «Стерилан Уп 132/20» для контролю парової стерилізації (1000 шт/ уп); Смуги  індикаторні  «Стерилан 132/20» для контролю парової стерилізації (1000 шт/ уп) ; пакет для стерилізації самоклеючий 90 мм x 260 мм (200шт/уп) ; пакет для стерилізації самоклеючий 135 мм x 280 мм (200шт/уп) </t>
  </si>
  <si>
    <t>пара</t>
  </si>
  <si>
    <t>період уточнень</t>
  </si>
  <si>
    <t>послуга</t>
  </si>
  <si>
    <t>прийом пропозицій</t>
  </si>
  <si>
    <t>пропозиції розглянуті</t>
  </si>
  <si>
    <t>підписано</t>
  </si>
  <si>
    <t>рулон</t>
  </si>
  <si>
    <t>скасована</t>
  </si>
  <si>
    <t>телекомунікаційні послуги</t>
  </si>
  <si>
    <t>товариство з обмеженою відповідальністю "ГОСПІТАЛЬНИЙ МЕНЕДЖМЕНТ"</t>
  </si>
  <si>
    <t>упаковка</t>
  </si>
  <si>
    <t>флакон</t>
  </si>
  <si>
    <t>чоловік</t>
  </si>
  <si>
    <t>штука</t>
  </si>
  <si>
    <t>штуки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</si>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</sst>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.mm\.yyyy"/>
    <numFmt numFmtId="166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166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y.zakupki.prom.ua/remote/dispatcher/state_purchase_view/11430121" TargetMode="External"/><Relationship Id="rId21" Type="http://schemas.openxmlformats.org/officeDocument/2006/relationships/hyperlink" Target="https://my.zakupki.prom.ua/remote/dispatcher/state_purchase_view/15223082" TargetMode="External"/><Relationship Id="rId324" Type="http://schemas.openxmlformats.org/officeDocument/2006/relationships/hyperlink" Target="https://auction.openprocurement.org/tenders/578f99508d754514b7905855a18cf9fe" TargetMode="External"/><Relationship Id="rId531" Type="http://schemas.openxmlformats.org/officeDocument/2006/relationships/hyperlink" Target="https://my.zakupki.prom.ua/remote/dispatcher/state_purchase_view/4154060" TargetMode="External"/><Relationship Id="rId170" Type="http://schemas.openxmlformats.org/officeDocument/2006/relationships/hyperlink" Target="https://my.zakupki.prom.ua/remote/dispatcher/state_purchase_view/3681295" TargetMode="External"/><Relationship Id="rId268" Type="http://schemas.openxmlformats.org/officeDocument/2006/relationships/hyperlink" Target="https://my.zakupki.prom.ua/remote/dispatcher/state_purchase_lot_view/54321" TargetMode="External"/><Relationship Id="rId475" Type="http://schemas.openxmlformats.org/officeDocument/2006/relationships/hyperlink" Target="https://auction.openprocurement.org/tenders/62b220f371384384a6c7352a857d5b02" TargetMode="External"/><Relationship Id="rId32" Type="http://schemas.openxmlformats.org/officeDocument/2006/relationships/hyperlink" Target="https://my.zakupki.prom.ua/remote/dispatcher/state_purchase_view/10374462" TargetMode="External"/><Relationship Id="rId128" Type="http://schemas.openxmlformats.org/officeDocument/2006/relationships/hyperlink" Target="https://my.zakupki.prom.ua/remote/dispatcher/state_purchase_lot_view/472652" TargetMode="External"/><Relationship Id="rId335" Type="http://schemas.openxmlformats.org/officeDocument/2006/relationships/hyperlink" Target="https://my.zakupki.prom.ua/remote/dispatcher/state_purchase_view/1068658" TargetMode="External"/><Relationship Id="rId542" Type="http://schemas.openxmlformats.org/officeDocument/2006/relationships/hyperlink" Target="https://my.zakupki.prom.ua/remote/dispatcher/state_purchase_view/14811309" TargetMode="External"/><Relationship Id="rId181" Type="http://schemas.openxmlformats.org/officeDocument/2006/relationships/hyperlink" Target="https://auction.openprocurement.org/tenders/bb19526b927146b88e7ed5681952be4c" TargetMode="External"/><Relationship Id="rId402" Type="http://schemas.openxmlformats.org/officeDocument/2006/relationships/hyperlink" Target="https://auction.openprocurement.org/tenders/34ba243f38ef47b8a54793fa5df18995" TargetMode="External"/><Relationship Id="rId279" Type="http://schemas.openxmlformats.org/officeDocument/2006/relationships/hyperlink" Target="https://my.zakupki.prom.ua/remote/dispatcher/state_purchase_lot_view/464414" TargetMode="External"/><Relationship Id="rId486" Type="http://schemas.openxmlformats.org/officeDocument/2006/relationships/hyperlink" Target="https://my.zakupki.prom.ua/remote/dispatcher/state_purchase_view/4924229" TargetMode="External"/><Relationship Id="rId43" Type="http://schemas.openxmlformats.org/officeDocument/2006/relationships/hyperlink" Target="https://my.zakupki.prom.ua/remote/dispatcher/state_purchase_view/15541112" TargetMode="External"/><Relationship Id="rId139" Type="http://schemas.openxmlformats.org/officeDocument/2006/relationships/hyperlink" Target="https://my.zakupki.prom.ua/remote/dispatcher/state_purchase_view/2618756" TargetMode="External"/><Relationship Id="rId346" Type="http://schemas.openxmlformats.org/officeDocument/2006/relationships/hyperlink" Target="https://my.zakupki.prom.ua/remote/dispatcher/state_purchase_view/703933" TargetMode="External"/><Relationship Id="rId553" Type="http://schemas.openxmlformats.org/officeDocument/2006/relationships/hyperlink" Target="https://my.zakupki.prom.ua/remote/dispatcher/state_purchase_view/8268128" TargetMode="External"/><Relationship Id="rId192" Type="http://schemas.openxmlformats.org/officeDocument/2006/relationships/hyperlink" Target="https://my.zakupki.prom.ua/remote/dispatcher/state_purchase_view/2248185" TargetMode="External"/><Relationship Id="rId206" Type="http://schemas.openxmlformats.org/officeDocument/2006/relationships/hyperlink" Target="https://my.zakupki.prom.ua/remote/dispatcher/state_purchase_view/10872882" TargetMode="External"/><Relationship Id="rId413" Type="http://schemas.openxmlformats.org/officeDocument/2006/relationships/hyperlink" Target="https://auction.openprocurement.org/tenders/53917592d91446798698e58f6affb02f_a5ee47867c2d4820a7496313c4aaf838" TargetMode="External"/><Relationship Id="rId497" Type="http://schemas.openxmlformats.org/officeDocument/2006/relationships/hyperlink" Target="https://my.zakupki.prom.ua/remote/dispatcher/state_purchase_view/13055879" TargetMode="External"/><Relationship Id="rId357" Type="http://schemas.openxmlformats.org/officeDocument/2006/relationships/hyperlink" Target="https://my.zakupki.prom.ua/remote/dispatcher/state_purchase_lot_view/172794" TargetMode="External"/><Relationship Id="rId54" Type="http://schemas.openxmlformats.org/officeDocument/2006/relationships/hyperlink" Target="https://my.zakupki.prom.ua/remote/dispatcher/state_purchase_view/6947145" TargetMode="External"/><Relationship Id="rId217" Type="http://schemas.openxmlformats.org/officeDocument/2006/relationships/hyperlink" Target="https://my.zakupki.prom.ua/remote/dispatcher/state_purchase_view/13607684" TargetMode="External"/><Relationship Id="rId259" Type="http://schemas.openxmlformats.org/officeDocument/2006/relationships/hyperlink" Target="https://my.zakupki.prom.ua/remote/dispatcher/state_purchase_view/14922285" TargetMode="External"/><Relationship Id="rId424" Type="http://schemas.openxmlformats.org/officeDocument/2006/relationships/hyperlink" Target="https://my.zakupki.prom.ua/remote/dispatcher/state_purchase_view/10325258" TargetMode="External"/><Relationship Id="rId466" Type="http://schemas.openxmlformats.org/officeDocument/2006/relationships/hyperlink" Target="https://my.zakupki.prom.ua/remote/dispatcher/state_purchase_lot_view/21711" TargetMode="External"/><Relationship Id="rId23" Type="http://schemas.openxmlformats.org/officeDocument/2006/relationships/hyperlink" Target="https://my.zakupki.prom.ua/remote/dispatcher/state_purchase_view/214237" TargetMode="External"/><Relationship Id="rId119" Type="http://schemas.openxmlformats.org/officeDocument/2006/relationships/hyperlink" Target="https://my.zakupki.prom.ua/remote/dispatcher/state_purchase_view/11514839" TargetMode="External"/><Relationship Id="rId270" Type="http://schemas.openxmlformats.org/officeDocument/2006/relationships/hyperlink" Target="https://my.zakupki.prom.ua/remote/dispatcher/state_purchase_lot_view/52395" TargetMode="External"/><Relationship Id="rId326" Type="http://schemas.openxmlformats.org/officeDocument/2006/relationships/hyperlink" Target="https://auction.openprocurement.org/tenders/4e2253bf4df041a8ba21b43b393a29dd" TargetMode="External"/><Relationship Id="rId533" Type="http://schemas.openxmlformats.org/officeDocument/2006/relationships/hyperlink" Target="https://my.zakupki.prom.ua/remote/dispatcher/state_purchase_view/213790" TargetMode="External"/><Relationship Id="rId65" Type="http://schemas.openxmlformats.org/officeDocument/2006/relationships/hyperlink" Target="https://my.zakupki.prom.ua/remote/dispatcher/state_purchase_view/77005" TargetMode="External"/><Relationship Id="rId130" Type="http://schemas.openxmlformats.org/officeDocument/2006/relationships/hyperlink" Target="https://my.zakupki.prom.ua/remote/dispatcher/state_purchase_lot_view/472653" TargetMode="External"/><Relationship Id="rId368" Type="http://schemas.openxmlformats.org/officeDocument/2006/relationships/hyperlink" Target="https://my.zakupki.prom.ua/remote/dispatcher/state_purchase_view/480578" TargetMode="External"/><Relationship Id="rId172" Type="http://schemas.openxmlformats.org/officeDocument/2006/relationships/hyperlink" Target="https://my.zakupki.prom.ua/remote/dispatcher/state_purchase_view/3456050" TargetMode="External"/><Relationship Id="rId228" Type="http://schemas.openxmlformats.org/officeDocument/2006/relationships/hyperlink" Target="https://auction.openprocurement.org/tenders/b7b453361a2941558bfe9004a93e76f0" TargetMode="External"/><Relationship Id="rId435" Type="http://schemas.openxmlformats.org/officeDocument/2006/relationships/hyperlink" Target="https://my.zakupki.prom.ua/remote/dispatcher/state_purchase_lot_view/251364" TargetMode="External"/><Relationship Id="rId477" Type="http://schemas.openxmlformats.org/officeDocument/2006/relationships/hyperlink" Target="https://my.zakupki.prom.ua/remote/dispatcher/state_purchase_view/5428173" TargetMode="External"/><Relationship Id="rId281" Type="http://schemas.openxmlformats.org/officeDocument/2006/relationships/hyperlink" Target="https://my.zakupki.prom.ua/remote/dispatcher/state_purchase_view/15753767" TargetMode="External"/><Relationship Id="rId337" Type="http://schemas.openxmlformats.org/officeDocument/2006/relationships/hyperlink" Target="https://my.zakupki.prom.ua/remote/dispatcher/state_purchase_view/106996" TargetMode="External"/><Relationship Id="rId502" Type="http://schemas.openxmlformats.org/officeDocument/2006/relationships/hyperlink" Target="https://my.zakupki.prom.ua/remote/dispatcher/state_purchase_view/12807064" TargetMode="External"/><Relationship Id="rId34" Type="http://schemas.openxmlformats.org/officeDocument/2006/relationships/hyperlink" Target="https://my.zakupki.prom.ua/remote/dispatcher/state_purchase_view/10495267" TargetMode="External"/><Relationship Id="rId76" Type="http://schemas.openxmlformats.org/officeDocument/2006/relationships/hyperlink" Target="https://auction.openprocurement.org/tenders/7aa507cb34664005ae9880385f70b270" TargetMode="External"/><Relationship Id="rId141" Type="http://schemas.openxmlformats.org/officeDocument/2006/relationships/hyperlink" Target="https://my.zakupki.prom.ua/remote/dispatcher/state_purchase_lot_view/125880" TargetMode="External"/><Relationship Id="rId379" Type="http://schemas.openxmlformats.org/officeDocument/2006/relationships/hyperlink" Target="https://my.zakupki.prom.ua/remote/dispatcher/state_purchase_view/4820797" TargetMode="External"/><Relationship Id="rId544" Type="http://schemas.openxmlformats.org/officeDocument/2006/relationships/hyperlink" Target="https://my.zakupki.prom.ua/remote/dispatcher/state_purchase_view/13823599" TargetMode="External"/><Relationship Id="rId7" Type="http://schemas.openxmlformats.org/officeDocument/2006/relationships/hyperlink" Target="https://my.zakupki.prom.ua/remote/dispatcher/state_purchase_view/10959797" TargetMode="External"/><Relationship Id="rId183" Type="http://schemas.openxmlformats.org/officeDocument/2006/relationships/hyperlink" Target="https://auction.openprocurement.org/tenders/14b863ff7ccc4e7ebb989d74dd0265e2" TargetMode="External"/><Relationship Id="rId239" Type="http://schemas.openxmlformats.org/officeDocument/2006/relationships/hyperlink" Target="https://my.zakupki.prom.ua/remote/dispatcher/state_purchase_view/4868388" TargetMode="External"/><Relationship Id="rId390" Type="http://schemas.openxmlformats.org/officeDocument/2006/relationships/hyperlink" Target="https://my.zakupki.prom.ua/remote/dispatcher/state_purchase_view/12057254" TargetMode="External"/><Relationship Id="rId404" Type="http://schemas.openxmlformats.org/officeDocument/2006/relationships/hyperlink" Target="https://auction.openprocurement.org/tenders/78424c67d03d4139bd7c4a2dfe735e73_61cd148aaf6e41f39ef42399e1d87065" TargetMode="External"/><Relationship Id="rId446" Type="http://schemas.openxmlformats.org/officeDocument/2006/relationships/hyperlink" Target="https://my.zakupki.prom.ua/remote/dispatcher/state_purchase_view/3074235" TargetMode="External"/><Relationship Id="rId250" Type="http://schemas.openxmlformats.org/officeDocument/2006/relationships/hyperlink" Target="https://auction.openprocurement.org/tenders/293997bcb2e84984a99cca7f0e84bf15" TargetMode="External"/><Relationship Id="rId292" Type="http://schemas.openxmlformats.org/officeDocument/2006/relationships/hyperlink" Target="https://my.zakupki.prom.ua/remote/dispatcher/state_purchase_view/15269580" TargetMode="External"/><Relationship Id="rId306" Type="http://schemas.openxmlformats.org/officeDocument/2006/relationships/hyperlink" Target="https://my.zakupki.prom.ua/remote/dispatcher/state_purchase_view/11086070" TargetMode="External"/><Relationship Id="rId488" Type="http://schemas.openxmlformats.org/officeDocument/2006/relationships/hyperlink" Target="https://my.zakupki.prom.ua/remote/dispatcher/state_purchase_view/8433519" TargetMode="External"/><Relationship Id="rId45" Type="http://schemas.openxmlformats.org/officeDocument/2006/relationships/hyperlink" Target="https://my.zakupki.prom.ua/remote/dispatcher/state_purchase_view/15550416" TargetMode="External"/><Relationship Id="rId87" Type="http://schemas.openxmlformats.org/officeDocument/2006/relationships/hyperlink" Target="https://auction.openprocurement.org/tenders/ffc7c64c08204070a851689d4c43ac9b" TargetMode="External"/><Relationship Id="rId110" Type="http://schemas.openxmlformats.org/officeDocument/2006/relationships/hyperlink" Target="https://my.zakupki.prom.ua/remote/dispatcher/state_purchase_view/11398142" TargetMode="External"/><Relationship Id="rId348" Type="http://schemas.openxmlformats.org/officeDocument/2006/relationships/hyperlink" Target="https://auction.openprocurement.org/tenders/36b3c328467641cc9a28c391f1a53d9a" TargetMode="External"/><Relationship Id="rId513" Type="http://schemas.openxmlformats.org/officeDocument/2006/relationships/hyperlink" Target="https://my.zakupki.prom.ua/remote/dispatcher/state_purchase_view/6243637" TargetMode="External"/><Relationship Id="rId555" Type="http://schemas.openxmlformats.org/officeDocument/2006/relationships/hyperlink" Target="https://auction.openprocurement.org/tenders/8b08b17d862848f3ab0727718ff58e45" TargetMode="External"/><Relationship Id="rId152" Type="http://schemas.openxmlformats.org/officeDocument/2006/relationships/hyperlink" Target="https://my.zakupki.prom.ua/remote/dispatcher/state_purchase_view/976403" TargetMode="External"/><Relationship Id="rId194" Type="http://schemas.openxmlformats.org/officeDocument/2006/relationships/hyperlink" Target="https://my.zakupki.prom.ua/remote/dispatcher/state_purchase_view/2506269" TargetMode="External"/><Relationship Id="rId208" Type="http://schemas.openxmlformats.org/officeDocument/2006/relationships/hyperlink" Target="https://my.zakupki.prom.ua/remote/dispatcher/state_purchase_view/10860483" TargetMode="External"/><Relationship Id="rId415" Type="http://schemas.openxmlformats.org/officeDocument/2006/relationships/hyperlink" Target="https://auction.openprocurement.org/tenders/9a9a9791717d4befbfd8a7f96ae738ab" TargetMode="External"/><Relationship Id="rId457" Type="http://schemas.openxmlformats.org/officeDocument/2006/relationships/hyperlink" Target="https://auction.openprocurement.org/tenders/668f3e711e9140ed8b7ffe9ba6b5a3a1" TargetMode="External"/><Relationship Id="rId261" Type="http://schemas.openxmlformats.org/officeDocument/2006/relationships/hyperlink" Target="https://my.zakupki.prom.ua/remote/dispatcher/state_purchase_view/15055242" TargetMode="External"/><Relationship Id="rId499" Type="http://schemas.openxmlformats.org/officeDocument/2006/relationships/hyperlink" Target="https://my.zakupki.prom.ua/remote/dispatcher/state_purchase_view/12814487" TargetMode="External"/><Relationship Id="rId14" Type="http://schemas.openxmlformats.org/officeDocument/2006/relationships/hyperlink" Target="https://my.zakupki.prom.ua/remote/dispatcher/state_purchase_view/15078187" TargetMode="External"/><Relationship Id="rId56" Type="http://schemas.openxmlformats.org/officeDocument/2006/relationships/hyperlink" Target="https://auction.openprocurement.org/tenders/2eca3b7761c64ef0b75eb1b3a6fdc824_114630250d304ee1b7745998b616b4df" TargetMode="External"/><Relationship Id="rId317" Type="http://schemas.openxmlformats.org/officeDocument/2006/relationships/hyperlink" Target="https://auction.openprocurement.org/tenders/479319b3136b4cbcbc18d34948506245" TargetMode="External"/><Relationship Id="rId359" Type="http://schemas.openxmlformats.org/officeDocument/2006/relationships/hyperlink" Target="https://my.zakupki.prom.ua/remote/dispatcher/state_purchase_view/93081" TargetMode="External"/><Relationship Id="rId524" Type="http://schemas.openxmlformats.org/officeDocument/2006/relationships/hyperlink" Target="https://my.zakupki.prom.ua/remote/dispatcher/state_purchase_view/3681348" TargetMode="External"/><Relationship Id="rId98" Type="http://schemas.openxmlformats.org/officeDocument/2006/relationships/hyperlink" Target="https://my.zakupki.prom.ua/remote/dispatcher/state_purchase_view/6608682" TargetMode="External"/><Relationship Id="rId121" Type="http://schemas.openxmlformats.org/officeDocument/2006/relationships/hyperlink" Target="https://auction.openprocurement.org/tenders/f2fb006771f14c829d2836f855c64418" TargetMode="External"/><Relationship Id="rId163" Type="http://schemas.openxmlformats.org/officeDocument/2006/relationships/hyperlink" Target="https://auction.openprocurement.org/tenders/4353f1fe277a45c392e9f88b15c41274" TargetMode="External"/><Relationship Id="rId219" Type="http://schemas.openxmlformats.org/officeDocument/2006/relationships/hyperlink" Target="https://my.zakupki.prom.ua/remote/dispatcher/state_purchase_view/13117561" TargetMode="External"/><Relationship Id="rId370" Type="http://schemas.openxmlformats.org/officeDocument/2006/relationships/hyperlink" Target="https://my.zakupki.prom.ua/remote/dispatcher/state_purchase_view/479348" TargetMode="External"/><Relationship Id="rId426" Type="http://schemas.openxmlformats.org/officeDocument/2006/relationships/hyperlink" Target="https://my.zakupki.prom.ua/remote/dispatcher/state_purchase_view/551638" TargetMode="External"/><Relationship Id="rId230" Type="http://schemas.openxmlformats.org/officeDocument/2006/relationships/hyperlink" Target="https://auction.openprocurement.org/tenders/d07ca72156c54bc2b1f461dd8303ab35" TargetMode="External"/><Relationship Id="rId468" Type="http://schemas.openxmlformats.org/officeDocument/2006/relationships/hyperlink" Target="https://my.zakupki.prom.ua/remote/dispatcher/state_purchase_lot_view/18477" TargetMode="External"/><Relationship Id="rId25" Type="http://schemas.openxmlformats.org/officeDocument/2006/relationships/hyperlink" Target="https://auction.openprocurement.org/tenders/78c802cc4b684155899bccdbd7097ae1" TargetMode="External"/><Relationship Id="rId67" Type="http://schemas.openxmlformats.org/officeDocument/2006/relationships/hyperlink" Target="https://my.zakupki.prom.ua/remote/dispatcher/state_purchase_view/38300" TargetMode="External"/><Relationship Id="rId272" Type="http://schemas.openxmlformats.org/officeDocument/2006/relationships/hyperlink" Target="https://my.zakupki.prom.ua/remote/dispatcher/state_purchase_lot_view/30938" TargetMode="External"/><Relationship Id="rId328" Type="http://schemas.openxmlformats.org/officeDocument/2006/relationships/hyperlink" Target="https://my.zakupki.prom.ua/remote/dispatcher/state_purchase_view/52043" TargetMode="External"/><Relationship Id="rId535" Type="http://schemas.openxmlformats.org/officeDocument/2006/relationships/hyperlink" Target="https://auction.openprocurement.org/tenders/badaeaef28a5498aac08d608039bf052_cf544ecc107c4ed69db3ecab08bcbcc0" TargetMode="External"/><Relationship Id="rId132" Type="http://schemas.openxmlformats.org/officeDocument/2006/relationships/hyperlink" Target="https://auction.openprocurement.org/tenders/0c9b340aa84a4db3b5e9c7926c4a7420_9fe9c0d175a642f1830b9b9d5642589e" TargetMode="External"/><Relationship Id="rId174" Type="http://schemas.openxmlformats.org/officeDocument/2006/relationships/hyperlink" Target="https://my.zakupki.prom.ua/remote/dispatcher/state_purchase_view/978980" TargetMode="External"/><Relationship Id="rId381" Type="http://schemas.openxmlformats.org/officeDocument/2006/relationships/hyperlink" Target="https://my.zakupki.prom.ua/remote/dispatcher/state_purchase_view/8433053" TargetMode="External"/><Relationship Id="rId241" Type="http://schemas.openxmlformats.org/officeDocument/2006/relationships/hyperlink" Target="https://my.zakupki.prom.ua/remote/dispatcher/state_purchase_lot_view/84692" TargetMode="External"/><Relationship Id="rId437" Type="http://schemas.openxmlformats.org/officeDocument/2006/relationships/hyperlink" Target="https://my.zakupki.prom.ua/remote/dispatcher/state_purchase_lot_view/47228" TargetMode="External"/><Relationship Id="rId479" Type="http://schemas.openxmlformats.org/officeDocument/2006/relationships/hyperlink" Target="https://my.zakupki.prom.ua/remote/dispatcher/state_purchase_view/5428738" TargetMode="External"/><Relationship Id="rId36" Type="http://schemas.openxmlformats.org/officeDocument/2006/relationships/hyperlink" Target="https://my.zakupki.prom.ua/remote/dispatcher/state_purchase_view/10327270" TargetMode="External"/><Relationship Id="rId283" Type="http://schemas.openxmlformats.org/officeDocument/2006/relationships/hyperlink" Target="https://my.zakupki.prom.ua/remote/dispatcher/state_purchase_view/15721499" TargetMode="External"/><Relationship Id="rId339" Type="http://schemas.openxmlformats.org/officeDocument/2006/relationships/hyperlink" Target="https://auction.openprocurement.org/tenders/b57facda1011409583443adf03c6ecc6" TargetMode="External"/><Relationship Id="rId490" Type="http://schemas.openxmlformats.org/officeDocument/2006/relationships/hyperlink" Target="https://my.zakupki.prom.ua/remote/dispatcher/state_purchase_view/8433196" TargetMode="External"/><Relationship Id="rId504" Type="http://schemas.openxmlformats.org/officeDocument/2006/relationships/hyperlink" Target="https://my.zakupki.prom.ua/remote/dispatcher/state_purchase_view/12525853" TargetMode="External"/><Relationship Id="rId546" Type="http://schemas.openxmlformats.org/officeDocument/2006/relationships/hyperlink" Target="https://my.zakupki.prom.ua/remote/dispatcher/state_purchase_view/13831236" TargetMode="External"/><Relationship Id="rId78" Type="http://schemas.openxmlformats.org/officeDocument/2006/relationships/hyperlink" Target="https://auction.openprocurement.org/tenders/802ad15f286d47238bce7a3648c832ea" TargetMode="External"/><Relationship Id="rId101" Type="http://schemas.openxmlformats.org/officeDocument/2006/relationships/hyperlink" Target="https://my.zakupki.prom.ua/remote/dispatcher/state_purchase_view/6243328" TargetMode="External"/><Relationship Id="rId143" Type="http://schemas.openxmlformats.org/officeDocument/2006/relationships/hyperlink" Target="https://my.zakupki.prom.ua/remote/dispatcher/state_purchase_lot_view/125904" TargetMode="External"/><Relationship Id="rId185" Type="http://schemas.openxmlformats.org/officeDocument/2006/relationships/hyperlink" Target="https://auction.openprocurement.org/tenders/55f105a1c2b94f8f9492323876261904" TargetMode="External"/><Relationship Id="rId350" Type="http://schemas.openxmlformats.org/officeDocument/2006/relationships/hyperlink" Target="https://auction.openprocurement.org/tenders/72850217021640339d3a49391cdd402b" TargetMode="External"/><Relationship Id="rId406" Type="http://schemas.openxmlformats.org/officeDocument/2006/relationships/hyperlink" Target="https://auction.openprocurement.org/tenders/25ff2ce0cc67416e8dc0b0e0dfb747b4_922ef3ee4b884365bf09d885f93fe6e4" TargetMode="External"/><Relationship Id="rId9" Type="http://schemas.openxmlformats.org/officeDocument/2006/relationships/hyperlink" Target="https://my.zakupki.prom.ua/remote/dispatcher/state_purchase_view/10940900" TargetMode="External"/><Relationship Id="rId210" Type="http://schemas.openxmlformats.org/officeDocument/2006/relationships/hyperlink" Target="https://my.zakupki.prom.ua/remote/dispatcher/state_purchase_view/10742241" TargetMode="External"/><Relationship Id="rId392" Type="http://schemas.openxmlformats.org/officeDocument/2006/relationships/hyperlink" Target="https://my.zakupki.prom.ua/remote/dispatcher/state_purchase_view/12481026" TargetMode="External"/><Relationship Id="rId448" Type="http://schemas.openxmlformats.org/officeDocument/2006/relationships/hyperlink" Target="https://auction.openprocurement.org/tenders/924aa8b3e4e642c3a034d89f5d7f72dc_075635c1491241e495e9b7f986bc3502" TargetMode="External"/><Relationship Id="rId252" Type="http://schemas.openxmlformats.org/officeDocument/2006/relationships/hyperlink" Target="https://auction.openprocurement.org/tenders/a2e227d3e7f74fd2be22408e7045e51d" TargetMode="External"/><Relationship Id="rId294" Type="http://schemas.openxmlformats.org/officeDocument/2006/relationships/hyperlink" Target="https://my.zakupki.prom.ua/remote/dispatcher/state_purchase_view/15370773" TargetMode="External"/><Relationship Id="rId308" Type="http://schemas.openxmlformats.org/officeDocument/2006/relationships/hyperlink" Target="https://my.zakupki.prom.ua/remote/dispatcher/state_purchase_view/11208816" TargetMode="External"/><Relationship Id="rId515" Type="http://schemas.openxmlformats.org/officeDocument/2006/relationships/hyperlink" Target="https://my.zakupki.prom.ua/remote/dispatcher/state_purchase_view/6004041" TargetMode="External"/><Relationship Id="rId47" Type="http://schemas.openxmlformats.org/officeDocument/2006/relationships/hyperlink" Target="https://my.zakupki.prom.ua/remote/dispatcher/state_purchase_view/15717951" TargetMode="External"/><Relationship Id="rId89" Type="http://schemas.openxmlformats.org/officeDocument/2006/relationships/hyperlink" Target="https://auction.openprocurement.org/tenders/dd210d55b49f4633a5d5c85dcaf6396d" TargetMode="External"/><Relationship Id="rId112" Type="http://schemas.openxmlformats.org/officeDocument/2006/relationships/hyperlink" Target="https://my.zakupki.prom.ua/remote/dispatcher/state_purchase_view/11398310" TargetMode="External"/><Relationship Id="rId154" Type="http://schemas.openxmlformats.org/officeDocument/2006/relationships/hyperlink" Target="https://my.zakupki.prom.ua/remote/dispatcher/state_purchase_view/946767" TargetMode="External"/><Relationship Id="rId361" Type="http://schemas.openxmlformats.org/officeDocument/2006/relationships/hyperlink" Target="https://my.zakupki.prom.ua/remote/dispatcher/state_purchase_view/87919" TargetMode="External"/><Relationship Id="rId557" Type="http://schemas.openxmlformats.org/officeDocument/2006/relationships/hyperlink" Target="https://auction.openprocurement.org/tenders/359395006eed476493f556ed109ce660" TargetMode="External"/><Relationship Id="rId196" Type="http://schemas.openxmlformats.org/officeDocument/2006/relationships/hyperlink" Target="https://my.zakupki.prom.ua/remote/dispatcher/state_purchase_view/8169403" TargetMode="External"/><Relationship Id="rId417" Type="http://schemas.openxmlformats.org/officeDocument/2006/relationships/hyperlink" Target="https://my.zakupki.prom.ua/remote/dispatcher/state_purchase_view/229112" TargetMode="External"/><Relationship Id="rId459" Type="http://schemas.openxmlformats.org/officeDocument/2006/relationships/hyperlink" Target="https://my.zakupki.prom.ua/remote/dispatcher/state_purchase_view/1067216" TargetMode="External"/><Relationship Id="rId16" Type="http://schemas.openxmlformats.org/officeDocument/2006/relationships/hyperlink" Target="https://my.zakupki.prom.ua/remote/dispatcher/state_purchase_view/15186902" TargetMode="External"/><Relationship Id="rId221" Type="http://schemas.openxmlformats.org/officeDocument/2006/relationships/hyperlink" Target="https://my.zakupki.prom.ua/remote/dispatcher/state_purchase_view/13099593" TargetMode="External"/><Relationship Id="rId263" Type="http://schemas.openxmlformats.org/officeDocument/2006/relationships/hyperlink" Target="https://my.zakupki.prom.ua/remote/dispatcher/state_purchase_view/14976731" TargetMode="External"/><Relationship Id="rId319" Type="http://schemas.openxmlformats.org/officeDocument/2006/relationships/hyperlink" Target="https://auction.openprocurement.org/tenders/4ba8cfc79b1047bda9227e315d9693ec" TargetMode="External"/><Relationship Id="rId470" Type="http://schemas.openxmlformats.org/officeDocument/2006/relationships/hyperlink" Target="https://my.zakupki.prom.ua/remote/dispatcher/state_purchase_lot_view/10915" TargetMode="External"/><Relationship Id="rId526" Type="http://schemas.openxmlformats.org/officeDocument/2006/relationships/hyperlink" Target="https://my.zakupki.prom.ua/remote/dispatcher/state_purchase_view/4447719" TargetMode="External"/><Relationship Id="rId58" Type="http://schemas.openxmlformats.org/officeDocument/2006/relationships/hyperlink" Target="https://auction.openprocurement.org/tenders/c60d0892484f4237b8a0b3a181822b05" TargetMode="External"/><Relationship Id="rId123" Type="http://schemas.openxmlformats.org/officeDocument/2006/relationships/hyperlink" Target="https://my.zakupki.prom.ua/remote/dispatcher/state_purchase_view/11208636" TargetMode="External"/><Relationship Id="rId330" Type="http://schemas.openxmlformats.org/officeDocument/2006/relationships/hyperlink" Target="https://my.zakupki.prom.ua/remote/dispatcher/state_purchase_view/38548" TargetMode="External"/><Relationship Id="rId165" Type="http://schemas.openxmlformats.org/officeDocument/2006/relationships/hyperlink" Target="https://my.zakupki.prom.ua/remote/dispatcher/state_purchase_view/3074362" TargetMode="External"/><Relationship Id="rId372" Type="http://schemas.openxmlformats.org/officeDocument/2006/relationships/hyperlink" Target="https://my.zakupki.prom.ua/remote/dispatcher/state_purchase_view/286278" TargetMode="External"/><Relationship Id="rId428" Type="http://schemas.openxmlformats.org/officeDocument/2006/relationships/hyperlink" Target="https://my.zakupki.prom.ua/remote/dispatcher/state_purchase_view/800926" TargetMode="External"/><Relationship Id="rId232" Type="http://schemas.openxmlformats.org/officeDocument/2006/relationships/hyperlink" Target="https://my.zakupki.prom.ua/remote/dispatcher/state_purchase_lot_view/119452" TargetMode="External"/><Relationship Id="rId274" Type="http://schemas.openxmlformats.org/officeDocument/2006/relationships/hyperlink" Target="https://auction.openprocurement.org/tenders/75fe315ad0374ff69b276eeae0197fd9" TargetMode="External"/><Relationship Id="rId481" Type="http://schemas.openxmlformats.org/officeDocument/2006/relationships/hyperlink" Target="https://my.zakupki.prom.ua/remote/dispatcher/state_purchase_view/4927599" TargetMode="External"/><Relationship Id="rId27" Type="http://schemas.openxmlformats.org/officeDocument/2006/relationships/hyperlink" Target="https://my.zakupki.prom.ua/remote/dispatcher/state_purchase_view/10356968" TargetMode="External"/><Relationship Id="rId69" Type="http://schemas.openxmlformats.org/officeDocument/2006/relationships/hyperlink" Target="https://auction.openprocurement.org/tenders/dbb5213a5bd041a4a0ed231bb6194549" TargetMode="External"/><Relationship Id="rId134" Type="http://schemas.openxmlformats.org/officeDocument/2006/relationships/hyperlink" Target="https://auction.openprocurement.org/tenders/360fa91edf324d3485339f8b3aba4442_c6d5c162a46640f4952d089d82848075" TargetMode="External"/><Relationship Id="rId537" Type="http://schemas.openxmlformats.org/officeDocument/2006/relationships/hyperlink" Target="https://auction.openprocurement.org/tenders/974043cc3aa94ec0b6b8e44d2b9ec77b_6e99d3bafa3c4965aac5643dcac39ac2" TargetMode="External"/><Relationship Id="rId80" Type="http://schemas.openxmlformats.org/officeDocument/2006/relationships/hyperlink" Target="https://auction.openprocurement.org/tenders/f8971ed8c731402b9ae487df6fb0f5f0" TargetMode="External"/><Relationship Id="rId176" Type="http://schemas.openxmlformats.org/officeDocument/2006/relationships/hyperlink" Target="https://auction.openprocurement.org/tenders/bc001dc7823a4da081f5228550fde130" TargetMode="External"/><Relationship Id="rId341" Type="http://schemas.openxmlformats.org/officeDocument/2006/relationships/hyperlink" Target="https://auction.openprocurement.org/tenders/0c9b16f047384c059c0c39f68878551a" TargetMode="External"/><Relationship Id="rId383" Type="http://schemas.openxmlformats.org/officeDocument/2006/relationships/hyperlink" Target="https://my.zakupki.prom.ua/remote/dispatcher/state_purchase_view/7308971" TargetMode="External"/><Relationship Id="rId439" Type="http://schemas.openxmlformats.org/officeDocument/2006/relationships/hyperlink" Target="https://my.zakupki.prom.ua/remote/dispatcher/state_purchase_view/2818611" TargetMode="External"/><Relationship Id="rId201" Type="http://schemas.openxmlformats.org/officeDocument/2006/relationships/hyperlink" Target="https://my.zakupki.prom.ua/remote/dispatcher/state_purchase_view/5791297" TargetMode="External"/><Relationship Id="rId243" Type="http://schemas.openxmlformats.org/officeDocument/2006/relationships/hyperlink" Target="https://my.zakupki.prom.ua/remote/dispatcher/state_purchase_lot_view/107668" TargetMode="External"/><Relationship Id="rId285" Type="http://schemas.openxmlformats.org/officeDocument/2006/relationships/hyperlink" Target="https://my.zakupki.prom.ua/remote/dispatcher/state_purchase_view/8226314" TargetMode="External"/><Relationship Id="rId450" Type="http://schemas.openxmlformats.org/officeDocument/2006/relationships/hyperlink" Target="https://auction.openprocurement.org/tenders/1193f67de7094ba3913951f03d58502f_ed18780b4ff8499ebde285c5375f1cc6" TargetMode="External"/><Relationship Id="rId506" Type="http://schemas.openxmlformats.org/officeDocument/2006/relationships/hyperlink" Target="https://my.zakupki.prom.ua/remote/dispatcher/state_purchase_view/12525853" TargetMode="External"/><Relationship Id="rId38" Type="http://schemas.openxmlformats.org/officeDocument/2006/relationships/hyperlink" Target="https://auction.openprocurement.org/tenders/bdec30724db049d295955757b947853c" TargetMode="External"/><Relationship Id="rId103" Type="http://schemas.openxmlformats.org/officeDocument/2006/relationships/hyperlink" Target="https://my.zakupki.prom.ua/remote/dispatcher/state_purchase_view/5976416" TargetMode="External"/><Relationship Id="rId310" Type="http://schemas.openxmlformats.org/officeDocument/2006/relationships/hyperlink" Target="https://my.zakupki.prom.ua/remote/dispatcher/state_purchase_view/11397072" TargetMode="External"/><Relationship Id="rId492" Type="http://schemas.openxmlformats.org/officeDocument/2006/relationships/hyperlink" Target="https://my.zakupki.prom.ua/remote/dispatcher/state_purchase_view/8501698" TargetMode="External"/><Relationship Id="rId548" Type="http://schemas.openxmlformats.org/officeDocument/2006/relationships/hyperlink" Target="https://auction.openprocurement.org/tenders/28871b14c92d4713bcb462bd8da7514c" TargetMode="External"/><Relationship Id="rId91" Type="http://schemas.openxmlformats.org/officeDocument/2006/relationships/hyperlink" Target="https://auction.openprocurement.org/tenders/2c608956f8d64f368df89b53d1e47e32" TargetMode="External"/><Relationship Id="rId145" Type="http://schemas.openxmlformats.org/officeDocument/2006/relationships/hyperlink" Target="https://auction.openprocurement.org/tenders/404787f02d0743e89c1f6f11ebd13972_b4b6efe4f35446b6b10a88ca5f261f97" TargetMode="External"/><Relationship Id="rId187" Type="http://schemas.openxmlformats.org/officeDocument/2006/relationships/hyperlink" Target="https://my.zakupki.prom.ua/remote/dispatcher/state_purchase_view/2203865" TargetMode="External"/><Relationship Id="rId352" Type="http://schemas.openxmlformats.org/officeDocument/2006/relationships/hyperlink" Target="https://auction.openprocurement.org/tenders/c037fe5eef534de9ba36f46775757495" TargetMode="External"/><Relationship Id="rId394" Type="http://schemas.openxmlformats.org/officeDocument/2006/relationships/hyperlink" Target="https://my.zakupki.prom.ua/remote/dispatcher/state_purchase_view/12453926" TargetMode="External"/><Relationship Id="rId408" Type="http://schemas.openxmlformats.org/officeDocument/2006/relationships/hyperlink" Target="https://auction.openprocurement.org/tenders/f77a4d32c79b4ef1a36c5c60ce332f63" TargetMode="External"/><Relationship Id="rId212" Type="http://schemas.openxmlformats.org/officeDocument/2006/relationships/hyperlink" Target="https://auction.openprocurement.org/tenders/92cdd8a204754f14be0865b9deb2be0e" TargetMode="External"/><Relationship Id="rId254" Type="http://schemas.openxmlformats.org/officeDocument/2006/relationships/hyperlink" Target="https://auction.openprocurement.org/tenders/cc549d4fe9f64e7bb7376f73db835c0f" TargetMode="External"/><Relationship Id="rId49" Type="http://schemas.openxmlformats.org/officeDocument/2006/relationships/hyperlink" Target="https://my.zakupki.prom.ua/remote/dispatcher/state_purchase_view/15504082" TargetMode="External"/><Relationship Id="rId114" Type="http://schemas.openxmlformats.org/officeDocument/2006/relationships/hyperlink" Target="https://my.zakupki.prom.ua/remote/dispatcher/state_purchase_view/11425322" TargetMode="External"/><Relationship Id="rId296" Type="http://schemas.openxmlformats.org/officeDocument/2006/relationships/hyperlink" Target="https://my.zakupki.prom.ua/remote/dispatcher/state_purchase_view/15448928" TargetMode="External"/><Relationship Id="rId461" Type="http://schemas.openxmlformats.org/officeDocument/2006/relationships/hyperlink" Target="https://my.zakupki.prom.ua/remote/dispatcher/state_purchase_view/1003919" TargetMode="External"/><Relationship Id="rId517" Type="http://schemas.openxmlformats.org/officeDocument/2006/relationships/hyperlink" Target="https://auction.openprocurement.org/tenders/3ad3ac7b80c04bc2a736c4c664e3f73d" TargetMode="External"/><Relationship Id="rId60" Type="http://schemas.openxmlformats.org/officeDocument/2006/relationships/hyperlink" Target="https://auction.openprocurement.org/tenders/d9d7416a46ec47dfba8bbcba372a1932" TargetMode="External"/><Relationship Id="rId156" Type="http://schemas.openxmlformats.org/officeDocument/2006/relationships/hyperlink" Target="https://my.zakupki.prom.ua/remote/dispatcher/state_purchase_view/946675" TargetMode="External"/><Relationship Id="rId198" Type="http://schemas.openxmlformats.org/officeDocument/2006/relationships/hyperlink" Target="https://my.zakupki.prom.ua/remote/dispatcher/state_purchase_view/5977028" TargetMode="External"/><Relationship Id="rId321" Type="http://schemas.openxmlformats.org/officeDocument/2006/relationships/hyperlink" Target="https://auction.openprocurement.org/tenders/4f66f4a2e2bf4a8699847f20d72007b9" TargetMode="External"/><Relationship Id="rId363" Type="http://schemas.openxmlformats.org/officeDocument/2006/relationships/hyperlink" Target="https://auction.openprocurement.org/tenders/631f4d15131e4d87b6e9585d5a724bdd" TargetMode="External"/><Relationship Id="rId419" Type="http://schemas.openxmlformats.org/officeDocument/2006/relationships/hyperlink" Target="https://my.zakupki.prom.ua/remote/dispatcher/state_purchase_view/237730" TargetMode="External"/><Relationship Id="rId223" Type="http://schemas.openxmlformats.org/officeDocument/2006/relationships/hyperlink" Target="https://my.zakupki.prom.ua/remote/dispatcher/state_purchase_view/13103172" TargetMode="External"/><Relationship Id="rId430" Type="http://schemas.openxmlformats.org/officeDocument/2006/relationships/hyperlink" Target="https://my.zakupki.prom.ua/remote/dispatcher/state_purchase_view/913724" TargetMode="External"/><Relationship Id="rId18" Type="http://schemas.openxmlformats.org/officeDocument/2006/relationships/hyperlink" Target="https://my.zakupki.prom.ua/remote/dispatcher/state_purchase_view/15107083" TargetMode="External"/><Relationship Id="rId265" Type="http://schemas.openxmlformats.org/officeDocument/2006/relationships/hyperlink" Target="https://my.zakupki.prom.ua/remote/dispatcher/state_purchase_view/14887177" TargetMode="External"/><Relationship Id="rId472" Type="http://schemas.openxmlformats.org/officeDocument/2006/relationships/hyperlink" Target="https://my.zakupki.prom.ua/remote/dispatcher/state_purchase_lot_view/3817" TargetMode="External"/><Relationship Id="rId528" Type="http://schemas.openxmlformats.org/officeDocument/2006/relationships/hyperlink" Target="https://my.zakupki.prom.ua/remote/dispatcher/state_purchase_view/4154450" TargetMode="External"/><Relationship Id="rId125" Type="http://schemas.openxmlformats.org/officeDocument/2006/relationships/hyperlink" Target="https://my.zakupki.prom.ua/remote/dispatcher/state_purchase_view/11208768" TargetMode="External"/><Relationship Id="rId167" Type="http://schemas.openxmlformats.org/officeDocument/2006/relationships/hyperlink" Target="https://my.zakupki.prom.ua/remote/dispatcher/state_purchase_view/3449099" TargetMode="External"/><Relationship Id="rId332" Type="http://schemas.openxmlformats.org/officeDocument/2006/relationships/hyperlink" Target="https://my.zakupki.prom.ua/remote/dispatcher/state_purchase_view/10873055" TargetMode="External"/><Relationship Id="rId374" Type="http://schemas.openxmlformats.org/officeDocument/2006/relationships/hyperlink" Target="https://my.zakupki.prom.ua/remote/dispatcher/state_purchase_lot_view/520297" TargetMode="External"/><Relationship Id="rId71" Type="http://schemas.openxmlformats.org/officeDocument/2006/relationships/hyperlink" Target="https://my.zakupki.prom.ua/remote/dispatcher/state_purchase_view/10942884" TargetMode="External"/><Relationship Id="rId234" Type="http://schemas.openxmlformats.org/officeDocument/2006/relationships/hyperlink" Target="https://my.zakupki.prom.ua/remote/dispatcher/state_purchase_view/4820380" TargetMode="External"/><Relationship Id="rId2" Type="http://schemas.openxmlformats.org/officeDocument/2006/relationships/hyperlink" Target="https://my.zakupki.prom.ua/remote/dispatcher/state_purchase_view/480742" TargetMode="External"/><Relationship Id="rId29" Type="http://schemas.openxmlformats.org/officeDocument/2006/relationships/hyperlink" Target="https://my.zakupki.prom.ua/remote/dispatcher/state_purchase_view/10359397" TargetMode="External"/><Relationship Id="rId276" Type="http://schemas.openxmlformats.org/officeDocument/2006/relationships/hyperlink" Target="https://my.zakupki.prom.ua/remote/dispatcher/state_purchase_lot_view/466938" TargetMode="External"/><Relationship Id="rId441" Type="http://schemas.openxmlformats.org/officeDocument/2006/relationships/hyperlink" Target="https://my.zakupki.prom.ua/remote/dispatcher/state_purchase_view/2831988" TargetMode="External"/><Relationship Id="rId483" Type="http://schemas.openxmlformats.org/officeDocument/2006/relationships/hyperlink" Target="https://my.zakupki.prom.ua/remote/dispatcher/state_purchase_view/4932392" TargetMode="External"/><Relationship Id="rId539" Type="http://schemas.openxmlformats.org/officeDocument/2006/relationships/hyperlink" Target="https://my.zakupki.prom.ua/remote/dispatcher/state_purchase_view/13631195" TargetMode="External"/><Relationship Id="rId40" Type="http://schemas.openxmlformats.org/officeDocument/2006/relationships/hyperlink" Target="https://auction.openprocurement.org/tenders/35c42f591ddc4b9c91122f929a94a647_6f2fc1daebc4484fbd80fe5d8c817885" TargetMode="External"/><Relationship Id="rId136" Type="http://schemas.openxmlformats.org/officeDocument/2006/relationships/hyperlink" Target="https://my.zakupki.prom.ua/remote/dispatcher/state_purchase_view/61749" TargetMode="External"/><Relationship Id="rId178" Type="http://schemas.openxmlformats.org/officeDocument/2006/relationships/hyperlink" Target="https://my.zakupki.prom.ua/remote/dispatcher/state_purchase_view/978698" TargetMode="External"/><Relationship Id="rId301" Type="http://schemas.openxmlformats.org/officeDocument/2006/relationships/hyperlink" Target="https://my.zakupki.prom.ua/remote/dispatcher/state_purchase_view/78456" TargetMode="External"/><Relationship Id="rId343" Type="http://schemas.openxmlformats.org/officeDocument/2006/relationships/hyperlink" Target="https://auction.openprocurement.org/tenders/b75de4399f2d4145882de91dbfa57689" TargetMode="External"/><Relationship Id="rId550" Type="http://schemas.openxmlformats.org/officeDocument/2006/relationships/hyperlink" Target="https://my.zakupki.prom.ua/remote/dispatcher/state_purchase_view/7862988" TargetMode="External"/><Relationship Id="rId82" Type="http://schemas.openxmlformats.org/officeDocument/2006/relationships/hyperlink" Target="https://my.zakupki.prom.ua/remote/dispatcher/state_purchase_view/167807" TargetMode="External"/><Relationship Id="rId203" Type="http://schemas.openxmlformats.org/officeDocument/2006/relationships/hyperlink" Target="https://my.zakupki.prom.ua/remote/dispatcher/state_purchase_view/5430577" TargetMode="External"/><Relationship Id="rId385" Type="http://schemas.openxmlformats.org/officeDocument/2006/relationships/hyperlink" Target="https://my.zakupki.prom.ua/remote/dispatcher/state_purchase_view/6776563" TargetMode="External"/><Relationship Id="rId245" Type="http://schemas.openxmlformats.org/officeDocument/2006/relationships/hyperlink" Target="https://my.zakupki.prom.ua/remote/dispatcher/state_purchase_lot_view/106896" TargetMode="External"/><Relationship Id="rId287" Type="http://schemas.openxmlformats.org/officeDocument/2006/relationships/hyperlink" Target="https://my.zakupki.prom.ua/remote/dispatcher/state_purchase_view/8267914" TargetMode="External"/><Relationship Id="rId410" Type="http://schemas.openxmlformats.org/officeDocument/2006/relationships/hyperlink" Target="https://my.zakupki.prom.ua/remote/dispatcher/state_purchase_lot_view/485037" TargetMode="External"/><Relationship Id="rId452" Type="http://schemas.openxmlformats.org/officeDocument/2006/relationships/hyperlink" Target="https://my.zakupki.prom.ua/remote/dispatcher/state_purchase_view/7736448" TargetMode="External"/><Relationship Id="rId494" Type="http://schemas.openxmlformats.org/officeDocument/2006/relationships/hyperlink" Target="https://my.zakupki.prom.ua/remote/dispatcher/state_purchase_view/8433164" TargetMode="External"/><Relationship Id="rId508" Type="http://schemas.openxmlformats.org/officeDocument/2006/relationships/hyperlink" Target="https://my.zakupki.prom.ua/remote/dispatcher/state_purchase_lot_view/56289" TargetMode="External"/><Relationship Id="rId105" Type="http://schemas.openxmlformats.org/officeDocument/2006/relationships/hyperlink" Target="https://auction.openprocurement.org/tenders/2c54c004d5f349ec973db9014bb9048d" TargetMode="External"/><Relationship Id="rId147" Type="http://schemas.openxmlformats.org/officeDocument/2006/relationships/hyperlink" Target="https://auction.openprocurement.org/tenders/e01bc842e21a4b52a866d6c4ec3a91bd" TargetMode="External"/><Relationship Id="rId312" Type="http://schemas.openxmlformats.org/officeDocument/2006/relationships/hyperlink" Target="https://auction.openprocurement.org/tenders/2aadec66771b4d4f8a7c2de4cbc1ee4f" TargetMode="External"/><Relationship Id="rId354" Type="http://schemas.openxmlformats.org/officeDocument/2006/relationships/hyperlink" Target="https://my.zakupki.prom.ua/remote/dispatcher/state_purchase_view/135004" TargetMode="External"/><Relationship Id="rId51" Type="http://schemas.openxmlformats.org/officeDocument/2006/relationships/hyperlink" Target="https://my.zakupki.prom.ua/remote/dispatcher/state_purchase_view/5790493" TargetMode="External"/><Relationship Id="rId93" Type="http://schemas.openxmlformats.org/officeDocument/2006/relationships/hyperlink" Target="https://auction.openprocurement.org/tenders/6400cb4e75654feea45669d7be6cb9cd" TargetMode="External"/><Relationship Id="rId189" Type="http://schemas.openxmlformats.org/officeDocument/2006/relationships/hyperlink" Target="https://my.zakupki.prom.ua/remote/dispatcher/state_purchase_view/2623194" TargetMode="External"/><Relationship Id="rId396" Type="http://schemas.openxmlformats.org/officeDocument/2006/relationships/hyperlink" Target="https://my.zakupki.prom.ua/remote/dispatcher/state_purchase_view/12369990" TargetMode="External"/><Relationship Id="rId214" Type="http://schemas.openxmlformats.org/officeDocument/2006/relationships/hyperlink" Target="https://my.zakupki.prom.ua/remote/dispatcher/state_purchase_view/13289908" TargetMode="External"/><Relationship Id="rId256" Type="http://schemas.openxmlformats.org/officeDocument/2006/relationships/hyperlink" Target="https://my.zakupki.prom.ua/remote/dispatcher/state_purchase_view/14924287" TargetMode="External"/><Relationship Id="rId298" Type="http://schemas.openxmlformats.org/officeDocument/2006/relationships/hyperlink" Target="https://my.zakupki.prom.ua/remote/dispatcher/state_purchase_view/15463855" TargetMode="External"/><Relationship Id="rId421" Type="http://schemas.openxmlformats.org/officeDocument/2006/relationships/hyperlink" Target="https://my.zakupki.prom.ua/remote/dispatcher/state_purchase_view/8848933" TargetMode="External"/><Relationship Id="rId463" Type="http://schemas.openxmlformats.org/officeDocument/2006/relationships/hyperlink" Target="https://my.zakupki.prom.ua/remote/dispatcher/state_purchase_view/1067375" TargetMode="External"/><Relationship Id="rId519" Type="http://schemas.openxmlformats.org/officeDocument/2006/relationships/hyperlink" Target="https://auction.openprocurement.org/tenders/ef85cbb0182f4974a740201bdc90d3c8" TargetMode="External"/><Relationship Id="rId116" Type="http://schemas.openxmlformats.org/officeDocument/2006/relationships/hyperlink" Target="https://my.zakupki.prom.ua/remote/dispatcher/state_purchase_view/11430745" TargetMode="External"/><Relationship Id="rId158" Type="http://schemas.openxmlformats.org/officeDocument/2006/relationships/hyperlink" Target="https://my.zakupki.prom.ua/remote/dispatcher/state_purchase_view/946585" TargetMode="External"/><Relationship Id="rId323" Type="http://schemas.openxmlformats.org/officeDocument/2006/relationships/hyperlink" Target="https://auction.openprocurement.org/tenders/d9425382293d46b9b3bbb370f2a84158" TargetMode="External"/><Relationship Id="rId530" Type="http://schemas.openxmlformats.org/officeDocument/2006/relationships/hyperlink" Target="https://my.zakupki.prom.ua/remote/dispatcher/state_purchase_view/4153785" TargetMode="External"/><Relationship Id="rId20" Type="http://schemas.openxmlformats.org/officeDocument/2006/relationships/hyperlink" Target="https://my.zakupki.prom.ua/remote/dispatcher/state_purchase_view/14961526" TargetMode="External"/><Relationship Id="rId62" Type="http://schemas.openxmlformats.org/officeDocument/2006/relationships/hyperlink" Target="https://auction.openprocurement.org/tenders/0dab60e492ad4cd48d65e6bd31643cb0" TargetMode="External"/><Relationship Id="rId365" Type="http://schemas.openxmlformats.org/officeDocument/2006/relationships/hyperlink" Target="https://my.zakupki.prom.ua/remote/dispatcher/state_purchase_lot_view/117133" TargetMode="External"/><Relationship Id="rId225" Type="http://schemas.openxmlformats.org/officeDocument/2006/relationships/hyperlink" Target="https://my.zakupki.prom.ua/remote/dispatcher/state_purchase_view/10059685" TargetMode="External"/><Relationship Id="rId267" Type="http://schemas.openxmlformats.org/officeDocument/2006/relationships/hyperlink" Target="https://my.zakupki.prom.ua/remote/dispatcher/state_purchase_lot_view/21944" TargetMode="External"/><Relationship Id="rId432" Type="http://schemas.openxmlformats.org/officeDocument/2006/relationships/hyperlink" Target="https://my.zakupki.prom.ua/remote/dispatcher/state_purchase_view/629018" TargetMode="External"/><Relationship Id="rId474" Type="http://schemas.openxmlformats.org/officeDocument/2006/relationships/hyperlink" Target="https://my.zakupki.prom.ua/remote/dispatcher/state_purchase_view/7644550" TargetMode="External"/><Relationship Id="rId127" Type="http://schemas.openxmlformats.org/officeDocument/2006/relationships/hyperlink" Target="https://my.zakupki.prom.ua/remote/dispatcher/state_purchase_lot_view/467962" TargetMode="External"/><Relationship Id="rId31" Type="http://schemas.openxmlformats.org/officeDocument/2006/relationships/hyperlink" Target="https://my.zakupki.prom.ua/remote/dispatcher/state_purchase_view/10397638" TargetMode="External"/><Relationship Id="rId73" Type="http://schemas.openxmlformats.org/officeDocument/2006/relationships/hyperlink" Target="https://my.zakupki.prom.ua/remote/dispatcher/state_purchase_lot_view/526902" TargetMode="External"/><Relationship Id="rId169" Type="http://schemas.openxmlformats.org/officeDocument/2006/relationships/hyperlink" Target="https://my.zakupki.prom.ua/remote/dispatcher/state_purchase_view/3180846" TargetMode="External"/><Relationship Id="rId334" Type="http://schemas.openxmlformats.org/officeDocument/2006/relationships/hyperlink" Target="https://my.zakupki.prom.ua/remote/dispatcher/state_purchase_view/10873020" TargetMode="External"/><Relationship Id="rId376" Type="http://schemas.openxmlformats.org/officeDocument/2006/relationships/hyperlink" Target="https://auction.openprocurement.org/tenders/ba552f0647a14159b0a9347b363c6065" TargetMode="External"/><Relationship Id="rId541" Type="http://schemas.openxmlformats.org/officeDocument/2006/relationships/hyperlink" Target="https://my.zakupki.prom.ua/remote/dispatcher/state_purchase_view/13865093" TargetMode="External"/><Relationship Id="rId4" Type="http://schemas.openxmlformats.org/officeDocument/2006/relationships/hyperlink" Target="https://my.zakupki.prom.ua/remote/dispatcher/state_purchase_view/10873072" TargetMode="External"/><Relationship Id="rId180" Type="http://schemas.openxmlformats.org/officeDocument/2006/relationships/hyperlink" Target="https://auction.openprocurement.org/tenders/66ee023a240d4985bb157c46c84e3e83" TargetMode="External"/><Relationship Id="rId236" Type="http://schemas.openxmlformats.org/officeDocument/2006/relationships/hyperlink" Target="https://my.zakupki.prom.ua/remote/dispatcher/state_purchase_view/4820654" TargetMode="External"/><Relationship Id="rId278" Type="http://schemas.openxmlformats.org/officeDocument/2006/relationships/hyperlink" Target="https://my.zakupki.prom.ua/remote/dispatcher/state_purchase_lot_view/464413" TargetMode="External"/><Relationship Id="rId401" Type="http://schemas.openxmlformats.org/officeDocument/2006/relationships/hyperlink" Target="https://auction.openprocurement.org/tenders/4273481e9e5c450b81c82b43980ddb0c" TargetMode="External"/><Relationship Id="rId443" Type="http://schemas.openxmlformats.org/officeDocument/2006/relationships/hyperlink" Target="https://my.zakupki.prom.ua/remote/dispatcher/state_purchase_view/2900877" TargetMode="External"/><Relationship Id="rId303" Type="http://schemas.openxmlformats.org/officeDocument/2006/relationships/hyperlink" Target="https://auction.openprocurement.org/tenders/4b153218552a40b480f65b66126caf88" TargetMode="External"/><Relationship Id="rId485" Type="http://schemas.openxmlformats.org/officeDocument/2006/relationships/hyperlink" Target="https://my.zakupki.prom.ua/remote/dispatcher/state_purchase_view/4876579" TargetMode="External"/><Relationship Id="rId42" Type="http://schemas.openxmlformats.org/officeDocument/2006/relationships/hyperlink" Target="https://my.zakupki.prom.ua/remote/dispatcher/state_purchase_view/15526253" TargetMode="External"/><Relationship Id="rId84" Type="http://schemas.openxmlformats.org/officeDocument/2006/relationships/hyperlink" Target="https://auction.openprocurement.org/tenders/b87e09c3d0a0484288f504e0153a5acb" TargetMode="External"/><Relationship Id="rId138" Type="http://schemas.openxmlformats.org/officeDocument/2006/relationships/hyperlink" Target="https://auction.openprocurement.org/tenders/d6b2ee5e44bc445bb696a01b0ac8dd4c" TargetMode="External"/><Relationship Id="rId345" Type="http://schemas.openxmlformats.org/officeDocument/2006/relationships/hyperlink" Target="https://my.zakupki.prom.ua/remote/dispatcher/state_purchase_view/616777" TargetMode="External"/><Relationship Id="rId387" Type="http://schemas.openxmlformats.org/officeDocument/2006/relationships/hyperlink" Target="https://my.zakupki.prom.ua/remote/dispatcher/state_purchase_view/6947364" TargetMode="External"/><Relationship Id="rId510" Type="http://schemas.openxmlformats.org/officeDocument/2006/relationships/hyperlink" Target="https://my.zakupki.prom.ua/remote/dispatcher/state_purchase_lot_view/60277" TargetMode="External"/><Relationship Id="rId552" Type="http://schemas.openxmlformats.org/officeDocument/2006/relationships/hyperlink" Target="https://my.zakupki.prom.ua/remote/dispatcher/state_purchase_view/8169200" TargetMode="External"/><Relationship Id="rId191" Type="http://schemas.openxmlformats.org/officeDocument/2006/relationships/hyperlink" Target="https://my.zakupki.prom.ua/remote/dispatcher/state_purchase_view/2624379" TargetMode="External"/><Relationship Id="rId205" Type="http://schemas.openxmlformats.org/officeDocument/2006/relationships/hyperlink" Target="https://my.zakupki.prom.ua/remote/dispatcher/state_purchase_view/10868584" TargetMode="External"/><Relationship Id="rId247" Type="http://schemas.openxmlformats.org/officeDocument/2006/relationships/hyperlink" Target="https://my.zakupki.prom.ua/remote/dispatcher/state_purchase_view/8748318" TargetMode="External"/><Relationship Id="rId412" Type="http://schemas.openxmlformats.org/officeDocument/2006/relationships/hyperlink" Target="https://my.zakupki.prom.ua/remote/dispatcher/state_purchase_lot_view/117135" TargetMode="External"/><Relationship Id="rId107" Type="http://schemas.openxmlformats.org/officeDocument/2006/relationships/hyperlink" Target="https://auction.openprocurement.org/tenders/941031e3e83741b8a944b8edfa3d2986" TargetMode="External"/><Relationship Id="rId289" Type="http://schemas.openxmlformats.org/officeDocument/2006/relationships/hyperlink" Target="https://my.zakupki.prom.ua/remote/dispatcher/state_purchase_lot_view/10897" TargetMode="External"/><Relationship Id="rId454" Type="http://schemas.openxmlformats.org/officeDocument/2006/relationships/hyperlink" Target="https://my.zakupki.prom.ua/remote/dispatcher/state_purchase_view/7796439" TargetMode="External"/><Relationship Id="rId496" Type="http://schemas.openxmlformats.org/officeDocument/2006/relationships/hyperlink" Target="https://auction.openprocurement.org/tenders/96d62aa2312942aeaaaa344935bc128c" TargetMode="External"/><Relationship Id="rId11" Type="http://schemas.openxmlformats.org/officeDocument/2006/relationships/hyperlink" Target="https://my.zakupki.prom.ua/remote/dispatcher/state_purchase_view/290840" TargetMode="External"/><Relationship Id="rId53" Type="http://schemas.openxmlformats.org/officeDocument/2006/relationships/hyperlink" Target="https://auction.openprocurement.org/tenders/e28194313ce44630bd461d62cf05056f" TargetMode="External"/><Relationship Id="rId149" Type="http://schemas.openxmlformats.org/officeDocument/2006/relationships/hyperlink" Target="https://auction.openprocurement.org/tenders/9b0a294234dc412586fc2084b44ab4ac" TargetMode="External"/><Relationship Id="rId314" Type="http://schemas.openxmlformats.org/officeDocument/2006/relationships/hyperlink" Target="https://auction.openprocurement.org/tenders/c43300e3bd4f40d9a8ebf763d2c65d05" TargetMode="External"/><Relationship Id="rId356" Type="http://schemas.openxmlformats.org/officeDocument/2006/relationships/hyperlink" Target="https://my.zakupki.prom.ua/remote/dispatcher/state_purchase_view/143840" TargetMode="External"/><Relationship Id="rId398" Type="http://schemas.openxmlformats.org/officeDocument/2006/relationships/hyperlink" Target="https://my.zakupki.prom.ua/remote/dispatcher/state_purchase_view/12316160" TargetMode="External"/><Relationship Id="rId521" Type="http://schemas.openxmlformats.org/officeDocument/2006/relationships/hyperlink" Target="https://auction.openprocurement.org/tenders/0617d87e7fe44cd385de7dda61fafab1" TargetMode="External"/><Relationship Id="rId95" Type="http://schemas.openxmlformats.org/officeDocument/2006/relationships/hyperlink" Target="https://auction.openprocurement.org/tenders/0af1efa6bc23491fb88f3be5490ad1e4" TargetMode="External"/><Relationship Id="rId160" Type="http://schemas.openxmlformats.org/officeDocument/2006/relationships/hyperlink" Target="https://my.zakupki.prom.ua/remote/dispatcher/state_purchase_lot_view/117134" TargetMode="External"/><Relationship Id="rId216" Type="http://schemas.openxmlformats.org/officeDocument/2006/relationships/hyperlink" Target="https://my.zakupki.prom.ua/remote/dispatcher/state_purchase_view/13607684" TargetMode="External"/><Relationship Id="rId423" Type="http://schemas.openxmlformats.org/officeDocument/2006/relationships/hyperlink" Target="https://my.zakupki.prom.ua/remote/dispatcher/state_purchase_view/10058578" TargetMode="External"/><Relationship Id="rId258" Type="http://schemas.openxmlformats.org/officeDocument/2006/relationships/hyperlink" Target="https://my.zakupki.prom.ua/remote/dispatcher/state_purchase_view/14894862" TargetMode="External"/><Relationship Id="rId465" Type="http://schemas.openxmlformats.org/officeDocument/2006/relationships/hyperlink" Target="https://my.zakupki.prom.ua/remote/dispatcher/state_purchase_lot_view/21768" TargetMode="External"/><Relationship Id="rId22" Type="http://schemas.openxmlformats.org/officeDocument/2006/relationships/hyperlink" Target="https://my.zakupki.prom.ua/remote/dispatcher/state_purchase_view/15222125" TargetMode="External"/><Relationship Id="rId64" Type="http://schemas.openxmlformats.org/officeDocument/2006/relationships/hyperlink" Target="https://my.zakupki.prom.ua/remote/dispatcher/state_purchase_view/78595" TargetMode="External"/><Relationship Id="rId118" Type="http://schemas.openxmlformats.org/officeDocument/2006/relationships/hyperlink" Target="https://my.zakupki.prom.ua/remote/dispatcher/state_purchase_view/11568859" TargetMode="External"/><Relationship Id="rId325" Type="http://schemas.openxmlformats.org/officeDocument/2006/relationships/hyperlink" Target="https://my.zakupki.prom.ua/remote/dispatcher/state_purchase_lot_view/121367" TargetMode="External"/><Relationship Id="rId367" Type="http://schemas.openxmlformats.org/officeDocument/2006/relationships/hyperlink" Target="https://my.zakupki.prom.ua/remote/dispatcher/state_purchase_view/271108" TargetMode="External"/><Relationship Id="rId532" Type="http://schemas.openxmlformats.org/officeDocument/2006/relationships/hyperlink" Target="https://my.zakupki.prom.ua/remote/dispatcher/state_purchase_view/4151927" TargetMode="External"/><Relationship Id="rId171" Type="http://schemas.openxmlformats.org/officeDocument/2006/relationships/hyperlink" Target="https://my.zakupki.prom.ua/remote/dispatcher/state_purchase_view/3623488" TargetMode="External"/><Relationship Id="rId227" Type="http://schemas.openxmlformats.org/officeDocument/2006/relationships/hyperlink" Target="https://my.zakupki.prom.ua/remote/dispatcher/state_purchase_view/10270813" TargetMode="External"/><Relationship Id="rId269" Type="http://schemas.openxmlformats.org/officeDocument/2006/relationships/hyperlink" Target="https://my.zakupki.prom.ua/remote/dispatcher/state_purchase_lot_view/48822" TargetMode="External"/><Relationship Id="rId434" Type="http://schemas.openxmlformats.org/officeDocument/2006/relationships/hyperlink" Target="https://auction.openprocurement.org/tenders/3b354ffcdbf3457e86e4775e0b4de207_93d67a216c094ed0b04f6b3ba0ad2acd" TargetMode="External"/><Relationship Id="rId476" Type="http://schemas.openxmlformats.org/officeDocument/2006/relationships/hyperlink" Target="https://auction.openprocurement.org/tenders/f591e20d2b0a4e7d86374ef498aeca70" TargetMode="External"/><Relationship Id="rId33" Type="http://schemas.openxmlformats.org/officeDocument/2006/relationships/hyperlink" Target="https://my.zakupki.prom.ua/remote/dispatcher/state_purchase_view/10569412" TargetMode="External"/><Relationship Id="rId129" Type="http://schemas.openxmlformats.org/officeDocument/2006/relationships/hyperlink" Target="https://my.zakupki.prom.ua/remote/dispatcher/state_purchase_lot_view/472651" TargetMode="External"/><Relationship Id="rId280" Type="http://schemas.openxmlformats.org/officeDocument/2006/relationships/hyperlink" Target="https://my.zakupki.prom.ua/remote/dispatcher/state_purchase_view/15789527" TargetMode="External"/><Relationship Id="rId336" Type="http://schemas.openxmlformats.org/officeDocument/2006/relationships/hyperlink" Target="https://auction.openprocurement.org/tenders/c19637d4b1a44efaadc9a2eddc912b09_e49c665f3b0f4039ac111c7d7bfb9814" TargetMode="External"/><Relationship Id="rId501" Type="http://schemas.openxmlformats.org/officeDocument/2006/relationships/hyperlink" Target="https://my.zakupki.prom.ua/remote/dispatcher/state_purchase_view/12814487" TargetMode="External"/><Relationship Id="rId543" Type="http://schemas.openxmlformats.org/officeDocument/2006/relationships/hyperlink" Target="https://my.zakupki.prom.ua/remote/dispatcher/state_purchase_view/14756361" TargetMode="External"/><Relationship Id="rId75" Type="http://schemas.openxmlformats.org/officeDocument/2006/relationships/hyperlink" Target="https://auction.openprocurement.org/tenders/00cece14b5f541a6b99e55b2095922f0" TargetMode="External"/><Relationship Id="rId140" Type="http://schemas.openxmlformats.org/officeDocument/2006/relationships/hyperlink" Target="https://my.zakupki.prom.ua/remote/dispatcher/state_purchase_lot_view/125898" TargetMode="External"/><Relationship Id="rId182" Type="http://schemas.openxmlformats.org/officeDocument/2006/relationships/hyperlink" Target="https://my.zakupki.prom.ua/remote/dispatcher/state_purchase_view/11208806" TargetMode="External"/><Relationship Id="rId378" Type="http://schemas.openxmlformats.org/officeDocument/2006/relationships/hyperlink" Target="https://my.zakupki.prom.ua/remote/dispatcher/state_purchase_view/4819744" TargetMode="External"/><Relationship Id="rId403" Type="http://schemas.openxmlformats.org/officeDocument/2006/relationships/hyperlink" Target="https://auction.openprocurement.org/tenders/12b10b013a0b4e6a846cd5bcf281fb41_b150a92f05494e32abe05b9dcd8eb285" TargetMode="External"/><Relationship Id="rId6" Type="http://schemas.openxmlformats.org/officeDocument/2006/relationships/hyperlink" Target="https://my.zakupki.prom.ua/remote/dispatcher/state_purchase_view/10976385" TargetMode="External"/><Relationship Id="rId238" Type="http://schemas.openxmlformats.org/officeDocument/2006/relationships/hyperlink" Target="https://my.zakupki.prom.ua/remote/dispatcher/state_purchase_view/4820850" TargetMode="External"/><Relationship Id="rId445" Type="http://schemas.openxmlformats.org/officeDocument/2006/relationships/hyperlink" Target="https://my.zakupki.prom.ua/remote/dispatcher/state_purchase_view/3074218" TargetMode="External"/><Relationship Id="rId487" Type="http://schemas.openxmlformats.org/officeDocument/2006/relationships/hyperlink" Target="https://my.zakupki.prom.ua/remote/dispatcher/state_purchase_view/172872" TargetMode="External"/><Relationship Id="rId291" Type="http://schemas.openxmlformats.org/officeDocument/2006/relationships/hyperlink" Target="https://my.zakupki.prom.ua/remote/dispatcher/state_purchase_view/15250782" TargetMode="External"/><Relationship Id="rId305" Type="http://schemas.openxmlformats.org/officeDocument/2006/relationships/hyperlink" Target="https://my.zakupki.prom.ua/remote/dispatcher/state_purchase_view/4020909" TargetMode="External"/><Relationship Id="rId347" Type="http://schemas.openxmlformats.org/officeDocument/2006/relationships/hyperlink" Target="https://auction.openprocurement.org/tenders/25ba20ccdd344497ad28b963fee6d68e" TargetMode="External"/><Relationship Id="rId512" Type="http://schemas.openxmlformats.org/officeDocument/2006/relationships/hyperlink" Target="https://my.zakupki.prom.ua/remote/dispatcher/state_purchase_view/6243969" TargetMode="External"/><Relationship Id="rId44" Type="http://schemas.openxmlformats.org/officeDocument/2006/relationships/hyperlink" Target="https://my.zakupki.prom.ua/remote/dispatcher/state_purchase_view/15533294" TargetMode="External"/><Relationship Id="rId86" Type="http://schemas.openxmlformats.org/officeDocument/2006/relationships/hyperlink" Target="https://auction.openprocurement.org/tenders/6f510bf4abac4657a924b82e7e68e0d0" TargetMode="External"/><Relationship Id="rId151" Type="http://schemas.openxmlformats.org/officeDocument/2006/relationships/hyperlink" Target="https://my.zakupki.prom.ua/remote/dispatcher/state_purchase_view/929448" TargetMode="External"/><Relationship Id="rId389" Type="http://schemas.openxmlformats.org/officeDocument/2006/relationships/hyperlink" Target="https://my.zakupki.prom.ua/remote/dispatcher/state_purchase_view/11833307" TargetMode="External"/><Relationship Id="rId554" Type="http://schemas.openxmlformats.org/officeDocument/2006/relationships/hyperlink" Target="https://my.zakupki.prom.ua/remote/dispatcher/state_purchase_view/8432994" TargetMode="External"/><Relationship Id="rId193" Type="http://schemas.openxmlformats.org/officeDocument/2006/relationships/hyperlink" Target="https://my.zakupki.prom.ua/remote/dispatcher/state_purchase_view/2204026" TargetMode="External"/><Relationship Id="rId207" Type="http://schemas.openxmlformats.org/officeDocument/2006/relationships/hyperlink" Target="https://my.zakupki.prom.ua/remote/dispatcher/state_purchase_view/10860108" TargetMode="External"/><Relationship Id="rId249" Type="http://schemas.openxmlformats.org/officeDocument/2006/relationships/hyperlink" Target="https://my.zakupki.prom.ua/remote/dispatcher/state_purchase_view/57883" TargetMode="External"/><Relationship Id="rId414" Type="http://schemas.openxmlformats.org/officeDocument/2006/relationships/hyperlink" Target="https://auction.openprocurement.org/tenders/c7495dd648e9461ba58ca432187e0510" TargetMode="External"/><Relationship Id="rId456" Type="http://schemas.openxmlformats.org/officeDocument/2006/relationships/hyperlink" Target="https://my.zakupki.prom.ua/remote/dispatcher/state_purchase_view/7309101" TargetMode="External"/><Relationship Id="rId498" Type="http://schemas.openxmlformats.org/officeDocument/2006/relationships/hyperlink" Target="https://my.zakupki.prom.ua/remote/dispatcher/state_purchase_view/13028198" TargetMode="External"/><Relationship Id="rId13" Type="http://schemas.openxmlformats.org/officeDocument/2006/relationships/hyperlink" Target="https://my.zakupki.prom.ua/remote/dispatcher/state_purchase_view/15075578" TargetMode="External"/><Relationship Id="rId109" Type="http://schemas.openxmlformats.org/officeDocument/2006/relationships/hyperlink" Target="https://my.zakupki.prom.ua/remote/dispatcher/state_purchase_view/2198002" TargetMode="External"/><Relationship Id="rId260" Type="http://schemas.openxmlformats.org/officeDocument/2006/relationships/hyperlink" Target="https://my.zakupki.prom.ua/remote/dispatcher/state_purchase_view/15025981" TargetMode="External"/><Relationship Id="rId316" Type="http://schemas.openxmlformats.org/officeDocument/2006/relationships/hyperlink" Target="https://auction.openprocurement.org/tenders/6afc374e63c54f17b6ec5de96c2378f3" TargetMode="External"/><Relationship Id="rId523" Type="http://schemas.openxmlformats.org/officeDocument/2006/relationships/hyperlink" Target="https://my.zakupki.prom.ua/remote/dispatcher/state_purchase_view/7640621" TargetMode="External"/><Relationship Id="rId55" Type="http://schemas.openxmlformats.org/officeDocument/2006/relationships/hyperlink" Target="https://my.zakupki.prom.ua/remote/dispatcher/state_purchase_view/6776462" TargetMode="External"/><Relationship Id="rId97" Type="http://schemas.openxmlformats.org/officeDocument/2006/relationships/hyperlink" Target="https://my.zakupki.prom.ua/remote/dispatcher/state_purchase_view/6667455" TargetMode="External"/><Relationship Id="rId120" Type="http://schemas.openxmlformats.org/officeDocument/2006/relationships/hyperlink" Target="https://my.zakupki.prom.ua/remote/dispatcher/state_purchase_view/5788943" TargetMode="External"/><Relationship Id="rId358" Type="http://schemas.openxmlformats.org/officeDocument/2006/relationships/hyperlink" Target="https://my.zakupki.prom.ua/remote/dispatcher/state_purchase_view/143963" TargetMode="External"/><Relationship Id="rId162" Type="http://schemas.openxmlformats.org/officeDocument/2006/relationships/hyperlink" Target="https://my.zakupki.prom.ua/remote/dispatcher/state_purchase_lot_view/119503" TargetMode="External"/><Relationship Id="rId218" Type="http://schemas.openxmlformats.org/officeDocument/2006/relationships/hyperlink" Target="https://my.zakupki.prom.ua/remote/dispatcher/state_purchase_view/13103911" TargetMode="External"/><Relationship Id="rId425" Type="http://schemas.openxmlformats.org/officeDocument/2006/relationships/hyperlink" Target="https://my.zakupki.prom.ua/remote/dispatcher/state_purchase_view/506431" TargetMode="External"/><Relationship Id="rId467" Type="http://schemas.openxmlformats.org/officeDocument/2006/relationships/hyperlink" Target="https://my.zakupki.prom.ua/remote/dispatcher/state_purchase_lot_view/18519" TargetMode="External"/><Relationship Id="rId271" Type="http://schemas.openxmlformats.org/officeDocument/2006/relationships/hyperlink" Target="https://my.zakupki.prom.ua/remote/dispatcher/state_purchase_lot_view/47001" TargetMode="External"/><Relationship Id="rId24" Type="http://schemas.openxmlformats.org/officeDocument/2006/relationships/hyperlink" Target="https://auction.openprocurement.org/tenders/fec61aec86714606928ef49ab47e38ca" TargetMode="External"/><Relationship Id="rId66" Type="http://schemas.openxmlformats.org/officeDocument/2006/relationships/hyperlink" Target="https://my.zakupki.prom.ua/remote/dispatcher/state_purchase_view/47403" TargetMode="External"/><Relationship Id="rId131" Type="http://schemas.openxmlformats.org/officeDocument/2006/relationships/hyperlink" Target="https://my.zakupki.prom.ua/remote/dispatcher/state_purchase_lot_view/467961" TargetMode="External"/><Relationship Id="rId327" Type="http://schemas.openxmlformats.org/officeDocument/2006/relationships/hyperlink" Target="https://my.zakupki.prom.ua/remote/dispatcher/state_purchase_view/36636" TargetMode="External"/><Relationship Id="rId369" Type="http://schemas.openxmlformats.org/officeDocument/2006/relationships/hyperlink" Target="https://my.zakupki.prom.ua/remote/dispatcher/state_purchase_view/479698" TargetMode="External"/><Relationship Id="rId534" Type="http://schemas.openxmlformats.org/officeDocument/2006/relationships/hyperlink" Target="https://my.zakupki.prom.ua/remote/dispatcher/state_purchase_view/7384982" TargetMode="External"/><Relationship Id="rId173" Type="http://schemas.openxmlformats.org/officeDocument/2006/relationships/hyperlink" Target="https://my.zakupki.prom.ua/remote/dispatcher/state_purchase_view/3449377" TargetMode="External"/><Relationship Id="rId229" Type="http://schemas.openxmlformats.org/officeDocument/2006/relationships/hyperlink" Target="https://auction.openprocurement.org/tenders/7265ca8865d04f61b606d24e240511d3" TargetMode="External"/><Relationship Id="rId380" Type="http://schemas.openxmlformats.org/officeDocument/2006/relationships/hyperlink" Target="https://my.zakupki.prom.ua/remote/dispatcher/state_purchase_view/8433432" TargetMode="External"/><Relationship Id="rId436" Type="http://schemas.openxmlformats.org/officeDocument/2006/relationships/hyperlink" Target="https://my.zakupki.prom.ua/remote/dispatcher/state_purchase_lot_view/28481" TargetMode="External"/><Relationship Id="rId240" Type="http://schemas.openxmlformats.org/officeDocument/2006/relationships/hyperlink" Target="https://my.zakupki.prom.ua/remote/dispatcher/state_purchase_view/4868200" TargetMode="External"/><Relationship Id="rId478" Type="http://schemas.openxmlformats.org/officeDocument/2006/relationships/hyperlink" Target="https://my.zakupki.prom.ua/remote/dispatcher/state_purchase_view/5428291" TargetMode="External"/><Relationship Id="rId35" Type="http://schemas.openxmlformats.org/officeDocument/2006/relationships/hyperlink" Target="https://my.zakupki.prom.ua/remote/dispatcher/state_purchase_view/10327663" TargetMode="External"/><Relationship Id="rId77" Type="http://schemas.openxmlformats.org/officeDocument/2006/relationships/hyperlink" Target="https://auction.openprocurement.org/tenders/7bf27df1cc6e45b69f8cb16e8647d8bf" TargetMode="External"/><Relationship Id="rId100" Type="http://schemas.openxmlformats.org/officeDocument/2006/relationships/hyperlink" Target="https://my.zakupki.prom.ua/remote/dispatcher/state_purchase_view/6350945" TargetMode="External"/><Relationship Id="rId282" Type="http://schemas.openxmlformats.org/officeDocument/2006/relationships/hyperlink" Target="https://my.zakupki.prom.ua/remote/dispatcher/state_purchase_view/15737833" TargetMode="External"/><Relationship Id="rId338" Type="http://schemas.openxmlformats.org/officeDocument/2006/relationships/hyperlink" Target="https://auction.openprocurement.org/tenders/279b38c3af5d47249f59a186cfb90656" TargetMode="External"/><Relationship Id="rId503" Type="http://schemas.openxmlformats.org/officeDocument/2006/relationships/hyperlink" Target="https://my.zakupki.prom.ua/remote/dispatcher/state_purchase_view/12699265" TargetMode="External"/><Relationship Id="rId545" Type="http://schemas.openxmlformats.org/officeDocument/2006/relationships/hyperlink" Target="https://my.zakupki.prom.ua/remote/dispatcher/state_purchase_view/13813851" TargetMode="External"/><Relationship Id="rId8" Type="http://schemas.openxmlformats.org/officeDocument/2006/relationships/hyperlink" Target="https://my.zakupki.prom.ua/remote/dispatcher/state_purchase_view/10959606" TargetMode="External"/><Relationship Id="rId142" Type="http://schemas.openxmlformats.org/officeDocument/2006/relationships/hyperlink" Target="https://my.zakupki.prom.ua/remote/dispatcher/state_purchase_lot_view/126032" TargetMode="External"/><Relationship Id="rId184" Type="http://schemas.openxmlformats.org/officeDocument/2006/relationships/hyperlink" Target="https://auction.openprocurement.org/tenders/8e2c5c012f624b6bb15b13b41b673e7c_ff2950befb98499f988d0fccdaf8624d" TargetMode="External"/><Relationship Id="rId391" Type="http://schemas.openxmlformats.org/officeDocument/2006/relationships/hyperlink" Target="https://my.zakupki.prom.ua/remote/dispatcher/state_purchase_view/12477955" TargetMode="External"/><Relationship Id="rId405" Type="http://schemas.openxmlformats.org/officeDocument/2006/relationships/hyperlink" Target="https://auction.openprocurement.org/tenders/68098726a8034c03b6e47ef7168bb9af_1a9de84cf5a4480b81940109c1f5eeca" TargetMode="External"/><Relationship Id="rId447" Type="http://schemas.openxmlformats.org/officeDocument/2006/relationships/hyperlink" Target="https://auction.openprocurement.org/tenders/36f354c4391b4937b1a52ad222e3b4f7" TargetMode="External"/><Relationship Id="rId251" Type="http://schemas.openxmlformats.org/officeDocument/2006/relationships/hyperlink" Target="https://auction.openprocurement.org/tenders/d30079afd4584209be1d45fe37e75da2" TargetMode="External"/><Relationship Id="rId489" Type="http://schemas.openxmlformats.org/officeDocument/2006/relationships/hyperlink" Target="https://my.zakupki.prom.ua/remote/dispatcher/state_purchase_view/8433312" TargetMode="External"/><Relationship Id="rId46" Type="http://schemas.openxmlformats.org/officeDocument/2006/relationships/hyperlink" Target="https://my.zakupki.prom.ua/remote/dispatcher/state_purchase_view/15542016" TargetMode="External"/><Relationship Id="rId293" Type="http://schemas.openxmlformats.org/officeDocument/2006/relationships/hyperlink" Target="https://my.zakupki.prom.ua/remote/dispatcher/state_purchase_view/15303230" TargetMode="External"/><Relationship Id="rId307" Type="http://schemas.openxmlformats.org/officeDocument/2006/relationships/hyperlink" Target="https://my.zakupki.prom.ua/remote/dispatcher/state_purchase_view/11208458" TargetMode="External"/><Relationship Id="rId349" Type="http://schemas.openxmlformats.org/officeDocument/2006/relationships/hyperlink" Target="https://auction.openprocurement.org/tenders/498f75cfc05c48fe8b92e2ea132292f4_58c15e6f6edb400a9ab5f2bd5b913ac1" TargetMode="External"/><Relationship Id="rId514" Type="http://schemas.openxmlformats.org/officeDocument/2006/relationships/hyperlink" Target="https://my.zakupki.prom.ua/remote/dispatcher/state_purchase_view/6242491" TargetMode="External"/><Relationship Id="rId556" Type="http://schemas.openxmlformats.org/officeDocument/2006/relationships/hyperlink" Target="https://auction.openprocurement.org/tenders/88bbcae56e4e423d8c5fa55ee9359ab1" TargetMode="External"/><Relationship Id="rId88" Type="http://schemas.openxmlformats.org/officeDocument/2006/relationships/hyperlink" Target="https://auction.openprocurement.org/tenders/1cc7abb9329f474a9e12ef715d7f039d" TargetMode="External"/><Relationship Id="rId111" Type="http://schemas.openxmlformats.org/officeDocument/2006/relationships/hyperlink" Target="https://my.zakupki.prom.ua/remote/dispatcher/state_purchase_view/11397901" TargetMode="External"/><Relationship Id="rId153" Type="http://schemas.openxmlformats.org/officeDocument/2006/relationships/hyperlink" Target="https://my.zakupki.prom.ua/remote/dispatcher/state_purchase_view/946799" TargetMode="External"/><Relationship Id="rId195" Type="http://schemas.openxmlformats.org/officeDocument/2006/relationships/hyperlink" Target="https://my.zakupki.prom.ua/remote/dispatcher/state_purchase_view/2441801" TargetMode="External"/><Relationship Id="rId209" Type="http://schemas.openxmlformats.org/officeDocument/2006/relationships/hyperlink" Target="https://my.zakupki.prom.ua/remote/dispatcher/state_purchase_view/10569807" TargetMode="External"/><Relationship Id="rId360" Type="http://schemas.openxmlformats.org/officeDocument/2006/relationships/hyperlink" Target="https://my.zakupki.prom.ua/remote/dispatcher/state_purchase_view/106954" TargetMode="External"/><Relationship Id="rId416" Type="http://schemas.openxmlformats.org/officeDocument/2006/relationships/hyperlink" Target="https://auction.openprocurement.org/tenders/3129998437d84d7d8e26832a3757d9be_85ea80d4a9394f1f952c55ca61d179a6" TargetMode="External"/><Relationship Id="rId220" Type="http://schemas.openxmlformats.org/officeDocument/2006/relationships/hyperlink" Target="https://my.zakupki.prom.ua/remote/dispatcher/state_purchase_view/13070352" TargetMode="External"/><Relationship Id="rId458" Type="http://schemas.openxmlformats.org/officeDocument/2006/relationships/hyperlink" Target="https://auction.openprocurement.org/tenders/dae38d3baa6544ecac2f0d528e9ac4ea_ebb310a712294d7b8da3e02e15b36fb9" TargetMode="External"/><Relationship Id="rId15" Type="http://schemas.openxmlformats.org/officeDocument/2006/relationships/hyperlink" Target="https://my.zakupki.prom.ua/remote/dispatcher/state_purchase_view/15195636" TargetMode="External"/><Relationship Id="rId57" Type="http://schemas.openxmlformats.org/officeDocument/2006/relationships/hyperlink" Target="https://auction.openprocurement.org/tenders/b19ee4bc4f174157b2b3d88ac1974fa4_f0905e7cd3f04c4e8cce2eb2614d168b" TargetMode="External"/><Relationship Id="rId262" Type="http://schemas.openxmlformats.org/officeDocument/2006/relationships/hyperlink" Target="https://my.zakupki.prom.ua/remote/dispatcher/state_purchase_view/14933168" TargetMode="External"/><Relationship Id="rId318" Type="http://schemas.openxmlformats.org/officeDocument/2006/relationships/hyperlink" Target="https://auction.openprocurement.org/tenders/6b8d37832b8947aeaf49414ff3b840ce" TargetMode="External"/><Relationship Id="rId525" Type="http://schemas.openxmlformats.org/officeDocument/2006/relationships/hyperlink" Target="https://my.zakupki.prom.ua/remote/dispatcher/state_purchase_view/3681521" TargetMode="External"/><Relationship Id="rId99" Type="http://schemas.openxmlformats.org/officeDocument/2006/relationships/hyperlink" Target="https://my.zakupki.prom.ua/remote/dispatcher/state_purchase_view/6502498" TargetMode="External"/><Relationship Id="rId122" Type="http://schemas.openxmlformats.org/officeDocument/2006/relationships/hyperlink" Target="https://my.zakupki.prom.ua/remote/dispatcher/state_purchase_view/11208541" TargetMode="External"/><Relationship Id="rId164" Type="http://schemas.openxmlformats.org/officeDocument/2006/relationships/hyperlink" Target="https://auction.openprocurement.org/tenders/dae38d3baa6544ecac2f0d528e9ac4ea_78b141f5bc2549eda9d36749e765baf6" TargetMode="External"/><Relationship Id="rId371" Type="http://schemas.openxmlformats.org/officeDocument/2006/relationships/hyperlink" Target="https://my.zakupki.prom.ua/remote/dispatcher/state_purchase_view/479480" TargetMode="External"/><Relationship Id="rId427" Type="http://schemas.openxmlformats.org/officeDocument/2006/relationships/hyperlink" Target="https://my.zakupki.prom.ua/remote/dispatcher/state_purchase_view/725799" TargetMode="External"/><Relationship Id="rId469" Type="http://schemas.openxmlformats.org/officeDocument/2006/relationships/hyperlink" Target="https://my.zakupki.prom.ua/remote/dispatcher/state_purchase_lot_view/10923" TargetMode="External"/><Relationship Id="rId26" Type="http://schemas.openxmlformats.org/officeDocument/2006/relationships/hyperlink" Target="https://my.zakupki.prom.ua/remote/dispatcher/state_purchase_view/248456" TargetMode="External"/><Relationship Id="rId231" Type="http://schemas.openxmlformats.org/officeDocument/2006/relationships/hyperlink" Target="https://my.zakupki.prom.ua/remote/dispatcher/state_purchase_view/78441" TargetMode="External"/><Relationship Id="rId273" Type="http://schemas.openxmlformats.org/officeDocument/2006/relationships/hyperlink" Target="https://my.zakupki.prom.ua/remote/dispatcher/state_purchase_lot_view/45221" TargetMode="External"/><Relationship Id="rId329" Type="http://schemas.openxmlformats.org/officeDocument/2006/relationships/hyperlink" Target="https://my.zakupki.prom.ua/remote/dispatcher/state_purchase_view/52264" TargetMode="External"/><Relationship Id="rId480" Type="http://schemas.openxmlformats.org/officeDocument/2006/relationships/hyperlink" Target="https://my.zakupki.prom.ua/remote/dispatcher/state_purchase_view/5429188" TargetMode="External"/><Relationship Id="rId536" Type="http://schemas.openxmlformats.org/officeDocument/2006/relationships/hyperlink" Target="https://auction.openprocurement.org/tenders/64fcf7755dc64278bcbf460c5c6ad669" TargetMode="External"/><Relationship Id="rId68" Type="http://schemas.openxmlformats.org/officeDocument/2006/relationships/hyperlink" Target="https://my.zakupki.prom.ua/remote/dispatcher/state_purchase_view/52030" TargetMode="External"/><Relationship Id="rId133" Type="http://schemas.openxmlformats.org/officeDocument/2006/relationships/hyperlink" Target="https://auction.openprocurement.org/tenders/52f72210fbfc45458f65ad1d92c0c852_026e272ed4114c0b96417c2a6c555d96" TargetMode="External"/><Relationship Id="rId175" Type="http://schemas.openxmlformats.org/officeDocument/2006/relationships/hyperlink" Target="https://auction.openprocurement.org/tenders/2f67b3f7dbbb46dfbb2fbc5196e108e8" TargetMode="External"/><Relationship Id="rId340" Type="http://schemas.openxmlformats.org/officeDocument/2006/relationships/hyperlink" Target="https://auction.openprocurement.org/tenders/df47ae28069c40eebfafb0ef0bc42b7e" TargetMode="External"/><Relationship Id="rId200" Type="http://schemas.openxmlformats.org/officeDocument/2006/relationships/hyperlink" Target="https://my.zakupki.prom.ua/remote/dispatcher/state_purchase_view/5793456" TargetMode="External"/><Relationship Id="rId382" Type="http://schemas.openxmlformats.org/officeDocument/2006/relationships/hyperlink" Target="https://my.zakupki.prom.ua/remote/dispatcher/state_purchase_view/7049136" TargetMode="External"/><Relationship Id="rId438" Type="http://schemas.openxmlformats.org/officeDocument/2006/relationships/hyperlink" Target="https://my.zakupki.prom.ua/remote/dispatcher/state_purchase_view/480453" TargetMode="External"/><Relationship Id="rId242" Type="http://schemas.openxmlformats.org/officeDocument/2006/relationships/hyperlink" Target="https://my.zakupki.prom.ua/remote/dispatcher/state_purchase_lot_view/114673" TargetMode="External"/><Relationship Id="rId284" Type="http://schemas.openxmlformats.org/officeDocument/2006/relationships/hyperlink" Target="https://my.zakupki.prom.ua/remote/dispatcher/state_purchase_view/8226044" TargetMode="External"/><Relationship Id="rId491" Type="http://schemas.openxmlformats.org/officeDocument/2006/relationships/hyperlink" Target="https://my.zakupki.prom.ua/remote/dispatcher/state_purchase_view/8586190" TargetMode="External"/><Relationship Id="rId505" Type="http://schemas.openxmlformats.org/officeDocument/2006/relationships/hyperlink" Target="https://my.zakupki.prom.ua/remote/dispatcher/state_purchase_view/12525853" TargetMode="External"/><Relationship Id="rId37" Type="http://schemas.openxmlformats.org/officeDocument/2006/relationships/hyperlink" Target="https://auction.openprocurement.org/tenders/57a99d37cc09456b93a400afa6ce4193" TargetMode="External"/><Relationship Id="rId79" Type="http://schemas.openxmlformats.org/officeDocument/2006/relationships/hyperlink" Target="https://auction.openprocurement.org/tenders/46c0f18d3e2744cd92e138564227da53" TargetMode="External"/><Relationship Id="rId102" Type="http://schemas.openxmlformats.org/officeDocument/2006/relationships/hyperlink" Target="https://my.zakupki.prom.ua/remote/dispatcher/state_purchase_view/6146486" TargetMode="External"/><Relationship Id="rId144" Type="http://schemas.openxmlformats.org/officeDocument/2006/relationships/hyperlink" Target="https://my.zakupki.prom.ua/remote/dispatcher/state_purchase_lot_view/172338" TargetMode="External"/><Relationship Id="rId547" Type="http://schemas.openxmlformats.org/officeDocument/2006/relationships/hyperlink" Target="https://my.zakupki.prom.ua/remote/dispatcher/state_purchase_view/13829509" TargetMode="External"/><Relationship Id="rId90" Type="http://schemas.openxmlformats.org/officeDocument/2006/relationships/hyperlink" Target="https://auction.openprocurement.org/tenders/8fd6f73ee1f74ebdb73997185f316bcc" TargetMode="External"/><Relationship Id="rId186" Type="http://schemas.openxmlformats.org/officeDocument/2006/relationships/hyperlink" Target="https://auction.openprocurement.org/tenders/7d7f3bf869314823834b894910b11be8" TargetMode="External"/><Relationship Id="rId351" Type="http://schemas.openxmlformats.org/officeDocument/2006/relationships/hyperlink" Target="https://auction.openprocurement.org/tenders/2be5829bacc24d96b27cab57730c28c2" TargetMode="External"/><Relationship Id="rId393" Type="http://schemas.openxmlformats.org/officeDocument/2006/relationships/hyperlink" Target="https://my.zakupki.prom.ua/remote/dispatcher/state_purchase_view/12453926" TargetMode="External"/><Relationship Id="rId407" Type="http://schemas.openxmlformats.org/officeDocument/2006/relationships/hyperlink" Target="https://auction.openprocurement.org/tenders/6c7537302dde4d0bbae71fd10813ee0b_521234e56ca24c2291ef5f18abc130d1" TargetMode="External"/><Relationship Id="rId449" Type="http://schemas.openxmlformats.org/officeDocument/2006/relationships/hyperlink" Target="https://auction.openprocurement.org/tenders/9e2059ca155d400a96e199dc121e538b" TargetMode="External"/><Relationship Id="rId211" Type="http://schemas.openxmlformats.org/officeDocument/2006/relationships/hyperlink" Target="https://auction.openprocurement.org/tenders/d1cebef0274e43f29a181d42ed96b49a" TargetMode="External"/><Relationship Id="rId253" Type="http://schemas.openxmlformats.org/officeDocument/2006/relationships/hyperlink" Target="https://auction.openprocurement.org/tenders/ecb613fdfaea49409de82943dac8059e" TargetMode="External"/><Relationship Id="rId295" Type="http://schemas.openxmlformats.org/officeDocument/2006/relationships/hyperlink" Target="https://my.zakupki.prom.ua/remote/dispatcher/state_purchase_view/15401490" TargetMode="External"/><Relationship Id="rId309" Type="http://schemas.openxmlformats.org/officeDocument/2006/relationships/hyperlink" Target="https://my.zakupki.prom.ua/remote/dispatcher/state_purchase_view/11208881" TargetMode="External"/><Relationship Id="rId460" Type="http://schemas.openxmlformats.org/officeDocument/2006/relationships/hyperlink" Target="https://my.zakupki.prom.ua/remote/dispatcher/state_purchase_view/1067291" TargetMode="External"/><Relationship Id="rId516" Type="http://schemas.openxmlformats.org/officeDocument/2006/relationships/hyperlink" Target="https://my.zakupki.prom.ua/remote/dispatcher/state_purchase_view/8433635" TargetMode="External"/><Relationship Id="rId48" Type="http://schemas.openxmlformats.org/officeDocument/2006/relationships/hyperlink" Target="https://my.zakupki.prom.ua/remote/dispatcher/state_purchase_view/15717951" TargetMode="External"/><Relationship Id="rId113" Type="http://schemas.openxmlformats.org/officeDocument/2006/relationships/hyperlink" Target="https://my.zakupki.prom.ua/remote/dispatcher/state_purchase_view/11398245" TargetMode="External"/><Relationship Id="rId320" Type="http://schemas.openxmlformats.org/officeDocument/2006/relationships/hyperlink" Target="https://auction.openprocurement.org/tenders/3b9c8220628d45d4b91c61a971663376" TargetMode="External"/><Relationship Id="rId155" Type="http://schemas.openxmlformats.org/officeDocument/2006/relationships/hyperlink" Target="https://my.zakupki.prom.ua/remote/dispatcher/state_purchase_view/946713" TargetMode="External"/><Relationship Id="rId197" Type="http://schemas.openxmlformats.org/officeDocument/2006/relationships/hyperlink" Target="https://my.zakupki.prom.ua/remote/dispatcher/state_purchase_view/3073361" TargetMode="External"/><Relationship Id="rId362" Type="http://schemas.openxmlformats.org/officeDocument/2006/relationships/hyperlink" Target="https://my.zakupki.prom.ua/remote/dispatcher/state_purchase_view/90784" TargetMode="External"/><Relationship Id="rId418" Type="http://schemas.openxmlformats.org/officeDocument/2006/relationships/hyperlink" Target="https://my.zakupki.prom.ua/remote/dispatcher/state_purchase_view/218061" TargetMode="External"/><Relationship Id="rId222" Type="http://schemas.openxmlformats.org/officeDocument/2006/relationships/hyperlink" Target="https://my.zakupki.prom.ua/remote/dispatcher/state_purchase_view/13070575" TargetMode="External"/><Relationship Id="rId264" Type="http://schemas.openxmlformats.org/officeDocument/2006/relationships/hyperlink" Target="https://my.zakupki.prom.ua/remote/dispatcher/state_purchase_view/14835921" TargetMode="External"/><Relationship Id="rId471" Type="http://schemas.openxmlformats.org/officeDocument/2006/relationships/hyperlink" Target="https://my.zakupki.prom.ua/remote/dispatcher/state_purchase_lot_view/5404" TargetMode="External"/><Relationship Id="rId17" Type="http://schemas.openxmlformats.org/officeDocument/2006/relationships/hyperlink" Target="https://my.zakupki.prom.ua/remote/dispatcher/state_purchase_view/15190267" TargetMode="External"/><Relationship Id="rId59" Type="http://schemas.openxmlformats.org/officeDocument/2006/relationships/hyperlink" Target="https://auction.openprocurement.org/tenders/da713ed82ef148809e324be2424d99d4" TargetMode="External"/><Relationship Id="rId124" Type="http://schemas.openxmlformats.org/officeDocument/2006/relationships/hyperlink" Target="https://my.zakupki.prom.ua/remote/dispatcher/state_purchase_view/11208735" TargetMode="External"/><Relationship Id="rId527" Type="http://schemas.openxmlformats.org/officeDocument/2006/relationships/hyperlink" Target="https://my.zakupki.prom.ua/remote/dispatcher/state_purchase_view/4566094" TargetMode="External"/><Relationship Id="rId70" Type="http://schemas.openxmlformats.org/officeDocument/2006/relationships/hyperlink" Target="https://my.zakupki.prom.ua/remote/dispatcher/state_purchase_view/10942919" TargetMode="External"/><Relationship Id="rId166" Type="http://schemas.openxmlformats.org/officeDocument/2006/relationships/hyperlink" Target="https://my.zakupki.prom.ua/remote/dispatcher/state_purchase_view/3449152" TargetMode="External"/><Relationship Id="rId331" Type="http://schemas.openxmlformats.org/officeDocument/2006/relationships/hyperlink" Target="https://my.zakupki.prom.ua/remote/dispatcher/state_purchase_view/10873041" TargetMode="External"/><Relationship Id="rId373" Type="http://schemas.openxmlformats.org/officeDocument/2006/relationships/hyperlink" Target="https://my.zakupki.prom.ua/remote/dispatcher/state_purchase_lot_view/520296" TargetMode="External"/><Relationship Id="rId429" Type="http://schemas.openxmlformats.org/officeDocument/2006/relationships/hyperlink" Target="https://my.zakupki.prom.ua/remote/dispatcher/state_purchase_view/814942" TargetMode="External"/><Relationship Id="rId1" Type="http://schemas.openxmlformats.org/officeDocument/2006/relationships/hyperlink" Target="https://auction.openprocurement.org/tenders/4807f418d7eb42bbaaab9cd959ccb6dd" TargetMode="External"/><Relationship Id="rId233" Type="http://schemas.openxmlformats.org/officeDocument/2006/relationships/hyperlink" Target="https://my.zakupki.prom.ua/remote/dispatcher/state_purchase_view/4819861" TargetMode="External"/><Relationship Id="rId440" Type="http://schemas.openxmlformats.org/officeDocument/2006/relationships/hyperlink" Target="https://my.zakupki.prom.ua/remote/dispatcher/state_purchase_view/2824084" TargetMode="External"/><Relationship Id="rId28" Type="http://schemas.openxmlformats.org/officeDocument/2006/relationships/hyperlink" Target="https://my.zakupki.prom.ua/remote/dispatcher/state_purchase_view/10356121" TargetMode="External"/><Relationship Id="rId275" Type="http://schemas.openxmlformats.org/officeDocument/2006/relationships/hyperlink" Target="https://my.zakupki.prom.ua/remote/dispatcher/state_purchase_lot_view/466937" TargetMode="External"/><Relationship Id="rId300" Type="http://schemas.openxmlformats.org/officeDocument/2006/relationships/hyperlink" Target="https://my.zakupki.prom.ua/remote/dispatcher/state_purchase_view/2811389" TargetMode="External"/><Relationship Id="rId482" Type="http://schemas.openxmlformats.org/officeDocument/2006/relationships/hyperlink" Target="https://my.zakupki.prom.ua/remote/dispatcher/state_purchase_view/4929129" TargetMode="External"/><Relationship Id="rId538" Type="http://schemas.openxmlformats.org/officeDocument/2006/relationships/hyperlink" Target="https://my.zakupki.prom.ua/remote/dispatcher/state_purchase_view/13733201" TargetMode="External"/><Relationship Id="rId81" Type="http://schemas.openxmlformats.org/officeDocument/2006/relationships/hyperlink" Target="https://auction.openprocurement.org/tenders/478521194ef7434f87edc7b880df538c" TargetMode="External"/><Relationship Id="rId135" Type="http://schemas.openxmlformats.org/officeDocument/2006/relationships/hyperlink" Target="https://auction.openprocurement.org/tenders/983da90184024978bba0be0ba9684ae5" TargetMode="External"/><Relationship Id="rId177" Type="http://schemas.openxmlformats.org/officeDocument/2006/relationships/hyperlink" Target="https://my.zakupki.prom.ua/remote/dispatcher/state_purchase_view/977079" TargetMode="External"/><Relationship Id="rId342" Type="http://schemas.openxmlformats.org/officeDocument/2006/relationships/hyperlink" Target="https://auction.openprocurement.org/tenders/ccfa41f6442c4f50b0ddfc359aa4631c" TargetMode="External"/><Relationship Id="rId384" Type="http://schemas.openxmlformats.org/officeDocument/2006/relationships/hyperlink" Target="https://my.zakupki.prom.ua/remote/dispatcher/state_purchase_view/7309032" TargetMode="External"/><Relationship Id="rId202" Type="http://schemas.openxmlformats.org/officeDocument/2006/relationships/hyperlink" Target="https://my.zakupki.prom.ua/remote/dispatcher/state_purchase_view/5789830" TargetMode="External"/><Relationship Id="rId244" Type="http://schemas.openxmlformats.org/officeDocument/2006/relationships/hyperlink" Target="https://my.zakupki.prom.ua/remote/dispatcher/state_purchase_lot_view/92314" TargetMode="External"/><Relationship Id="rId39" Type="http://schemas.openxmlformats.org/officeDocument/2006/relationships/hyperlink" Target="https://auction.openprocurement.org/tenders/b8b0083d2b1f414ebf2545305d46a450" TargetMode="External"/><Relationship Id="rId286" Type="http://schemas.openxmlformats.org/officeDocument/2006/relationships/hyperlink" Target="https://my.zakupki.prom.ua/remote/dispatcher/state_purchase_view/8266435" TargetMode="External"/><Relationship Id="rId451" Type="http://schemas.openxmlformats.org/officeDocument/2006/relationships/hyperlink" Target="https://my.zakupki.prom.ua/remote/dispatcher/state_purchase_view/7759608" TargetMode="External"/><Relationship Id="rId493" Type="http://schemas.openxmlformats.org/officeDocument/2006/relationships/hyperlink" Target="https://my.zakupki.prom.ua/remote/dispatcher/state_purchase_view/8495229" TargetMode="External"/><Relationship Id="rId507" Type="http://schemas.openxmlformats.org/officeDocument/2006/relationships/hyperlink" Target="https://my.zakupki.prom.ua/remote/dispatcher/state_purchase_lot_view/58708" TargetMode="External"/><Relationship Id="rId549" Type="http://schemas.openxmlformats.org/officeDocument/2006/relationships/hyperlink" Target="https://auction.openprocurement.org/tenders/1848d254d1fc4f3894d8cc5434f58d8d" TargetMode="External"/><Relationship Id="rId50" Type="http://schemas.openxmlformats.org/officeDocument/2006/relationships/hyperlink" Target="https://my.zakupki.prom.ua/remote/dispatcher/state_purchase_view/15497945" TargetMode="External"/><Relationship Id="rId104" Type="http://schemas.openxmlformats.org/officeDocument/2006/relationships/hyperlink" Target="https://auction.openprocurement.org/tenders/492aa800a6514e699b537c68c021a84c" TargetMode="External"/><Relationship Id="rId146" Type="http://schemas.openxmlformats.org/officeDocument/2006/relationships/hyperlink" Target="https://my.zakupki.prom.ua/remote/dispatcher/state_purchase_lot_view/79381" TargetMode="External"/><Relationship Id="rId188" Type="http://schemas.openxmlformats.org/officeDocument/2006/relationships/hyperlink" Target="https://my.zakupki.prom.ua/remote/dispatcher/state_purchase_view/2203842" TargetMode="External"/><Relationship Id="rId311" Type="http://schemas.openxmlformats.org/officeDocument/2006/relationships/hyperlink" Target="https://auction.openprocurement.org/tenders/47842d0e22d94c05bf3e9f613653fb04" TargetMode="External"/><Relationship Id="rId353" Type="http://schemas.openxmlformats.org/officeDocument/2006/relationships/hyperlink" Target="https://auction.openprocurement.org/tenders/09bb733a01774f79a1aa0dea0a40d5fa" TargetMode="External"/><Relationship Id="rId395" Type="http://schemas.openxmlformats.org/officeDocument/2006/relationships/hyperlink" Target="https://my.zakupki.prom.ua/remote/dispatcher/state_purchase_view/12316160" TargetMode="External"/><Relationship Id="rId409" Type="http://schemas.openxmlformats.org/officeDocument/2006/relationships/hyperlink" Target="https://my.zakupki.prom.ua/remote/dispatcher/state_purchase_lot_view/485039" TargetMode="External"/><Relationship Id="rId92" Type="http://schemas.openxmlformats.org/officeDocument/2006/relationships/hyperlink" Target="https://my.zakupki.prom.ua/remote/dispatcher/state_purchase_view/7385000" TargetMode="External"/><Relationship Id="rId213" Type="http://schemas.openxmlformats.org/officeDocument/2006/relationships/hyperlink" Target="https://auction.openprocurement.org/tenders/7b0b87329fd34ab8859a4a5291fe17dd" TargetMode="External"/><Relationship Id="rId420" Type="http://schemas.openxmlformats.org/officeDocument/2006/relationships/hyperlink" Target="https://my.zakupki.prom.ua/remote/dispatcher/state_purchase_view/8769661" TargetMode="External"/><Relationship Id="rId255" Type="http://schemas.openxmlformats.org/officeDocument/2006/relationships/hyperlink" Target="https://auction.openprocurement.org/tenders/13122324b9144baebec0d031034b5f3d" TargetMode="External"/><Relationship Id="rId297" Type="http://schemas.openxmlformats.org/officeDocument/2006/relationships/hyperlink" Target="https://my.zakupki.prom.ua/remote/dispatcher/state_purchase_view/15448928" TargetMode="External"/><Relationship Id="rId462" Type="http://schemas.openxmlformats.org/officeDocument/2006/relationships/hyperlink" Target="https://my.zakupki.prom.ua/remote/dispatcher/state_purchase_view/1187380" TargetMode="External"/><Relationship Id="rId518" Type="http://schemas.openxmlformats.org/officeDocument/2006/relationships/hyperlink" Target="https://auction.openprocurement.org/tenders/e0c39b62d4fa4f7d919b3eba6013dcf1" TargetMode="External"/><Relationship Id="rId115" Type="http://schemas.openxmlformats.org/officeDocument/2006/relationships/hyperlink" Target="https://my.zakupki.prom.ua/remote/dispatcher/state_purchase_view/11398838" TargetMode="External"/><Relationship Id="rId157" Type="http://schemas.openxmlformats.org/officeDocument/2006/relationships/hyperlink" Target="https://my.zakupki.prom.ua/remote/dispatcher/state_purchase_view/946585" TargetMode="External"/><Relationship Id="rId322" Type="http://schemas.openxmlformats.org/officeDocument/2006/relationships/hyperlink" Target="https://auction.openprocurement.org/tenders/ecb0bb06ab954cc5b7a6df5b27ee96c1" TargetMode="External"/><Relationship Id="rId364" Type="http://schemas.openxmlformats.org/officeDocument/2006/relationships/hyperlink" Target="https://auction.openprocurement.org/tenders/406f360d5b794f5f8bcd2b5772086cbe" TargetMode="External"/><Relationship Id="rId61" Type="http://schemas.openxmlformats.org/officeDocument/2006/relationships/hyperlink" Target="https://auction.openprocurement.org/tenders/b33721a1bbe14c9a82773330dbad96d4" TargetMode="External"/><Relationship Id="rId199" Type="http://schemas.openxmlformats.org/officeDocument/2006/relationships/hyperlink" Target="https://my.zakupki.prom.ua/remote/dispatcher/state_purchase_view/5975965" TargetMode="External"/><Relationship Id="rId19" Type="http://schemas.openxmlformats.org/officeDocument/2006/relationships/hyperlink" Target="https://my.zakupki.prom.ua/remote/dispatcher/state_purchase_view/15252390" TargetMode="External"/><Relationship Id="rId224" Type="http://schemas.openxmlformats.org/officeDocument/2006/relationships/hyperlink" Target="mailto:report.zakupki@prom.ua" TargetMode="External"/><Relationship Id="rId266" Type="http://schemas.openxmlformats.org/officeDocument/2006/relationships/hyperlink" Target="https://auction.openprocurement.org/tenders/35181c4315114910ba62ffbc27277553" TargetMode="External"/><Relationship Id="rId431" Type="http://schemas.openxmlformats.org/officeDocument/2006/relationships/hyperlink" Target="https://my.zakupki.prom.ua/remote/dispatcher/state_purchase_view/581039" TargetMode="External"/><Relationship Id="rId473" Type="http://schemas.openxmlformats.org/officeDocument/2006/relationships/hyperlink" Target="https://my.zakupki.prom.ua/remote/dispatcher/state_purchase_lot_view/1236" TargetMode="External"/><Relationship Id="rId529" Type="http://schemas.openxmlformats.org/officeDocument/2006/relationships/hyperlink" Target="https://my.zakupki.prom.ua/remote/dispatcher/state_purchase_view/4154693" TargetMode="External"/><Relationship Id="rId30" Type="http://schemas.openxmlformats.org/officeDocument/2006/relationships/hyperlink" Target="https://my.zakupki.prom.ua/remote/dispatcher/state_purchase_view/10357787" TargetMode="External"/><Relationship Id="rId126" Type="http://schemas.openxmlformats.org/officeDocument/2006/relationships/hyperlink" Target="https://my.zakupki.prom.ua/remote/dispatcher/state_purchase_lot_view/467963" TargetMode="External"/><Relationship Id="rId168" Type="http://schemas.openxmlformats.org/officeDocument/2006/relationships/hyperlink" Target="https://my.zakupki.prom.ua/remote/dispatcher/state_purchase_view/3282005" TargetMode="External"/><Relationship Id="rId333" Type="http://schemas.openxmlformats.org/officeDocument/2006/relationships/hyperlink" Target="https://my.zakupki.prom.ua/remote/dispatcher/state_purchase_view/10873011" TargetMode="External"/><Relationship Id="rId540" Type="http://schemas.openxmlformats.org/officeDocument/2006/relationships/hyperlink" Target="https://my.zakupki.prom.ua/remote/dispatcher/state_purchase_view/13981913" TargetMode="External"/><Relationship Id="rId72" Type="http://schemas.openxmlformats.org/officeDocument/2006/relationships/hyperlink" Target="https://my.zakupki.prom.ua/remote/dispatcher/state_purchase_view/10930087" TargetMode="External"/><Relationship Id="rId375" Type="http://schemas.openxmlformats.org/officeDocument/2006/relationships/hyperlink" Target="https://auction.openprocurement.org/tenders/6b4e510eff264cbab79acc1638352204" TargetMode="External"/><Relationship Id="rId3" Type="http://schemas.openxmlformats.org/officeDocument/2006/relationships/hyperlink" Target="https://my.zakupki.prom.ua/remote/dispatcher/state_purchase_view/10873099" TargetMode="External"/><Relationship Id="rId235" Type="http://schemas.openxmlformats.org/officeDocument/2006/relationships/hyperlink" Target="https://my.zakupki.prom.ua/remote/dispatcher/state_purchase_view/4819952" TargetMode="External"/><Relationship Id="rId277" Type="http://schemas.openxmlformats.org/officeDocument/2006/relationships/hyperlink" Target="https://my.zakupki.prom.ua/remote/dispatcher/state_purchase_lot_view/464412" TargetMode="External"/><Relationship Id="rId400" Type="http://schemas.openxmlformats.org/officeDocument/2006/relationships/hyperlink" Target="https://my.zakupki.prom.ua/remote/dispatcher/state_purchase_view/106991" TargetMode="External"/><Relationship Id="rId442" Type="http://schemas.openxmlformats.org/officeDocument/2006/relationships/hyperlink" Target="https://my.zakupki.prom.ua/remote/dispatcher/state_purchase_view/2888181" TargetMode="External"/><Relationship Id="rId484" Type="http://schemas.openxmlformats.org/officeDocument/2006/relationships/hyperlink" Target="https://my.zakupki.prom.ua/remote/dispatcher/state_purchase_view/5428048" TargetMode="External"/><Relationship Id="rId137" Type="http://schemas.openxmlformats.org/officeDocument/2006/relationships/hyperlink" Target="https://auction.openprocurement.org/tenders/6a1c332c992b480482fc3d0a42f120e7" TargetMode="External"/><Relationship Id="rId302" Type="http://schemas.openxmlformats.org/officeDocument/2006/relationships/hyperlink" Target="https://my.zakupki.prom.ua/remote/dispatcher/state_purchase_view/209071" TargetMode="External"/><Relationship Id="rId344" Type="http://schemas.openxmlformats.org/officeDocument/2006/relationships/hyperlink" Target="https://my.zakupki.prom.ua/remote/dispatcher/state_purchase_view/946585" TargetMode="External"/><Relationship Id="rId41" Type="http://schemas.openxmlformats.org/officeDocument/2006/relationships/hyperlink" Target="https://my.zakupki.prom.ua/remote/dispatcher/state_purchase_view/15529121" TargetMode="External"/><Relationship Id="rId83" Type="http://schemas.openxmlformats.org/officeDocument/2006/relationships/hyperlink" Target="https://my.zakupki.prom.ua/remote/dispatcher/state_purchase_view/144399" TargetMode="External"/><Relationship Id="rId179" Type="http://schemas.openxmlformats.org/officeDocument/2006/relationships/hyperlink" Target="https://auction.openprocurement.org/tenders/2250a545f31d49f482d3f78d83ea5203" TargetMode="External"/><Relationship Id="rId386" Type="http://schemas.openxmlformats.org/officeDocument/2006/relationships/hyperlink" Target="https://my.zakupki.prom.ua/remote/dispatcher/state_purchase_view/6947194" TargetMode="External"/><Relationship Id="rId551" Type="http://schemas.openxmlformats.org/officeDocument/2006/relationships/hyperlink" Target="https://my.zakupki.prom.ua/remote/dispatcher/state_purchase_view/8168744" TargetMode="External"/><Relationship Id="rId190" Type="http://schemas.openxmlformats.org/officeDocument/2006/relationships/hyperlink" Target="https://my.zakupki.prom.ua/remote/dispatcher/state_purchase_view/2735061" TargetMode="External"/><Relationship Id="rId204" Type="http://schemas.openxmlformats.org/officeDocument/2006/relationships/hyperlink" Target="https://my.zakupki.prom.ua/remote/dispatcher/state_purchase_view/5429386" TargetMode="External"/><Relationship Id="rId246" Type="http://schemas.openxmlformats.org/officeDocument/2006/relationships/hyperlink" Target="https://my.zakupki.prom.ua/remote/dispatcher/state_purchase_view/8742592" TargetMode="External"/><Relationship Id="rId288" Type="http://schemas.openxmlformats.org/officeDocument/2006/relationships/hyperlink" Target="https://auction.openprocurement.org/tenders/ca51b9f7113243fc82cc9d4d7e49e8cb" TargetMode="External"/><Relationship Id="rId411" Type="http://schemas.openxmlformats.org/officeDocument/2006/relationships/hyperlink" Target="https://my.zakupki.prom.ua/remote/dispatcher/state_purchase_lot_view/485038" TargetMode="External"/><Relationship Id="rId453" Type="http://schemas.openxmlformats.org/officeDocument/2006/relationships/hyperlink" Target="https://my.zakupki.prom.ua/remote/dispatcher/state_purchase_view/7862970" TargetMode="External"/><Relationship Id="rId509" Type="http://schemas.openxmlformats.org/officeDocument/2006/relationships/hyperlink" Target="https://my.zakupki.prom.ua/remote/dispatcher/state_purchase_lot_view/60553" TargetMode="External"/><Relationship Id="rId106" Type="http://schemas.openxmlformats.org/officeDocument/2006/relationships/hyperlink" Target="https://auction.openprocurement.org/tenders/dd1e32b7dd904187afe00c84c69be37b" TargetMode="External"/><Relationship Id="rId313" Type="http://schemas.openxmlformats.org/officeDocument/2006/relationships/hyperlink" Target="https://auction.openprocurement.org/tenders/930df0465f9e4e06bbb7c918bf09b926" TargetMode="External"/><Relationship Id="rId495" Type="http://schemas.openxmlformats.org/officeDocument/2006/relationships/hyperlink" Target="https://auction.openprocurement.org/tenders/8e2c5c012f624b6bb15b13b41b673e7c_fc1524e0916a4cb09fc1d5d06067e131" TargetMode="External"/><Relationship Id="rId10" Type="http://schemas.openxmlformats.org/officeDocument/2006/relationships/hyperlink" Target="https://my.zakupki.prom.ua/remote/dispatcher/state_purchase_view/3180827" TargetMode="External"/><Relationship Id="rId52" Type="http://schemas.openxmlformats.org/officeDocument/2006/relationships/hyperlink" Target="https://my.zakupki.prom.ua/remote/dispatcher/state_purchase_view/7309082" TargetMode="External"/><Relationship Id="rId94" Type="http://schemas.openxmlformats.org/officeDocument/2006/relationships/hyperlink" Target="https://auction.openprocurement.org/tenders/cea1f22576224c759eb4fa99b3a0d387" TargetMode="External"/><Relationship Id="rId148" Type="http://schemas.openxmlformats.org/officeDocument/2006/relationships/hyperlink" Target="https://auction.openprocurement.org/tenders/b7c8994f02c546ca86a66b6f71d57bc3" TargetMode="External"/><Relationship Id="rId355" Type="http://schemas.openxmlformats.org/officeDocument/2006/relationships/hyperlink" Target="https://my.zakupki.prom.ua/remote/dispatcher/state_purchase_view/135139" TargetMode="External"/><Relationship Id="rId397" Type="http://schemas.openxmlformats.org/officeDocument/2006/relationships/hyperlink" Target="https://my.zakupki.prom.ua/remote/dispatcher/state_purchase_view/12316160" TargetMode="External"/><Relationship Id="rId520" Type="http://schemas.openxmlformats.org/officeDocument/2006/relationships/hyperlink" Target="https://auction.openprocurement.org/tenders/062536dbb6a6493e83e4746eb17e3ec2" TargetMode="External"/><Relationship Id="rId215" Type="http://schemas.openxmlformats.org/officeDocument/2006/relationships/hyperlink" Target="https://my.zakupki.prom.ua/remote/dispatcher/state_purchase_view/13607684" TargetMode="External"/><Relationship Id="rId257" Type="http://schemas.openxmlformats.org/officeDocument/2006/relationships/hyperlink" Target="https://my.zakupki.prom.ua/remote/dispatcher/state_purchase_view/14930779" TargetMode="External"/><Relationship Id="rId422" Type="http://schemas.openxmlformats.org/officeDocument/2006/relationships/hyperlink" Target="https://my.zakupki.prom.ua/remote/dispatcher/state_purchase_view/8849481" TargetMode="External"/><Relationship Id="rId464" Type="http://schemas.openxmlformats.org/officeDocument/2006/relationships/hyperlink" Target="https://auction.openprocurement.org/tenders/756713b458b7407abc1e347c76725ac0_e57069df38234386ab64429161b5d931" TargetMode="External"/><Relationship Id="rId299" Type="http://schemas.openxmlformats.org/officeDocument/2006/relationships/hyperlink" Target="https://my.zakupki.prom.ua/remote/dispatcher/state_purchase_view/15477337" TargetMode="External"/><Relationship Id="rId63" Type="http://schemas.openxmlformats.org/officeDocument/2006/relationships/hyperlink" Target="https://my.zakupki.prom.ua/remote/dispatcher/state_purchase_view/78620" TargetMode="External"/><Relationship Id="rId159" Type="http://schemas.openxmlformats.org/officeDocument/2006/relationships/hyperlink" Target="https://my.zakupki.prom.ua/remote/dispatcher/state_purchase_lot_view/119690" TargetMode="External"/><Relationship Id="rId366" Type="http://schemas.openxmlformats.org/officeDocument/2006/relationships/hyperlink" Target="https://my.zakupki.prom.ua/remote/dispatcher/state_purchase_view/249600" TargetMode="External"/><Relationship Id="rId226" Type="http://schemas.openxmlformats.org/officeDocument/2006/relationships/hyperlink" Target="https://my.zakupki.prom.ua/remote/dispatcher/state_purchase_view/10060480" TargetMode="External"/><Relationship Id="rId433" Type="http://schemas.openxmlformats.org/officeDocument/2006/relationships/hyperlink" Target="https://my.zakupki.prom.ua/remote/dispatcher/state_purchase_view/47062" TargetMode="External"/><Relationship Id="rId74" Type="http://schemas.openxmlformats.org/officeDocument/2006/relationships/hyperlink" Target="https://my.zakupki.prom.ua/remote/dispatcher/state_purchase_lot_view/526901" TargetMode="External"/><Relationship Id="rId377" Type="http://schemas.openxmlformats.org/officeDocument/2006/relationships/hyperlink" Target="https://auction.openprocurement.org/tenders/682f58c5f9eb4f61ac97cdf0d61651a1" TargetMode="External"/><Relationship Id="rId500" Type="http://schemas.openxmlformats.org/officeDocument/2006/relationships/hyperlink" Target="https://my.zakupki.prom.ua/remote/dispatcher/state_purchase_view/12814487" TargetMode="External"/><Relationship Id="rId5" Type="http://schemas.openxmlformats.org/officeDocument/2006/relationships/hyperlink" Target="https://my.zakupki.prom.ua/remote/dispatcher/state_purchase_view/10977457" TargetMode="External"/><Relationship Id="rId237" Type="http://schemas.openxmlformats.org/officeDocument/2006/relationships/hyperlink" Target="https://my.zakupki.prom.ua/remote/dispatcher/state_purchase_view/4820518" TargetMode="External"/><Relationship Id="rId444" Type="http://schemas.openxmlformats.org/officeDocument/2006/relationships/hyperlink" Target="https://my.zakupki.prom.ua/remote/dispatcher/state_purchase_view/3073041" TargetMode="External"/><Relationship Id="rId290" Type="http://schemas.openxmlformats.org/officeDocument/2006/relationships/hyperlink" Target="https://my.zakupki.prom.ua/remote/dispatcher/state_purchase_view/15240285" TargetMode="External"/><Relationship Id="rId304" Type="http://schemas.openxmlformats.org/officeDocument/2006/relationships/hyperlink" Target="https://auction.openprocurement.org/tenders/8b3e73d32ce54944b9343706b4faa4c8" TargetMode="External"/><Relationship Id="rId388" Type="http://schemas.openxmlformats.org/officeDocument/2006/relationships/hyperlink" Target="https://my.zakupki.prom.ua/remote/dispatcher/state_purchase_view/6742729" TargetMode="External"/><Relationship Id="rId511" Type="http://schemas.openxmlformats.org/officeDocument/2006/relationships/hyperlink" Target="https://my.zakupki.prom.ua/remote/dispatcher/state_purchase_lot_view/74087" TargetMode="External"/><Relationship Id="rId85" Type="http://schemas.openxmlformats.org/officeDocument/2006/relationships/hyperlink" Target="https://auction.openprocurement.org/tenders/684652de115443e5bc6de56960aa50b2" TargetMode="External"/><Relationship Id="rId150" Type="http://schemas.openxmlformats.org/officeDocument/2006/relationships/hyperlink" Target="https://my.zakupki.prom.ua/remote/dispatcher/state_purchase_view/931888" TargetMode="External"/><Relationship Id="rId248" Type="http://schemas.openxmlformats.org/officeDocument/2006/relationships/hyperlink" Target="https://auction.openprocurement.org/tenders/a6e43047103e4734a6d06cef76049691" TargetMode="External"/><Relationship Id="rId455" Type="http://schemas.openxmlformats.org/officeDocument/2006/relationships/hyperlink" Target="https://my.zakupki.prom.ua/remote/dispatcher/state_purchase_view/7395949" TargetMode="External"/><Relationship Id="rId12" Type="http://schemas.openxmlformats.org/officeDocument/2006/relationships/hyperlink" Target="https://auction.openprocurement.org/tenders/b97805caa623448d97c74be063033859" TargetMode="External"/><Relationship Id="rId108" Type="http://schemas.openxmlformats.org/officeDocument/2006/relationships/hyperlink" Target="https://auction.openprocurement.org/tenders/b7d71a4f4ca143c19484e2edb635a102" TargetMode="External"/><Relationship Id="rId315" Type="http://schemas.openxmlformats.org/officeDocument/2006/relationships/hyperlink" Target="https://auction.openprocurement.org/tenders/4b94d926ae8c4bd9aa167f6708c0f0a9" TargetMode="External"/><Relationship Id="rId522" Type="http://schemas.openxmlformats.org/officeDocument/2006/relationships/hyperlink" Target="https://auction.openprocurement.org/tenders/22f848baea454d19b52e9aa5a46a8d2e" TargetMode="External"/><Relationship Id="rId96" Type="http://schemas.openxmlformats.org/officeDocument/2006/relationships/hyperlink" Target="https://auction.openprocurement.org/tenders/031ab9ae73844142a7b0bc522b0c76af" TargetMode="External"/><Relationship Id="rId161" Type="http://schemas.openxmlformats.org/officeDocument/2006/relationships/hyperlink" Target="https://my.zakupki.prom.ua/remote/dispatcher/state_purchase_lot_view/119671" TargetMode="External"/><Relationship Id="rId399" Type="http://schemas.openxmlformats.org/officeDocument/2006/relationships/hyperlink" Target="https://auction.openprocurement.org/tenders/7bd84e498553487899e994ce8021e6b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D345"/>
  <sheetViews>
    <sheetView tabSelected="1" workbookViewId="0">
      <pane ySplit="5" topLeftCell="A6" activePane="bottomLeft" state="frozen"/>
      <selection pane="bottomLeft"/>
    </sheetView>
  </sheetViews>
  <sheetFormatPr defaultColWidth="11.42578125" defaultRowHeight="15" x14ac:dyDescent="0.25"/>
  <cols>
    <col min="1" max="1" width="5"/>
    <col min="2" max="3" width="25"/>
    <col min="4" max="6" width="35"/>
    <col min="7" max="7" width="30"/>
    <col min="8" max="8" width="5"/>
    <col min="9" max="9" width="30"/>
    <col min="10" max="10" width="15"/>
    <col min="11" max="12" width="20"/>
    <col min="13" max="15" width="5"/>
    <col min="16" max="20" width="10"/>
    <col min="21" max="21" width="25"/>
    <col min="22" max="22" width="10"/>
    <col min="23" max="24" width="15"/>
    <col min="25" max="25" width="10"/>
    <col min="26" max="27" width="15"/>
    <col min="28" max="28" width="10"/>
    <col min="29" max="29" width="15"/>
    <col min="30" max="31" width="20"/>
    <col min="32" max="33" width="15"/>
    <col min="34" max="34" width="20"/>
    <col min="35" max="35" width="15"/>
    <col min="36" max="36" width="10"/>
    <col min="37" max="37" width="20"/>
    <col min="38" max="38" width="15"/>
    <col min="39" max="39" width="20"/>
    <col min="40" max="40" width="10"/>
    <col min="41" max="41" width="15"/>
    <col min="42" max="43" width="10"/>
    <col min="44" max="44" width="15"/>
    <col min="45" max="46" width="10"/>
    <col min="47" max="47" width="20"/>
    <col min="48" max="50" width="15"/>
    <col min="51" max="52" width="10"/>
    <col min="53" max="53" width="15"/>
    <col min="54" max="54" width="10"/>
    <col min="55" max="56" width="20"/>
  </cols>
  <sheetData>
    <row r="1" spans="1:56" x14ac:dyDescent="0.25">
      <c r="A1" s="1" t="s">
        <v>1283</v>
      </c>
    </row>
    <row r="2" spans="1:56" x14ac:dyDescent="0.25">
      <c r="A2" s="2" t="s">
        <v>608</v>
      </c>
    </row>
    <row r="4" spans="1:56" x14ac:dyDescent="0.25">
      <c r="A4" s="1" t="s">
        <v>1130</v>
      </c>
    </row>
    <row r="5" spans="1:56" ht="153.75" x14ac:dyDescent="0.25">
      <c r="A5" s="3" t="s">
        <v>1320</v>
      </c>
      <c r="B5" s="3" t="s">
        <v>655</v>
      </c>
      <c r="C5" s="3" t="s">
        <v>656</v>
      </c>
      <c r="D5" s="3" t="s">
        <v>1220</v>
      </c>
      <c r="E5" s="3" t="s">
        <v>1063</v>
      </c>
      <c r="F5" s="3" t="s">
        <v>912</v>
      </c>
      <c r="G5" s="3" t="s">
        <v>1211</v>
      </c>
      <c r="H5" s="3" t="s">
        <v>887</v>
      </c>
      <c r="I5" s="3" t="s">
        <v>997</v>
      </c>
      <c r="J5" s="3" t="s">
        <v>648</v>
      </c>
      <c r="K5" s="3" t="s">
        <v>998</v>
      </c>
      <c r="L5" s="3" t="s">
        <v>999</v>
      </c>
      <c r="M5" s="3" t="s">
        <v>700</v>
      </c>
      <c r="N5" s="3" t="s">
        <v>701</v>
      </c>
      <c r="O5" s="3" t="s">
        <v>699</v>
      </c>
      <c r="P5" s="3" t="s">
        <v>871</v>
      </c>
      <c r="Q5" s="3" t="s">
        <v>874</v>
      </c>
      <c r="R5" s="3" t="s">
        <v>873</v>
      </c>
      <c r="S5" s="3" t="s">
        <v>1066</v>
      </c>
      <c r="T5" s="3" t="s">
        <v>1065</v>
      </c>
      <c r="U5" s="3" t="s">
        <v>869</v>
      </c>
      <c r="V5" s="3" t="s">
        <v>930</v>
      </c>
      <c r="W5" s="3" t="s">
        <v>1001</v>
      </c>
      <c r="X5" s="3" t="s">
        <v>1002</v>
      </c>
      <c r="Y5" s="3" t="s">
        <v>929</v>
      </c>
      <c r="Z5" s="3" t="s">
        <v>1003</v>
      </c>
      <c r="AA5" s="3" t="s">
        <v>995</v>
      </c>
      <c r="AB5" s="3" t="s">
        <v>684</v>
      </c>
      <c r="AC5" s="3" t="s">
        <v>893</v>
      </c>
      <c r="AD5" s="3" t="s">
        <v>1136</v>
      </c>
      <c r="AE5" s="3" t="s">
        <v>985</v>
      </c>
      <c r="AF5" s="3" t="s">
        <v>1073</v>
      </c>
      <c r="AG5" s="3" t="s">
        <v>1074</v>
      </c>
      <c r="AH5" s="3" t="s">
        <v>979</v>
      </c>
      <c r="AI5" s="3" t="s">
        <v>1137</v>
      </c>
      <c r="AJ5" s="3" t="s">
        <v>33</v>
      </c>
      <c r="AK5" s="3" t="s">
        <v>1269</v>
      </c>
      <c r="AL5" s="3" t="s">
        <v>649</v>
      </c>
      <c r="AM5" s="3" t="s">
        <v>889</v>
      </c>
      <c r="AN5" s="3" t="s">
        <v>927</v>
      </c>
      <c r="AO5" s="3" t="s">
        <v>1137</v>
      </c>
      <c r="AP5" s="3" t="s">
        <v>33</v>
      </c>
      <c r="AQ5" s="3" t="s">
        <v>1045</v>
      </c>
      <c r="AR5" s="3" t="s">
        <v>872</v>
      </c>
      <c r="AS5" s="3" t="s">
        <v>1222</v>
      </c>
      <c r="AT5" s="3" t="s">
        <v>1221</v>
      </c>
      <c r="AU5" s="3" t="s">
        <v>1132</v>
      </c>
      <c r="AV5" s="3" t="s">
        <v>870</v>
      </c>
      <c r="AW5" s="3" t="s">
        <v>986</v>
      </c>
      <c r="AX5" s="3" t="s">
        <v>1138</v>
      </c>
      <c r="AY5" s="3" t="s">
        <v>1135</v>
      </c>
      <c r="AZ5" s="3" t="s">
        <v>1134</v>
      </c>
      <c r="BA5" s="3" t="s">
        <v>881</v>
      </c>
      <c r="BB5" s="3" t="s">
        <v>1133</v>
      </c>
      <c r="BC5" s="3" t="s">
        <v>1067</v>
      </c>
      <c r="BD5" s="3" t="s">
        <v>966</v>
      </c>
    </row>
    <row r="6" spans="1:56" hidden="1" x14ac:dyDescent="0.25">
      <c r="A6" s="4">
        <v>1</v>
      </c>
      <c r="B6" s="2" t="str">
        <f>HYPERLINK("https://my.zakupki.prom.ua/remote/dispatcher/state_purchase_view/15789527", "UA-2020-03-16-003484-b")</f>
        <v>UA-2020-03-16-003484-b</v>
      </c>
      <c r="C6" s="2" t="s">
        <v>983</v>
      </c>
      <c r="D6" s="1" t="s">
        <v>919</v>
      </c>
      <c r="E6" s="1" t="s">
        <v>1015</v>
      </c>
      <c r="F6" s="1" t="s">
        <v>439</v>
      </c>
      <c r="G6" s="1" t="s">
        <v>883</v>
      </c>
      <c r="H6" s="1" t="s">
        <v>1202</v>
      </c>
      <c r="I6" s="1" t="s">
        <v>905</v>
      </c>
      <c r="J6" s="1" t="s">
        <v>158</v>
      </c>
      <c r="K6" s="1" t="s">
        <v>1208</v>
      </c>
      <c r="L6" s="1" t="s">
        <v>1208</v>
      </c>
      <c r="M6" s="1" t="s">
        <v>147</v>
      </c>
      <c r="N6" s="1" t="s">
        <v>147</v>
      </c>
      <c r="O6" s="1" t="s">
        <v>147</v>
      </c>
      <c r="P6" s="5">
        <v>43906</v>
      </c>
      <c r="Q6" s="5">
        <v>43906</v>
      </c>
      <c r="R6" s="5">
        <v>43908</v>
      </c>
      <c r="S6" s="5">
        <v>43908</v>
      </c>
      <c r="T6" s="5">
        <v>43910</v>
      </c>
      <c r="U6" s="1" t="s">
        <v>1286</v>
      </c>
      <c r="V6" s="4">
        <v>0</v>
      </c>
      <c r="W6" s="6">
        <v>5200</v>
      </c>
      <c r="X6" s="1" t="s">
        <v>983</v>
      </c>
      <c r="Y6" s="1" t="s">
        <v>1298</v>
      </c>
      <c r="Z6" s="1" t="s">
        <v>1298</v>
      </c>
      <c r="AA6" s="1" t="s">
        <v>1298</v>
      </c>
      <c r="AB6" s="1" t="s">
        <v>540</v>
      </c>
      <c r="AC6" s="1" t="s">
        <v>1202</v>
      </c>
      <c r="AD6" s="1" t="s">
        <v>704</v>
      </c>
      <c r="AE6" s="1" t="s">
        <v>987</v>
      </c>
      <c r="AF6" s="1"/>
      <c r="AG6" s="1" t="s">
        <v>1298</v>
      </c>
      <c r="AH6" s="1"/>
      <c r="AI6" s="1"/>
      <c r="AJ6" s="1"/>
      <c r="AK6" s="1"/>
      <c r="AL6" s="1"/>
      <c r="AM6" s="1"/>
      <c r="AN6" s="1"/>
      <c r="AO6" s="1"/>
      <c r="AP6" s="1"/>
      <c r="AQ6" s="2"/>
      <c r="AR6" s="1"/>
      <c r="AS6" s="1"/>
      <c r="AT6" s="1"/>
      <c r="AU6" s="1" t="s">
        <v>1306</v>
      </c>
      <c r="AV6" s="1"/>
      <c r="AW6" s="1"/>
      <c r="AX6" s="1"/>
      <c r="AY6" s="1"/>
      <c r="AZ6" s="5">
        <v>43921</v>
      </c>
      <c r="BA6" s="1"/>
      <c r="BB6" s="1"/>
      <c r="BC6" s="1"/>
      <c r="BD6" s="1"/>
    </row>
    <row r="7" spans="1:56" x14ac:dyDescent="0.25">
      <c r="A7" s="4">
        <v>2</v>
      </c>
      <c r="B7" s="2" t="str">
        <f>HYPERLINK("https://my.zakupki.prom.ua/remote/dispatcher/state_purchase_view/15753767", "UA-2020-03-13-002144-b")</f>
        <v>UA-2020-03-13-002144-b</v>
      </c>
      <c r="C7" s="2" t="s">
        <v>983</v>
      </c>
      <c r="D7" s="1" t="s">
        <v>826</v>
      </c>
      <c r="E7" s="1" t="s">
        <v>1060</v>
      </c>
      <c r="F7" s="1" t="s">
        <v>460</v>
      </c>
      <c r="G7" s="1" t="s">
        <v>702</v>
      </c>
      <c r="H7" s="1" t="s">
        <v>1202</v>
      </c>
      <c r="I7" s="1" t="s">
        <v>905</v>
      </c>
      <c r="J7" s="1" t="s">
        <v>158</v>
      </c>
      <c r="K7" s="1" t="s">
        <v>1208</v>
      </c>
      <c r="L7" s="1" t="s">
        <v>1208</v>
      </c>
      <c r="M7" s="1" t="s">
        <v>147</v>
      </c>
      <c r="N7" s="1" t="s">
        <v>147</v>
      </c>
      <c r="O7" s="1" t="s">
        <v>147</v>
      </c>
      <c r="P7" s="5">
        <v>43903</v>
      </c>
      <c r="Q7" s="5">
        <v>43903</v>
      </c>
      <c r="R7" s="5">
        <v>43910</v>
      </c>
      <c r="S7" s="5">
        <v>43903</v>
      </c>
      <c r="T7" s="5">
        <v>43920</v>
      </c>
      <c r="U7" s="7">
        <v>43921.646956018521</v>
      </c>
      <c r="V7" s="4">
        <v>0</v>
      </c>
      <c r="W7" s="6">
        <v>550000</v>
      </c>
      <c r="X7" s="1" t="s">
        <v>983</v>
      </c>
      <c r="Y7" s="4">
        <v>1</v>
      </c>
      <c r="Z7" s="6">
        <v>550000</v>
      </c>
      <c r="AA7" s="1" t="s">
        <v>1307</v>
      </c>
      <c r="AB7" s="1" t="s">
        <v>540</v>
      </c>
      <c r="AC7" s="1" t="s">
        <v>1202</v>
      </c>
      <c r="AD7" s="1" t="s">
        <v>704</v>
      </c>
      <c r="AE7" s="1" t="s">
        <v>987</v>
      </c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2"/>
      <c r="AR7" s="1"/>
      <c r="AS7" s="1"/>
      <c r="AT7" s="1"/>
      <c r="AU7" s="1" t="s">
        <v>1308</v>
      </c>
      <c r="AV7" s="1"/>
      <c r="AW7" s="1"/>
      <c r="AX7" s="1"/>
      <c r="AY7" s="1"/>
      <c r="AZ7" s="5">
        <v>44196</v>
      </c>
      <c r="BA7" s="1"/>
      <c r="BB7" s="1"/>
      <c r="BC7" s="1"/>
      <c r="BD7" s="1"/>
    </row>
    <row r="8" spans="1:56" hidden="1" x14ac:dyDescent="0.25">
      <c r="A8" s="4">
        <v>3</v>
      </c>
      <c r="B8" s="2" t="str">
        <f>HYPERLINK("https://my.zakupki.prom.ua/remote/dispatcher/state_purchase_view/15737833", "UA-2020-03-12-003885-b")</f>
        <v>UA-2020-03-12-003885-b</v>
      </c>
      <c r="C8" s="2" t="s">
        <v>983</v>
      </c>
      <c r="D8" s="1" t="s">
        <v>853</v>
      </c>
      <c r="E8" s="1" t="s">
        <v>673</v>
      </c>
      <c r="F8" s="1" t="s">
        <v>169</v>
      </c>
      <c r="G8" s="1" t="s">
        <v>883</v>
      </c>
      <c r="H8" s="1" t="s">
        <v>1202</v>
      </c>
      <c r="I8" s="1" t="s">
        <v>905</v>
      </c>
      <c r="J8" s="1" t="s">
        <v>158</v>
      </c>
      <c r="K8" s="1" t="s">
        <v>1208</v>
      </c>
      <c r="L8" s="1" t="s">
        <v>1208</v>
      </c>
      <c r="M8" s="1" t="s">
        <v>147</v>
      </c>
      <c r="N8" s="1" t="s">
        <v>147</v>
      </c>
      <c r="O8" s="1" t="s">
        <v>147</v>
      </c>
      <c r="P8" s="5">
        <v>43902</v>
      </c>
      <c r="Q8" s="5">
        <v>43902</v>
      </c>
      <c r="R8" s="5">
        <v>43906</v>
      </c>
      <c r="S8" s="5">
        <v>43906</v>
      </c>
      <c r="T8" s="5">
        <v>43908</v>
      </c>
      <c r="U8" s="7">
        <v>43909.519895833335</v>
      </c>
      <c r="V8" s="4">
        <v>0</v>
      </c>
      <c r="W8" s="6">
        <v>36425</v>
      </c>
      <c r="X8" s="1" t="s">
        <v>983</v>
      </c>
      <c r="Y8" s="4">
        <v>1550</v>
      </c>
      <c r="Z8" s="6">
        <v>23.5</v>
      </c>
      <c r="AA8" s="1" t="s">
        <v>1299</v>
      </c>
      <c r="AB8" s="1" t="s">
        <v>540</v>
      </c>
      <c r="AC8" s="1" t="s">
        <v>1202</v>
      </c>
      <c r="AD8" s="1" t="s">
        <v>704</v>
      </c>
      <c r="AE8" s="1" t="s">
        <v>987</v>
      </c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2"/>
      <c r="AR8" s="1"/>
      <c r="AS8" s="1"/>
      <c r="AT8" s="1"/>
      <c r="AU8" s="1" t="s">
        <v>1308</v>
      </c>
      <c r="AV8" s="1"/>
      <c r="AW8" s="1"/>
      <c r="AX8" s="1"/>
      <c r="AY8" s="1"/>
      <c r="AZ8" s="5">
        <v>44196</v>
      </c>
      <c r="BA8" s="1"/>
      <c r="BB8" s="1"/>
      <c r="BC8" s="1"/>
      <c r="BD8" s="1"/>
    </row>
    <row r="9" spans="1:56" hidden="1" x14ac:dyDescent="0.25">
      <c r="A9" s="4">
        <v>4</v>
      </c>
      <c r="B9" s="2" t="str">
        <f>HYPERLINK("https://my.zakupki.prom.ua/remote/dispatcher/state_purchase_view/15721499", "UA-2020-03-12-001173-b")</f>
        <v>UA-2020-03-12-001173-b</v>
      </c>
      <c r="C9" s="2" t="s">
        <v>983</v>
      </c>
      <c r="D9" s="1" t="s">
        <v>830</v>
      </c>
      <c r="E9" s="1" t="s">
        <v>896</v>
      </c>
      <c r="F9" s="1" t="s">
        <v>470</v>
      </c>
      <c r="G9" s="1" t="s">
        <v>883</v>
      </c>
      <c r="H9" s="1" t="s">
        <v>1202</v>
      </c>
      <c r="I9" s="1" t="s">
        <v>905</v>
      </c>
      <c r="J9" s="1" t="s">
        <v>158</v>
      </c>
      <c r="K9" s="1" t="s">
        <v>1208</v>
      </c>
      <c r="L9" s="1" t="s">
        <v>1208</v>
      </c>
      <c r="M9" s="1" t="s">
        <v>147</v>
      </c>
      <c r="N9" s="1" t="s">
        <v>147</v>
      </c>
      <c r="O9" s="1" t="s">
        <v>147</v>
      </c>
      <c r="P9" s="5">
        <v>43902</v>
      </c>
      <c r="Q9" s="5">
        <v>43902</v>
      </c>
      <c r="R9" s="5">
        <v>43906</v>
      </c>
      <c r="S9" s="5">
        <v>43906</v>
      </c>
      <c r="T9" s="5">
        <v>43908</v>
      </c>
      <c r="U9" s="7">
        <v>43909.527557870373</v>
      </c>
      <c r="V9" s="4">
        <v>0</v>
      </c>
      <c r="W9" s="6">
        <v>15000</v>
      </c>
      <c r="X9" s="1" t="s">
        <v>983</v>
      </c>
      <c r="Y9" s="4">
        <v>60</v>
      </c>
      <c r="Z9" s="6">
        <v>250</v>
      </c>
      <c r="AA9" s="1" t="s">
        <v>1319</v>
      </c>
      <c r="AB9" s="1" t="s">
        <v>540</v>
      </c>
      <c r="AC9" s="1" t="s">
        <v>1202</v>
      </c>
      <c r="AD9" s="1" t="s">
        <v>704</v>
      </c>
      <c r="AE9" s="1" t="s">
        <v>987</v>
      </c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2"/>
      <c r="AR9" s="1"/>
      <c r="AS9" s="1"/>
      <c r="AT9" s="1"/>
      <c r="AU9" s="1" t="s">
        <v>1308</v>
      </c>
      <c r="AV9" s="1"/>
      <c r="AW9" s="1"/>
      <c r="AX9" s="1"/>
      <c r="AY9" s="1"/>
      <c r="AZ9" s="5">
        <v>44196</v>
      </c>
      <c r="BA9" s="1"/>
      <c r="BB9" s="1"/>
      <c r="BC9" s="1"/>
      <c r="BD9" s="1"/>
    </row>
    <row r="10" spans="1:56" x14ac:dyDescent="0.25">
      <c r="A10" s="4">
        <v>5</v>
      </c>
      <c r="B10" s="2" t="str">
        <f>HYPERLINK("https://my.zakupki.prom.ua/remote/dispatcher/state_purchase_view/15717951", "UA-2020-03-12-000552-b")</f>
        <v>UA-2020-03-12-000552-b</v>
      </c>
      <c r="C10" s="2" t="str">
        <f>HYPERLINK("https://my.zakupki.prom.ua/remote/dispatcher/state_purchase_lot_view/526901", "UA-2020-03-12-000552-b-L1")</f>
        <v>UA-2020-03-12-000552-b-L1</v>
      </c>
      <c r="D10" s="1" t="s">
        <v>792</v>
      </c>
      <c r="E10" s="1" t="s">
        <v>904</v>
      </c>
      <c r="F10" s="1" t="s">
        <v>375</v>
      </c>
      <c r="G10" s="1" t="s">
        <v>702</v>
      </c>
      <c r="H10" s="1" t="s">
        <v>1202</v>
      </c>
      <c r="I10" s="1" t="s">
        <v>905</v>
      </c>
      <c r="J10" s="1" t="s">
        <v>158</v>
      </c>
      <c r="K10" s="1" t="s">
        <v>1208</v>
      </c>
      <c r="L10" s="1" t="s">
        <v>1208</v>
      </c>
      <c r="M10" s="1" t="s">
        <v>148</v>
      </c>
      <c r="N10" s="1" t="s">
        <v>148</v>
      </c>
      <c r="O10" s="1" t="s">
        <v>148</v>
      </c>
      <c r="P10" s="5">
        <v>43902</v>
      </c>
      <c r="Q10" s="5">
        <v>43902</v>
      </c>
      <c r="R10" s="5">
        <v>43910</v>
      </c>
      <c r="S10" s="5">
        <v>43902</v>
      </c>
      <c r="T10" s="5">
        <v>43920</v>
      </c>
      <c r="U10" s="7">
        <v>43921.474895833337</v>
      </c>
      <c r="V10" s="4">
        <v>0</v>
      </c>
      <c r="W10" s="6">
        <v>17787</v>
      </c>
      <c r="X10" s="6">
        <v>17567</v>
      </c>
      <c r="Y10" s="4">
        <v>37</v>
      </c>
      <c r="Z10" s="6">
        <v>474.78</v>
      </c>
      <c r="AA10" s="1" t="s">
        <v>1315</v>
      </c>
      <c r="AB10" s="1" t="s">
        <v>540</v>
      </c>
      <c r="AC10" s="1" t="s">
        <v>1202</v>
      </c>
      <c r="AD10" s="1" t="s">
        <v>704</v>
      </c>
      <c r="AE10" s="1" t="s">
        <v>987</v>
      </c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2"/>
      <c r="AR10" s="1"/>
      <c r="AS10" s="1"/>
      <c r="AT10" s="1"/>
      <c r="AU10" s="1" t="s">
        <v>1308</v>
      </c>
      <c r="AV10" s="1"/>
      <c r="AW10" s="1"/>
      <c r="AX10" s="1"/>
      <c r="AY10" s="1"/>
      <c r="AZ10" s="5">
        <v>43951</v>
      </c>
      <c r="BA10" s="1"/>
      <c r="BB10" s="1"/>
      <c r="BC10" s="1"/>
      <c r="BD10" s="1"/>
    </row>
    <row r="11" spans="1:56" x14ac:dyDescent="0.25">
      <c r="A11" s="4">
        <v>6</v>
      </c>
      <c r="B11" s="2" t="str">
        <f>HYPERLINK("https://my.zakupki.prom.ua/remote/dispatcher/state_purchase_view/15717951", "UA-2020-03-12-000552-b")</f>
        <v>UA-2020-03-12-000552-b</v>
      </c>
      <c r="C11" s="2" t="str">
        <f>HYPERLINK("https://my.zakupki.prom.ua/remote/dispatcher/state_purchase_lot_view/526902", "UA-2020-03-12-000552-b-L2")</f>
        <v>UA-2020-03-12-000552-b-L2</v>
      </c>
      <c r="D11" s="1" t="s">
        <v>791</v>
      </c>
      <c r="E11" s="1" t="s">
        <v>683</v>
      </c>
      <c r="F11" s="1" t="s">
        <v>375</v>
      </c>
      <c r="G11" s="1" t="s">
        <v>702</v>
      </c>
      <c r="H11" s="1" t="s">
        <v>1202</v>
      </c>
      <c r="I11" s="1" t="s">
        <v>905</v>
      </c>
      <c r="J11" s="1" t="s">
        <v>158</v>
      </c>
      <c r="K11" s="1" t="s">
        <v>1208</v>
      </c>
      <c r="L11" s="1" t="s">
        <v>1208</v>
      </c>
      <c r="M11" s="1" t="s">
        <v>148</v>
      </c>
      <c r="N11" s="1" t="s">
        <v>148</v>
      </c>
      <c r="O11" s="1" t="s">
        <v>148</v>
      </c>
      <c r="P11" s="5">
        <v>43902</v>
      </c>
      <c r="Q11" s="5">
        <v>43902</v>
      </c>
      <c r="R11" s="5">
        <v>43910</v>
      </c>
      <c r="S11" s="5">
        <v>43902</v>
      </c>
      <c r="T11" s="5">
        <v>43920</v>
      </c>
      <c r="U11" s="7">
        <v>43921.601145833331</v>
      </c>
      <c r="V11" s="4">
        <v>0</v>
      </c>
      <c r="W11" s="6">
        <v>17787</v>
      </c>
      <c r="X11" s="6">
        <v>220</v>
      </c>
      <c r="Y11" s="4">
        <v>1</v>
      </c>
      <c r="Z11" s="6">
        <v>220</v>
      </c>
      <c r="AA11" s="1" t="s">
        <v>1315</v>
      </c>
      <c r="AB11" s="1" t="s">
        <v>540</v>
      </c>
      <c r="AC11" s="1" t="s">
        <v>1202</v>
      </c>
      <c r="AD11" s="1" t="s">
        <v>704</v>
      </c>
      <c r="AE11" s="1" t="s">
        <v>987</v>
      </c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2"/>
      <c r="AR11" s="1"/>
      <c r="AS11" s="1"/>
      <c r="AT11" s="1"/>
      <c r="AU11" s="1" t="s">
        <v>1308</v>
      </c>
      <c r="AV11" s="1"/>
      <c r="AW11" s="1"/>
      <c r="AX11" s="1"/>
      <c r="AY11" s="1"/>
      <c r="AZ11" s="5">
        <v>43951</v>
      </c>
      <c r="BA11" s="1"/>
      <c r="BB11" s="1"/>
      <c r="BC11" s="1"/>
      <c r="BD11" s="1"/>
    </row>
    <row r="12" spans="1:56" hidden="1" x14ac:dyDescent="0.25">
      <c r="A12" s="4">
        <v>7</v>
      </c>
      <c r="B12" s="2" t="str">
        <f>HYPERLINK("https://my.zakupki.prom.ua/remote/dispatcher/state_purchase_view/15550416", "UA-2020-03-02-000951-a")</f>
        <v>UA-2020-03-02-000951-a</v>
      </c>
      <c r="C12" s="2" t="s">
        <v>983</v>
      </c>
      <c r="D12" s="1" t="s">
        <v>920</v>
      </c>
      <c r="E12" s="1" t="s">
        <v>1085</v>
      </c>
      <c r="F12" s="1" t="s">
        <v>331</v>
      </c>
      <c r="G12" s="1" t="s">
        <v>883</v>
      </c>
      <c r="H12" s="1" t="s">
        <v>1202</v>
      </c>
      <c r="I12" s="1" t="s">
        <v>905</v>
      </c>
      <c r="J12" s="1" t="s">
        <v>158</v>
      </c>
      <c r="K12" s="1" t="s">
        <v>1208</v>
      </c>
      <c r="L12" s="1" t="s">
        <v>1208</v>
      </c>
      <c r="M12" s="1" t="s">
        <v>174</v>
      </c>
      <c r="N12" s="1" t="s">
        <v>147</v>
      </c>
      <c r="O12" s="1" t="s">
        <v>147</v>
      </c>
      <c r="P12" s="5">
        <v>43892</v>
      </c>
      <c r="Q12" s="5">
        <v>43892</v>
      </c>
      <c r="R12" s="5">
        <v>43894</v>
      </c>
      <c r="S12" s="5">
        <v>43894</v>
      </c>
      <c r="T12" s="5">
        <v>43896</v>
      </c>
      <c r="U12" s="7">
        <v>43900.527557870373</v>
      </c>
      <c r="V12" s="4">
        <v>4</v>
      </c>
      <c r="W12" s="6">
        <v>7000</v>
      </c>
      <c r="X12" s="1" t="s">
        <v>983</v>
      </c>
      <c r="Y12" s="1" t="s">
        <v>1298</v>
      </c>
      <c r="Z12" s="1" t="s">
        <v>1298</v>
      </c>
      <c r="AA12" s="1" t="s">
        <v>1298</v>
      </c>
      <c r="AB12" s="1" t="s">
        <v>540</v>
      </c>
      <c r="AC12" s="1" t="s">
        <v>1202</v>
      </c>
      <c r="AD12" s="1" t="s">
        <v>704</v>
      </c>
      <c r="AE12" s="1" t="s">
        <v>987</v>
      </c>
      <c r="AF12" s="6">
        <v>4704</v>
      </c>
      <c r="AG12" s="1" t="s">
        <v>1298</v>
      </c>
      <c r="AH12" s="1" t="s">
        <v>1225</v>
      </c>
      <c r="AI12" s="6">
        <v>2296</v>
      </c>
      <c r="AJ12" s="6">
        <v>0.32800000000000001</v>
      </c>
      <c r="AK12" s="1" t="s">
        <v>1225</v>
      </c>
      <c r="AL12" s="1" t="s">
        <v>388</v>
      </c>
      <c r="AM12" s="1" t="s">
        <v>580</v>
      </c>
      <c r="AN12" s="1" t="s">
        <v>126</v>
      </c>
      <c r="AO12" s="6">
        <v>2296</v>
      </c>
      <c r="AP12" s="6">
        <v>0.32800000000000001</v>
      </c>
      <c r="AQ12" s="2" t="str">
        <f>HYPERLINK("https://auction.openprocurement.org/tenders/88bbcae56e4e423d8c5fa55ee9359ab1")</f>
        <v>https://auction.openprocurement.org/tenders/88bbcae56e4e423d8c5fa55ee9359ab1</v>
      </c>
      <c r="AR12" s="7">
        <v>43901.698700993809</v>
      </c>
      <c r="AS12" s="5">
        <v>43903</v>
      </c>
      <c r="AT12" s="5">
        <v>43924</v>
      </c>
      <c r="AU12" s="1" t="s">
        <v>1309</v>
      </c>
      <c r="AV12" s="1"/>
      <c r="AW12" s="1"/>
      <c r="AX12" s="6">
        <v>4704</v>
      </c>
      <c r="AY12" s="1"/>
      <c r="AZ12" s="5">
        <v>43921</v>
      </c>
      <c r="BA12" s="1"/>
      <c r="BB12" s="1" t="s">
        <v>1303</v>
      </c>
      <c r="BC12" s="1"/>
      <c r="BD12" s="1"/>
    </row>
    <row r="13" spans="1:56" hidden="1" x14ac:dyDescent="0.25">
      <c r="A13" s="4">
        <v>8</v>
      </c>
      <c r="B13" s="2" t="str">
        <f>HYPERLINK("https://my.zakupki.prom.ua/remote/dispatcher/state_purchase_view/15542016", "UA-2020-02-28-003691-a")</f>
        <v>UA-2020-02-28-003691-a</v>
      </c>
      <c r="C13" s="2" t="s">
        <v>983</v>
      </c>
      <c r="D13" s="1" t="s">
        <v>837</v>
      </c>
      <c r="E13" s="1" t="s">
        <v>1102</v>
      </c>
      <c r="F13" s="1" t="s">
        <v>333</v>
      </c>
      <c r="G13" s="1" t="s">
        <v>883</v>
      </c>
      <c r="H13" s="1" t="s">
        <v>1202</v>
      </c>
      <c r="I13" s="1" t="s">
        <v>905</v>
      </c>
      <c r="J13" s="1" t="s">
        <v>158</v>
      </c>
      <c r="K13" s="1" t="s">
        <v>1208</v>
      </c>
      <c r="L13" s="1" t="s">
        <v>1208</v>
      </c>
      <c r="M13" s="1" t="s">
        <v>174</v>
      </c>
      <c r="N13" s="1" t="s">
        <v>147</v>
      </c>
      <c r="O13" s="1" t="s">
        <v>147</v>
      </c>
      <c r="P13" s="5">
        <v>43889</v>
      </c>
      <c r="Q13" s="5">
        <v>43889</v>
      </c>
      <c r="R13" s="5">
        <v>43893</v>
      </c>
      <c r="S13" s="5">
        <v>43893</v>
      </c>
      <c r="T13" s="5">
        <v>43895</v>
      </c>
      <c r="U13" s="7">
        <v>43896.471875000003</v>
      </c>
      <c r="V13" s="4">
        <v>2</v>
      </c>
      <c r="W13" s="6">
        <v>21150</v>
      </c>
      <c r="X13" s="1" t="s">
        <v>983</v>
      </c>
      <c r="Y13" s="4">
        <v>47</v>
      </c>
      <c r="Z13" s="6">
        <v>450</v>
      </c>
      <c r="AA13" s="1" t="s">
        <v>1319</v>
      </c>
      <c r="AB13" s="1" t="s">
        <v>540</v>
      </c>
      <c r="AC13" s="1" t="s">
        <v>1202</v>
      </c>
      <c r="AD13" s="1" t="s">
        <v>704</v>
      </c>
      <c r="AE13" s="1" t="s">
        <v>987</v>
      </c>
      <c r="AF13" s="6">
        <v>7755</v>
      </c>
      <c r="AG13" s="6">
        <v>165</v>
      </c>
      <c r="AH13" s="1" t="s">
        <v>1232</v>
      </c>
      <c r="AI13" s="6">
        <v>13395</v>
      </c>
      <c r="AJ13" s="6">
        <v>0.6333333333333333</v>
      </c>
      <c r="AK13" s="1" t="s">
        <v>1232</v>
      </c>
      <c r="AL13" s="1" t="s">
        <v>269</v>
      </c>
      <c r="AM13" s="1" t="s">
        <v>584</v>
      </c>
      <c r="AN13" s="1" t="s">
        <v>84</v>
      </c>
      <c r="AO13" s="6">
        <v>13395</v>
      </c>
      <c r="AP13" s="6">
        <v>0.6333333333333333</v>
      </c>
      <c r="AQ13" s="2" t="str">
        <f>HYPERLINK("https://auction.openprocurement.org/tenders/8b08b17d862848f3ab0727718ff58e45")</f>
        <v>https://auction.openprocurement.org/tenders/8b08b17d862848f3ab0727718ff58e45</v>
      </c>
      <c r="AR13" s="7">
        <v>43900.409296725731</v>
      </c>
      <c r="AS13" s="5">
        <v>43902</v>
      </c>
      <c r="AT13" s="5">
        <v>43923</v>
      </c>
      <c r="AU13" s="1" t="s">
        <v>1287</v>
      </c>
      <c r="AV13" s="7">
        <v>43903.45216706986</v>
      </c>
      <c r="AW13" s="1" t="s">
        <v>272</v>
      </c>
      <c r="AX13" s="6">
        <v>7755</v>
      </c>
      <c r="AY13" s="1"/>
      <c r="AZ13" s="5">
        <v>43921</v>
      </c>
      <c r="BA13" s="7">
        <v>43921</v>
      </c>
      <c r="BB13" s="1" t="s">
        <v>1310</v>
      </c>
      <c r="BC13" s="1"/>
      <c r="BD13" s="1"/>
    </row>
    <row r="14" spans="1:56" hidden="1" x14ac:dyDescent="0.25">
      <c r="A14" s="4">
        <v>9</v>
      </c>
      <c r="B14" s="2" t="str">
        <f>HYPERLINK("https://my.zakupki.prom.ua/remote/dispatcher/state_purchase_view/15541112", "UA-2020-02-28-003478-a")</f>
        <v>UA-2020-02-28-003478-a</v>
      </c>
      <c r="C14" s="2" t="s">
        <v>983</v>
      </c>
      <c r="D14" s="1" t="s">
        <v>844</v>
      </c>
      <c r="E14" s="1" t="s">
        <v>903</v>
      </c>
      <c r="F14" s="1" t="s">
        <v>458</v>
      </c>
      <c r="G14" s="1" t="s">
        <v>883</v>
      </c>
      <c r="H14" s="1" t="s">
        <v>1202</v>
      </c>
      <c r="I14" s="1" t="s">
        <v>905</v>
      </c>
      <c r="J14" s="1" t="s">
        <v>158</v>
      </c>
      <c r="K14" s="1" t="s">
        <v>1208</v>
      </c>
      <c r="L14" s="1" t="s">
        <v>1208</v>
      </c>
      <c r="M14" s="1" t="s">
        <v>147</v>
      </c>
      <c r="N14" s="1" t="s">
        <v>147</v>
      </c>
      <c r="O14" s="1" t="s">
        <v>147</v>
      </c>
      <c r="P14" s="5">
        <v>43889</v>
      </c>
      <c r="Q14" s="5">
        <v>43889</v>
      </c>
      <c r="R14" s="5">
        <v>43893</v>
      </c>
      <c r="S14" s="5">
        <v>43893</v>
      </c>
      <c r="T14" s="5">
        <v>43895</v>
      </c>
      <c r="U14" s="1" t="s">
        <v>1285</v>
      </c>
      <c r="V14" s="4">
        <v>1</v>
      </c>
      <c r="W14" s="6">
        <v>8100</v>
      </c>
      <c r="X14" s="1" t="s">
        <v>983</v>
      </c>
      <c r="Y14" s="1" t="s">
        <v>1298</v>
      </c>
      <c r="Z14" s="1" t="s">
        <v>1298</v>
      </c>
      <c r="AA14" s="1" t="s">
        <v>1298</v>
      </c>
      <c r="AB14" s="1" t="s">
        <v>540</v>
      </c>
      <c r="AC14" s="1" t="s">
        <v>1202</v>
      </c>
      <c r="AD14" s="1" t="s">
        <v>704</v>
      </c>
      <c r="AE14" s="1" t="s">
        <v>987</v>
      </c>
      <c r="AF14" s="6">
        <v>7575</v>
      </c>
      <c r="AG14" s="1" t="s">
        <v>1298</v>
      </c>
      <c r="AH14" s="1" t="s">
        <v>1261</v>
      </c>
      <c r="AI14" s="6">
        <v>525</v>
      </c>
      <c r="AJ14" s="6">
        <v>6.4814814814814811E-2</v>
      </c>
      <c r="AK14" s="1" t="s">
        <v>1261</v>
      </c>
      <c r="AL14" s="1" t="s">
        <v>295</v>
      </c>
      <c r="AM14" s="1" t="s">
        <v>610</v>
      </c>
      <c r="AN14" s="1" t="s">
        <v>115</v>
      </c>
      <c r="AO14" s="6">
        <v>525</v>
      </c>
      <c r="AP14" s="6">
        <v>6.4814814814814811E-2</v>
      </c>
      <c r="AQ14" s="2"/>
      <c r="AR14" s="7">
        <v>43896.385495589806</v>
      </c>
      <c r="AS14" s="5">
        <v>43901</v>
      </c>
      <c r="AT14" s="5">
        <v>43923</v>
      </c>
      <c r="AU14" s="1" t="s">
        <v>1287</v>
      </c>
      <c r="AV14" s="7">
        <v>43902.622435778452</v>
      </c>
      <c r="AW14" s="1" t="s">
        <v>263</v>
      </c>
      <c r="AX14" s="6">
        <v>7575</v>
      </c>
      <c r="AY14" s="1"/>
      <c r="AZ14" s="5">
        <v>43921</v>
      </c>
      <c r="BA14" s="7">
        <v>43921</v>
      </c>
      <c r="BB14" s="1" t="s">
        <v>1310</v>
      </c>
      <c r="BC14" s="1"/>
      <c r="BD14" s="1"/>
    </row>
    <row r="15" spans="1:56" hidden="1" x14ac:dyDescent="0.25">
      <c r="A15" s="4">
        <v>10</v>
      </c>
      <c r="B15" s="2" t="str">
        <f>HYPERLINK("https://my.zakupki.prom.ua/remote/dispatcher/state_purchase_view/15533294", "UA-2020-02-28-001952-a")</f>
        <v>UA-2020-02-28-001952-a</v>
      </c>
      <c r="C15" s="2" t="s">
        <v>983</v>
      </c>
      <c r="D15" s="1" t="s">
        <v>839</v>
      </c>
      <c r="E15" s="1" t="s">
        <v>1101</v>
      </c>
      <c r="F15" s="1" t="s">
        <v>367</v>
      </c>
      <c r="G15" s="1" t="s">
        <v>883</v>
      </c>
      <c r="H15" s="1" t="s">
        <v>1202</v>
      </c>
      <c r="I15" s="1" t="s">
        <v>905</v>
      </c>
      <c r="J15" s="1" t="s">
        <v>158</v>
      </c>
      <c r="K15" s="1" t="s">
        <v>1208</v>
      </c>
      <c r="L15" s="1" t="s">
        <v>1208</v>
      </c>
      <c r="M15" s="1" t="s">
        <v>147</v>
      </c>
      <c r="N15" s="1" t="s">
        <v>147</v>
      </c>
      <c r="O15" s="1" t="s">
        <v>147</v>
      </c>
      <c r="P15" s="5">
        <v>43889</v>
      </c>
      <c r="Q15" s="5">
        <v>43889</v>
      </c>
      <c r="R15" s="5">
        <v>43893</v>
      </c>
      <c r="S15" s="5">
        <v>43893</v>
      </c>
      <c r="T15" s="5">
        <v>43895</v>
      </c>
      <c r="U15" s="1" t="s">
        <v>1285</v>
      </c>
      <c r="V15" s="4">
        <v>1</v>
      </c>
      <c r="W15" s="6">
        <v>6100</v>
      </c>
      <c r="X15" s="1" t="s">
        <v>983</v>
      </c>
      <c r="Y15" s="1" t="s">
        <v>1298</v>
      </c>
      <c r="Z15" s="1" t="s">
        <v>1298</v>
      </c>
      <c r="AA15" s="1" t="s">
        <v>1298</v>
      </c>
      <c r="AB15" s="1" t="s">
        <v>540</v>
      </c>
      <c r="AC15" s="1" t="s">
        <v>1202</v>
      </c>
      <c r="AD15" s="1" t="s">
        <v>704</v>
      </c>
      <c r="AE15" s="1" t="s">
        <v>987</v>
      </c>
      <c r="AF15" s="6">
        <v>4500</v>
      </c>
      <c r="AG15" s="1" t="s">
        <v>1298</v>
      </c>
      <c r="AH15" s="1" t="s">
        <v>1153</v>
      </c>
      <c r="AI15" s="6">
        <v>1600</v>
      </c>
      <c r="AJ15" s="6">
        <v>0.26229508196721313</v>
      </c>
      <c r="AK15" s="1" t="s">
        <v>1153</v>
      </c>
      <c r="AL15" s="1" t="s">
        <v>404</v>
      </c>
      <c r="AM15" s="1" t="s">
        <v>579</v>
      </c>
      <c r="AN15" s="1"/>
      <c r="AO15" s="6">
        <v>1600</v>
      </c>
      <c r="AP15" s="6">
        <v>0.26229508196721313</v>
      </c>
      <c r="AQ15" s="2"/>
      <c r="AR15" s="7">
        <v>43900.411299575455</v>
      </c>
      <c r="AS15" s="5">
        <v>43902</v>
      </c>
      <c r="AT15" s="5">
        <v>43923</v>
      </c>
      <c r="AU15" s="1" t="s">
        <v>1309</v>
      </c>
      <c r="AV15" s="1"/>
      <c r="AW15" s="1"/>
      <c r="AX15" s="6">
        <v>4500</v>
      </c>
      <c r="AY15" s="1"/>
      <c r="AZ15" s="5">
        <v>43921</v>
      </c>
      <c r="BA15" s="1"/>
      <c r="BB15" s="1" t="s">
        <v>1303</v>
      </c>
      <c r="BC15" s="1"/>
      <c r="BD15" s="1"/>
    </row>
    <row r="16" spans="1:56" hidden="1" x14ac:dyDescent="0.25">
      <c r="A16" s="4">
        <v>11</v>
      </c>
      <c r="B16" s="2" t="str">
        <f>HYPERLINK("https://my.zakupki.prom.ua/remote/dispatcher/state_purchase_view/15529121", "UA-2020-02-28-001112-a")</f>
        <v>UA-2020-02-28-001112-a</v>
      </c>
      <c r="C16" s="2" t="s">
        <v>983</v>
      </c>
      <c r="D16" s="1" t="s">
        <v>851</v>
      </c>
      <c r="E16" s="1" t="s">
        <v>1204</v>
      </c>
      <c r="F16" s="1" t="s">
        <v>271</v>
      </c>
      <c r="G16" s="1" t="s">
        <v>883</v>
      </c>
      <c r="H16" s="1" t="s">
        <v>1202</v>
      </c>
      <c r="I16" s="1" t="s">
        <v>905</v>
      </c>
      <c r="J16" s="1" t="s">
        <v>158</v>
      </c>
      <c r="K16" s="1" t="s">
        <v>1208</v>
      </c>
      <c r="L16" s="1" t="s">
        <v>1208</v>
      </c>
      <c r="M16" s="1" t="s">
        <v>147</v>
      </c>
      <c r="N16" s="1" t="s">
        <v>147</v>
      </c>
      <c r="O16" s="1" t="s">
        <v>147</v>
      </c>
      <c r="P16" s="5">
        <v>43889</v>
      </c>
      <c r="Q16" s="5">
        <v>43889</v>
      </c>
      <c r="R16" s="5">
        <v>43893</v>
      </c>
      <c r="S16" s="5">
        <v>43893</v>
      </c>
      <c r="T16" s="5">
        <v>43895</v>
      </c>
      <c r="U16" s="7">
        <v>43896.52715277778</v>
      </c>
      <c r="V16" s="4">
        <v>2</v>
      </c>
      <c r="W16" s="6">
        <v>8000</v>
      </c>
      <c r="X16" s="1" t="s">
        <v>983</v>
      </c>
      <c r="Y16" s="1" t="s">
        <v>1298</v>
      </c>
      <c r="Z16" s="1" t="s">
        <v>1298</v>
      </c>
      <c r="AA16" s="1" t="s">
        <v>1298</v>
      </c>
      <c r="AB16" s="1" t="s">
        <v>540</v>
      </c>
      <c r="AC16" s="1" t="s">
        <v>1202</v>
      </c>
      <c r="AD16" s="1" t="s">
        <v>704</v>
      </c>
      <c r="AE16" s="1" t="s">
        <v>987</v>
      </c>
      <c r="AF16" s="6">
        <v>7100</v>
      </c>
      <c r="AG16" s="1" t="s">
        <v>1298</v>
      </c>
      <c r="AH16" s="1" t="s">
        <v>1238</v>
      </c>
      <c r="AI16" s="6">
        <v>900</v>
      </c>
      <c r="AJ16" s="6">
        <v>0.1125</v>
      </c>
      <c r="AK16" s="1" t="s">
        <v>1238</v>
      </c>
      <c r="AL16" s="1" t="s">
        <v>294</v>
      </c>
      <c r="AM16" s="1" t="s">
        <v>591</v>
      </c>
      <c r="AN16" s="1" t="s">
        <v>99</v>
      </c>
      <c r="AO16" s="6">
        <v>900</v>
      </c>
      <c r="AP16" s="6">
        <v>0.1125</v>
      </c>
      <c r="AQ16" s="2" t="str">
        <f>HYPERLINK("https://auction.openprocurement.org/tenders/359395006eed476493f556ed109ce660")</f>
        <v>https://auction.openprocurement.org/tenders/359395006eed476493f556ed109ce660</v>
      </c>
      <c r="AR16" s="7">
        <v>43901.705471636502</v>
      </c>
      <c r="AS16" s="5">
        <v>43903</v>
      </c>
      <c r="AT16" s="5">
        <v>43923</v>
      </c>
      <c r="AU16" s="1" t="s">
        <v>1309</v>
      </c>
      <c r="AV16" s="1"/>
      <c r="AW16" s="1"/>
      <c r="AX16" s="6">
        <v>7100</v>
      </c>
      <c r="AY16" s="1"/>
      <c r="AZ16" s="5">
        <v>43921</v>
      </c>
      <c r="BA16" s="1"/>
      <c r="BB16" s="1" t="s">
        <v>1303</v>
      </c>
      <c r="BC16" s="1"/>
      <c r="BD16" s="1"/>
    </row>
    <row r="17" spans="1:56" hidden="1" x14ac:dyDescent="0.25">
      <c r="A17" s="4">
        <v>12</v>
      </c>
      <c r="B17" s="2" t="str">
        <f>HYPERLINK("https://my.zakupki.prom.ua/remote/dispatcher/state_purchase_view/15526253", "UA-2020-02-28-000563-a")</f>
        <v>UA-2020-02-28-000563-a</v>
      </c>
      <c r="C17" s="2" t="s">
        <v>983</v>
      </c>
      <c r="D17" s="1" t="s">
        <v>852</v>
      </c>
      <c r="E17" s="1" t="s">
        <v>1064</v>
      </c>
      <c r="F17" s="1" t="s">
        <v>384</v>
      </c>
      <c r="G17" s="1" t="s">
        <v>883</v>
      </c>
      <c r="H17" s="1" t="s">
        <v>1202</v>
      </c>
      <c r="I17" s="1" t="s">
        <v>905</v>
      </c>
      <c r="J17" s="1" t="s">
        <v>158</v>
      </c>
      <c r="K17" s="1" t="s">
        <v>1208</v>
      </c>
      <c r="L17" s="1" t="s">
        <v>1208</v>
      </c>
      <c r="M17" s="1" t="s">
        <v>147</v>
      </c>
      <c r="N17" s="1" t="s">
        <v>147</v>
      </c>
      <c r="O17" s="1" t="s">
        <v>147</v>
      </c>
      <c r="P17" s="5">
        <v>43889</v>
      </c>
      <c r="Q17" s="5">
        <v>43889</v>
      </c>
      <c r="R17" s="5">
        <v>43893</v>
      </c>
      <c r="S17" s="5">
        <v>43893</v>
      </c>
      <c r="T17" s="5">
        <v>43895</v>
      </c>
      <c r="U17" s="1" t="s">
        <v>1285</v>
      </c>
      <c r="V17" s="4">
        <v>1</v>
      </c>
      <c r="W17" s="6">
        <v>3600</v>
      </c>
      <c r="X17" s="1" t="s">
        <v>983</v>
      </c>
      <c r="Y17" s="4">
        <v>10</v>
      </c>
      <c r="Z17" s="6">
        <v>360</v>
      </c>
      <c r="AA17" s="1" t="s">
        <v>1315</v>
      </c>
      <c r="AB17" s="1" t="s">
        <v>540</v>
      </c>
      <c r="AC17" s="1" t="s">
        <v>1202</v>
      </c>
      <c r="AD17" s="1" t="s">
        <v>704</v>
      </c>
      <c r="AE17" s="1" t="s">
        <v>987</v>
      </c>
      <c r="AF17" s="6">
        <v>3194.2</v>
      </c>
      <c r="AG17" s="6">
        <v>319.41999999999996</v>
      </c>
      <c r="AH17" s="1" t="s">
        <v>1145</v>
      </c>
      <c r="AI17" s="6">
        <v>405.80000000000018</v>
      </c>
      <c r="AJ17" s="6">
        <v>0.11272222222222228</v>
      </c>
      <c r="AK17" s="1" t="s">
        <v>1145</v>
      </c>
      <c r="AL17" s="1" t="s">
        <v>440</v>
      </c>
      <c r="AM17" s="1" t="s">
        <v>578</v>
      </c>
      <c r="AN17" s="1" t="s">
        <v>111</v>
      </c>
      <c r="AO17" s="6">
        <v>405.80000000000018</v>
      </c>
      <c r="AP17" s="6">
        <v>0.11272222222222228</v>
      </c>
      <c r="AQ17" s="2"/>
      <c r="AR17" s="7">
        <v>43896.398872695478</v>
      </c>
      <c r="AS17" s="5">
        <v>43901</v>
      </c>
      <c r="AT17" s="5">
        <v>43923</v>
      </c>
      <c r="AU17" s="1" t="s">
        <v>1287</v>
      </c>
      <c r="AV17" s="7">
        <v>43901.432238057292</v>
      </c>
      <c r="AW17" s="1" t="s">
        <v>252</v>
      </c>
      <c r="AX17" s="6">
        <v>3194.2</v>
      </c>
      <c r="AY17" s="1"/>
      <c r="AZ17" s="5">
        <v>43921</v>
      </c>
      <c r="BA17" s="7">
        <v>43921</v>
      </c>
      <c r="BB17" s="1" t="s">
        <v>1310</v>
      </c>
      <c r="BC17" s="1"/>
      <c r="BD17" s="1"/>
    </row>
    <row r="18" spans="1:56" hidden="1" x14ac:dyDescent="0.25">
      <c r="A18" s="4">
        <v>13</v>
      </c>
      <c r="B18" s="2" t="str">
        <f>HYPERLINK("https://my.zakupki.prom.ua/remote/dispatcher/state_purchase_view/15504082", "UA-2020-02-27-000460-a")</f>
        <v>UA-2020-02-27-000460-a</v>
      </c>
      <c r="C18" s="2" t="s">
        <v>983</v>
      </c>
      <c r="D18" s="1" t="s">
        <v>838</v>
      </c>
      <c r="E18" s="1" t="s">
        <v>978</v>
      </c>
      <c r="F18" s="1" t="s">
        <v>355</v>
      </c>
      <c r="G18" s="1" t="s">
        <v>883</v>
      </c>
      <c r="H18" s="1" t="s">
        <v>1202</v>
      </c>
      <c r="I18" s="1" t="s">
        <v>905</v>
      </c>
      <c r="J18" s="1" t="s">
        <v>158</v>
      </c>
      <c r="K18" s="1" t="s">
        <v>1208</v>
      </c>
      <c r="L18" s="1" t="s">
        <v>1208</v>
      </c>
      <c r="M18" s="1" t="s">
        <v>147</v>
      </c>
      <c r="N18" s="1" t="s">
        <v>147</v>
      </c>
      <c r="O18" s="1" t="s">
        <v>147</v>
      </c>
      <c r="P18" s="5">
        <v>43888</v>
      </c>
      <c r="Q18" s="5">
        <v>43888</v>
      </c>
      <c r="R18" s="5">
        <v>43892</v>
      </c>
      <c r="S18" s="5">
        <v>43892</v>
      </c>
      <c r="T18" s="5">
        <v>43894</v>
      </c>
      <c r="U18" s="1" t="s">
        <v>1285</v>
      </c>
      <c r="V18" s="4">
        <v>1</v>
      </c>
      <c r="W18" s="6">
        <v>25700</v>
      </c>
      <c r="X18" s="1" t="s">
        <v>983</v>
      </c>
      <c r="Y18" s="1" t="s">
        <v>1298</v>
      </c>
      <c r="Z18" s="1" t="s">
        <v>1298</v>
      </c>
      <c r="AA18" s="1" t="s">
        <v>1298</v>
      </c>
      <c r="AB18" s="1" t="s">
        <v>540</v>
      </c>
      <c r="AC18" s="1" t="s">
        <v>1202</v>
      </c>
      <c r="AD18" s="1" t="s">
        <v>704</v>
      </c>
      <c r="AE18" s="1" t="s">
        <v>987</v>
      </c>
      <c r="AF18" s="6">
        <v>25690.86</v>
      </c>
      <c r="AG18" s="1" t="s">
        <v>1298</v>
      </c>
      <c r="AH18" s="1" t="s">
        <v>1251</v>
      </c>
      <c r="AI18" s="6">
        <v>9.1399999999994179</v>
      </c>
      <c r="AJ18" s="6">
        <v>3.5564202334628084E-4</v>
      </c>
      <c r="AK18" s="1" t="s">
        <v>1251</v>
      </c>
      <c r="AL18" s="1" t="s">
        <v>319</v>
      </c>
      <c r="AM18" s="1" t="s">
        <v>544</v>
      </c>
      <c r="AN18" s="1" t="s">
        <v>106</v>
      </c>
      <c r="AO18" s="6">
        <v>9.1399999999994179</v>
      </c>
      <c r="AP18" s="6">
        <v>3.5564202334628084E-4</v>
      </c>
      <c r="AQ18" s="2"/>
      <c r="AR18" s="7">
        <v>43895.366763088889</v>
      </c>
      <c r="AS18" s="5">
        <v>43900</v>
      </c>
      <c r="AT18" s="5">
        <v>43922</v>
      </c>
      <c r="AU18" s="1" t="s">
        <v>1287</v>
      </c>
      <c r="AV18" s="7">
        <v>43901.437625904779</v>
      </c>
      <c r="AW18" s="1" t="s">
        <v>240</v>
      </c>
      <c r="AX18" s="6">
        <v>25690.86</v>
      </c>
      <c r="AY18" s="1"/>
      <c r="AZ18" s="5">
        <v>43921</v>
      </c>
      <c r="BA18" s="7">
        <v>43921</v>
      </c>
      <c r="BB18" s="1" t="s">
        <v>1310</v>
      </c>
      <c r="BC18" s="1"/>
      <c r="BD18" s="1"/>
    </row>
    <row r="19" spans="1:56" x14ac:dyDescent="0.25">
      <c r="A19" s="4">
        <v>14</v>
      </c>
      <c r="B19" s="2" t="str">
        <f>HYPERLINK("https://my.zakupki.prom.ua/remote/dispatcher/state_purchase_view/15497945", "UA-2020-02-26-002970-a")</f>
        <v>UA-2020-02-26-002970-a</v>
      </c>
      <c r="C19" s="2" t="s">
        <v>983</v>
      </c>
      <c r="D19" s="1" t="s">
        <v>793</v>
      </c>
      <c r="E19" s="1" t="s">
        <v>882</v>
      </c>
      <c r="F19" s="1" t="s">
        <v>375</v>
      </c>
      <c r="G19" s="1" t="s">
        <v>702</v>
      </c>
      <c r="H19" s="1" t="s">
        <v>1202</v>
      </c>
      <c r="I19" s="1" t="s">
        <v>905</v>
      </c>
      <c r="J19" s="1" t="s">
        <v>158</v>
      </c>
      <c r="K19" s="1" t="s">
        <v>1208</v>
      </c>
      <c r="L19" s="1" t="s">
        <v>1208</v>
      </c>
      <c r="M19" s="1" t="s">
        <v>147</v>
      </c>
      <c r="N19" s="1" t="s">
        <v>147</v>
      </c>
      <c r="O19" s="1" t="s">
        <v>147</v>
      </c>
      <c r="P19" s="5">
        <v>43887</v>
      </c>
      <c r="Q19" s="5">
        <v>43887</v>
      </c>
      <c r="R19" s="5">
        <v>43893</v>
      </c>
      <c r="S19" s="5">
        <v>43887</v>
      </c>
      <c r="T19" s="5">
        <v>43903</v>
      </c>
      <c r="U19" s="1" t="s">
        <v>1285</v>
      </c>
      <c r="V19" s="4">
        <v>0</v>
      </c>
      <c r="W19" s="6">
        <v>18300</v>
      </c>
      <c r="X19" s="1" t="s">
        <v>983</v>
      </c>
      <c r="Y19" s="1" t="s">
        <v>1298</v>
      </c>
      <c r="Z19" s="1" t="s">
        <v>1298</v>
      </c>
      <c r="AA19" s="1" t="s">
        <v>1298</v>
      </c>
      <c r="AB19" s="1" t="s">
        <v>540</v>
      </c>
      <c r="AC19" s="1" t="s">
        <v>1202</v>
      </c>
      <c r="AD19" s="1" t="s">
        <v>704</v>
      </c>
      <c r="AE19" s="1" t="s">
        <v>987</v>
      </c>
      <c r="AF19" s="1"/>
      <c r="AG19" s="1" t="s">
        <v>1298</v>
      </c>
      <c r="AH19" s="1"/>
      <c r="AI19" s="1"/>
      <c r="AJ19" s="1"/>
      <c r="AK19" s="1"/>
      <c r="AL19" s="1"/>
      <c r="AM19" s="1"/>
      <c r="AN19" s="1"/>
      <c r="AO19" s="1"/>
      <c r="AP19" s="1"/>
      <c r="AQ19" s="2"/>
      <c r="AR19" s="1"/>
      <c r="AS19" s="1"/>
      <c r="AT19" s="1"/>
      <c r="AU19" s="1" t="s">
        <v>1288</v>
      </c>
      <c r="AV19" s="7">
        <v>43903.584173025243</v>
      </c>
      <c r="AW19" s="1"/>
      <c r="AX19" s="1"/>
      <c r="AY19" s="1"/>
      <c r="AZ19" s="5">
        <v>43921</v>
      </c>
      <c r="BA19" s="1"/>
      <c r="BB19" s="1"/>
      <c r="BC19" s="1"/>
      <c r="BD19" s="1"/>
    </row>
    <row r="20" spans="1:56" x14ac:dyDescent="0.25">
      <c r="A20" s="4">
        <v>15</v>
      </c>
      <c r="B20" s="2" t="str">
        <f>HYPERLINK("https://my.zakupki.prom.ua/remote/dispatcher/state_purchase_view/15477337", "UA-2020-02-26-002034-c")</f>
        <v>UA-2020-02-26-002034-c</v>
      </c>
      <c r="C20" s="2" t="s">
        <v>983</v>
      </c>
      <c r="D20" s="1" t="s">
        <v>827</v>
      </c>
      <c r="E20" s="1" t="s">
        <v>1061</v>
      </c>
      <c r="F20" s="1" t="s">
        <v>460</v>
      </c>
      <c r="G20" s="1" t="s">
        <v>702</v>
      </c>
      <c r="H20" s="1" t="s">
        <v>1202</v>
      </c>
      <c r="I20" s="1" t="s">
        <v>905</v>
      </c>
      <c r="J20" s="1" t="s">
        <v>158</v>
      </c>
      <c r="K20" s="1" t="s">
        <v>1208</v>
      </c>
      <c r="L20" s="1" t="s">
        <v>1208</v>
      </c>
      <c r="M20" s="1" t="s">
        <v>147</v>
      </c>
      <c r="N20" s="1" t="s">
        <v>147</v>
      </c>
      <c r="O20" s="1" t="s">
        <v>147</v>
      </c>
      <c r="P20" s="5">
        <v>43887</v>
      </c>
      <c r="Q20" s="5">
        <v>43887</v>
      </c>
      <c r="R20" s="5">
        <v>43893</v>
      </c>
      <c r="S20" s="5">
        <v>43887</v>
      </c>
      <c r="T20" s="5">
        <v>43903</v>
      </c>
      <c r="U20" s="1" t="s">
        <v>1285</v>
      </c>
      <c r="V20" s="4">
        <v>1</v>
      </c>
      <c r="W20" s="6">
        <v>550000</v>
      </c>
      <c r="X20" s="1" t="s">
        <v>983</v>
      </c>
      <c r="Y20" s="4">
        <v>1</v>
      </c>
      <c r="Z20" s="6">
        <v>550000</v>
      </c>
      <c r="AA20" s="1" t="s">
        <v>1307</v>
      </c>
      <c r="AB20" s="1" t="s">
        <v>540</v>
      </c>
      <c r="AC20" s="1" t="s">
        <v>1202</v>
      </c>
      <c r="AD20" s="1" t="s">
        <v>704</v>
      </c>
      <c r="AE20" s="1" t="s">
        <v>987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2"/>
      <c r="AR20" s="1"/>
      <c r="AS20" s="1"/>
      <c r="AT20" s="1"/>
      <c r="AU20" s="1" t="s">
        <v>1288</v>
      </c>
      <c r="AV20" s="7">
        <v>43903.500786956727</v>
      </c>
      <c r="AW20" s="1"/>
      <c r="AX20" s="1"/>
      <c r="AY20" s="1"/>
      <c r="AZ20" s="5">
        <v>44196</v>
      </c>
      <c r="BA20" s="1"/>
      <c r="BB20" s="1"/>
      <c r="BC20" s="1"/>
      <c r="BD20" s="1"/>
    </row>
    <row r="21" spans="1:56" hidden="1" x14ac:dyDescent="0.25">
      <c r="A21" s="4">
        <v>16</v>
      </c>
      <c r="B21" s="2" t="str">
        <f>HYPERLINK("https://my.zakupki.prom.ua/remote/dispatcher/state_purchase_view/15463855", "UA-2020-02-25-001185-c")</f>
        <v>UA-2020-02-25-001185-c</v>
      </c>
      <c r="C21" s="2" t="s">
        <v>983</v>
      </c>
      <c r="D21" s="1" t="s">
        <v>856</v>
      </c>
      <c r="E21" s="1" t="s">
        <v>678</v>
      </c>
      <c r="F21" s="1" t="s">
        <v>378</v>
      </c>
      <c r="G21" s="1" t="s">
        <v>883</v>
      </c>
      <c r="H21" s="1" t="s">
        <v>1202</v>
      </c>
      <c r="I21" s="1" t="s">
        <v>905</v>
      </c>
      <c r="J21" s="1" t="s">
        <v>158</v>
      </c>
      <c r="K21" s="1" t="s">
        <v>1208</v>
      </c>
      <c r="L21" s="1" t="s">
        <v>1208</v>
      </c>
      <c r="M21" s="1" t="s">
        <v>147</v>
      </c>
      <c r="N21" s="1" t="s">
        <v>147</v>
      </c>
      <c r="O21" s="1" t="s">
        <v>147</v>
      </c>
      <c r="P21" s="5">
        <v>43886</v>
      </c>
      <c r="Q21" s="5">
        <v>43886</v>
      </c>
      <c r="R21" s="5">
        <v>43889</v>
      </c>
      <c r="S21" s="5">
        <v>43889</v>
      </c>
      <c r="T21" s="5">
        <v>43894</v>
      </c>
      <c r="U21" s="1" t="s">
        <v>1285</v>
      </c>
      <c r="V21" s="4">
        <v>1</v>
      </c>
      <c r="W21" s="6">
        <v>63540</v>
      </c>
      <c r="X21" s="1" t="s">
        <v>983</v>
      </c>
      <c r="Y21" s="1" t="s">
        <v>1298</v>
      </c>
      <c r="Z21" s="1" t="s">
        <v>1298</v>
      </c>
      <c r="AA21" s="1" t="s">
        <v>1298</v>
      </c>
      <c r="AB21" s="1" t="s">
        <v>540</v>
      </c>
      <c r="AC21" s="1" t="s">
        <v>1202</v>
      </c>
      <c r="AD21" s="1" t="s">
        <v>704</v>
      </c>
      <c r="AE21" s="1" t="s">
        <v>987</v>
      </c>
      <c r="AF21" s="6">
        <v>63422.17</v>
      </c>
      <c r="AG21" s="1" t="s">
        <v>1298</v>
      </c>
      <c r="AH21" s="1" t="s">
        <v>1251</v>
      </c>
      <c r="AI21" s="6">
        <v>117.83000000000175</v>
      </c>
      <c r="AJ21" s="6">
        <v>1.8544224110796624E-3</v>
      </c>
      <c r="AK21" s="1" t="s">
        <v>1251</v>
      </c>
      <c r="AL21" s="1" t="s">
        <v>319</v>
      </c>
      <c r="AM21" s="1" t="s">
        <v>544</v>
      </c>
      <c r="AN21" s="1" t="s">
        <v>106</v>
      </c>
      <c r="AO21" s="6">
        <v>117.83000000000175</v>
      </c>
      <c r="AP21" s="6">
        <v>1.8544224110796624E-3</v>
      </c>
      <c r="AQ21" s="2"/>
      <c r="AR21" s="7">
        <v>43895.364021468529</v>
      </c>
      <c r="AS21" s="5">
        <v>43900</v>
      </c>
      <c r="AT21" s="5">
        <v>43919</v>
      </c>
      <c r="AU21" s="1" t="s">
        <v>1287</v>
      </c>
      <c r="AV21" s="7">
        <v>43901.441607431596</v>
      </c>
      <c r="AW21" s="1" t="s">
        <v>232</v>
      </c>
      <c r="AX21" s="6">
        <v>63422.17</v>
      </c>
      <c r="AY21" s="1"/>
      <c r="AZ21" s="5">
        <v>43921</v>
      </c>
      <c r="BA21" s="7">
        <v>43921</v>
      </c>
      <c r="BB21" s="1" t="s">
        <v>1310</v>
      </c>
      <c r="BC21" s="1"/>
      <c r="BD21" s="1"/>
    </row>
    <row r="22" spans="1:56" x14ac:dyDescent="0.25">
      <c r="A22" s="4">
        <v>17</v>
      </c>
      <c r="B22" s="2" t="str">
        <f>HYPERLINK("https://my.zakupki.prom.ua/remote/dispatcher/state_purchase_view/15448928", "UA-2020-02-24-002197-c")</f>
        <v>UA-2020-02-24-002197-c</v>
      </c>
      <c r="C22" s="2" t="str">
        <f>HYPERLINK("https://my.zakupki.prom.ua/remote/dispatcher/state_purchase_lot_view/520296", "UA-2020-02-24-002197-c-L1")</f>
        <v>UA-2020-02-24-002197-c-L1</v>
      </c>
      <c r="D22" s="1" t="s">
        <v>792</v>
      </c>
      <c r="E22" s="1" t="s">
        <v>904</v>
      </c>
      <c r="F22" s="1" t="s">
        <v>375</v>
      </c>
      <c r="G22" s="1" t="s">
        <v>702</v>
      </c>
      <c r="H22" s="1" t="s">
        <v>1202</v>
      </c>
      <c r="I22" s="1" t="s">
        <v>905</v>
      </c>
      <c r="J22" s="1" t="s">
        <v>158</v>
      </c>
      <c r="K22" s="1" t="s">
        <v>1208</v>
      </c>
      <c r="L22" s="1" t="s">
        <v>1208</v>
      </c>
      <c r="M22" s="1" t="s">
        <v>148</v>
      </c>
      <c r="N22" s="1" t="s">
        <v>148</v>
      </c>
      <c r="O22" s="1" t="s">
        <v>148</v>
      </c>
      <c r="P22" s="5">
        <v>43885</v>
      </c>
      <c r="Q22" s="5">
        <v>43885</v>
      </c>
      <c r="R22" s="5">
        <v>43891</v>
      </c>
      <c r="S22" s="5">
        <v>43885</v>
      </c>
      <c r="T22" s="5">
        <v>43901</v>
      </c>
      <c r="U22" s="1" t="s">
        <v>1285</v>
      </c>
      <c r="V22" s="4">
        <v>0</v>
      </c>
      <c r="W22" s="6">
        <v>17787</v>
      </c>
      <c r="X22" s="6">
        <v>17567</v>
      </c>
      <c r="Y22" s="4">
        <v>37</v>
      </c>
      <c r="Z22" s="6">
        <v>474.78</v>
      </c>
      <c r="AA22" s="1" t="s">
        <v>1315</v>
      </c>
      <c r="AB22" s="1" t="s">
        <v>540</v>
      </c>
      <c r="AC22" s="1" t="s">
        <v>1202</v>
      </c>
      <c r="AD22" s="1" t="s">
        <v>704</v>
      </c>
      <c r="AE22" s="1" t="s">
        <v>987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2"/>
      <c r="AR22" s="1"/>
      <c r="AS22" s="1"/>
      <c r="AT22" s="1"/>
      <c r="AU22" s="1" t="s">
        <v>1288</v>
      </c>
      <c r="AV22" s="7">
        <v>43901.584771622758</v>
      </c>
      <c r="AW22" s="1"/>
      <c r="AX22" s="1"/>
      <c r="AY22" s="1"/>
      <c r="AZ22" s="5">
        <v>43921</v>
      </c>
      <c r="BA22" s="1"/>
      <c r="BB22" s="1"/>
      <c r="BC22" s="1"/>
      <c r="BD22" s="1"/>
    </row>
    <row r="23" spans="1:56" x14ac:dyDescent="0.25">
      <c r="A23" s="4">
        <v>18</v>
      </c>
      <c r="B23" s="2" t="str">
        <f>HYPERLINK("https://my.zakupki.prom.ua/remote/dispatcher/state_purchase_view/15448928", "UA-2020-02-24-002197-c")</f>
        <v>UA-2020-02-24-002197-c</v>
      </c>
      <c r="C23" s="2" t="str">
        <f>HYPERLINK("https://my.zakupki.prom.ua/remote/dispatcher/state_purchase_lot_view/520297", "UA-2020-02-24-002197-c-L2")</f>
        <v>UA-2020-02-24-002197-c-L2</v>
      </c>
      <c r="D23" s="1" t="s">
        <v>791</v>
      </c>
      <c r="E23" s="1" t="s">
        <v>683</v>
      </c>
      <c r="F23" s="1" t="s">
        <v>375</v>
      </c>
      <c r="G23" s="1" t="s">
        <v>702</v>
      </c>
      <c r="H23" s="1" t="s">
        <v>1202</v>
      </c>
      <c r="I23" s="1" t="s">
        <v>905</v>
      </c>
      <c r="J23" s="1" t="s">
        <v>158</v>
      </c>
      <c r="K23" s="1" t="s">
        <v>1208</v>
      </c>
      <c r="L23" s="1" t="s">
        <v>1208</v>
      </c>
      <c r="M23" s="1" t="s">
        <v>148</v>
      </c>
      <c r="N23" s="1" t="s">
        <v>148</v>
      </c>
      <c r="O23" s="1" t="s">
        <v>148</v>
      </c>
      <c r="P23" s="5">
        <v>43885</v>
      </c>
      <c r="Q23" s="5">
        <v>43885</v>
      </c>
      <c r="R23" s="5">
        <v>43891</v>
      </c>
      <c r="S23" s="5">
        <v>43885</v>
      </c>
      <c r="T23" s="5">
        <v>43901</v>
      </c>
      <c r="U23" s="1" t="s">
        <v>1285</v>
      </c>
      <c r="V23" s="4">
        <v>0</v>
      </c>
      <c r="W23" s="6">
        <v>17787</v>
      </c>
      <c r="X23" s="6">
        <v>220</v>
      </c>
      <c r="Y23" s="4">
        <v>1</v>
      </c>
      <c r="Z23" s="6">
        <v>220</v>
      </c>
      <c r="AA23" s="1" t="s">
        <v>1315</v>
      </c>
      <c r="AB23" s="1" t="s">
        <v>540</v>
      </c>
      <c r="AC23" s="1" t="s">
        <v>1202</v>
      </c>
      <c r="AD23" s="1" t="s">
        <v>704</v>
      </c>
      <c r="AE23" s="1" t="s">
        <v>987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2"/>
      <c r="AR23" s="1"/>
      <c r="AS23" s="1"/>
      <c r="AT23" s="1"/>
      <c r="AU23" s="1" t="s">
        <v>1288</v>
      </c>
      <c r="AV23" s="7">
        <v>43901.584771622758</v>
      </c>
      <c r="AW23" s="1"/>
      <c r="AX23" s="1"/>
      <c r="AY23" s="1"/>
      <c r="AZ23" s="5">
        <v>43921</v>
      </c>
      <c r="BA23" s="1"/>
      <c r="BB23" s="1"/>
      <c r="BC23" s="1"/>
      <c r="BD23" s="1"/>
    </row>
    <row r="24" spans="1:56" hidden="1" x14ac:dyDescent="0.25">
      <c r="A24" s="4">
        <v>19</v>
      </c>
      <c r="B24" s="2" t="str">
        <f>HYPERLINK("https://my.zakupki.prom.ua/remote/dispatcher/state_purchase_view/15401490", "UA-2020-02-20-002785-b")</f>
        <v>UA-2020-02-20-002785-b</v>
      </c>
      <c r="C24" s="2" t="s">
        <v>983</v>
      </c>
      <c r="D24" s="1" t="s">
        <v>866</v>
      </c>
      <c r="E24" s="1" t="s">
        <v>897</v>
      </c>
      <c r="F24" s="1" t="s">
        <v>278</v>
      </c>
      <c r="G24" s="1" t="s">
        <v>883</v>
      </c>
      <c r="H24" s="1" t="s">
        <v>1202</v>
      </c>
      <c r="I24" s="1" t="s">
        <v>905</v>
      </c>
      <c r="J24" s="1" t="s">
        <v>158</v>
      </c>
      <c r="K24" s="1" t="s">
        <v>1208</v>
      </c>
      <c r="L24" s="1" t="s">
        <v>1208</v>
      </c>
      <c r="M24" s="1" t="s">
        <v>147</v>
      </c>
      <c r="N24" s="1" t="s">
        <v>147</v>
      </c>
      <c r="O24" s="1" t="s">
        <v>147</v>
      </c>
      <c r="P24" s="5">
        <v>43881</v>
      </c>
      <c r="Q24" s="5">
        <v>43881</v>
      </c>
      <c r="R24" s="5">
        <v>43885</v>
      </c>
      <c r="S24" s="5">
        <v>43885</v>
      </c>
      <c r="T24" s="5">
        <v>43887</v>
      </c>
      <c r="U24" s="7">
        <v>43888.626932870371</v>
      </c>
      <c r="V24" s="4">
        <v>2</v>
      </c>
      <c r="W24" s="6">
        <v>11300</v>
      </c>
      <c r="X24" s="1" t="s">
        <v>983</v>
      </c>
      <c r="Y24" s="1" t="s">
        <v>1298</v>
      </c>
      <c r="Z24" s="1" t="s">
        <v>1298</v>
      </c>
      <c r="AA24" s="1" t="s">
        <v>1298</v>
      </c>
      <c r="AB24" s="1" t="s">
        <v>540</v>
      </c>
      <c r="AC24" s="1" t="s">
        <v>1202</v>
      </c>
      <c r="AD24" s="1" t="s">
        <v>704</v>
      </c>
      <c r="AE24" s="1" t="s">
        <v>987</v>
      </c>
      <c r="AF24" s="6">
        <v>6063.6</v>
      </c>
      <c r="AG24" s="1" t="s">
        <v>1298</v>
      </c>
      <c r="AH24" s="1" t="s">
        <v>1141</v>
      </c>
      <c r="AI24" s="6">
        <v>5236.3999999999996</v>
      </c>
      <c r="AJ24" s="6">
        <v>0.46339823008849557</v>
      </c>
      <c r="AK24" s="1" t="s">
        <v>1251</v>
      </c>
      <c r="AL24" s="1" t="s">
        <v>319</v>
      </c>
      <c r="AM24" s="1" t="s">
        <v>544</v>
      </c>
      <c r="AN24" s="1" t="s">
        <v>106</v>
      </c>
      <c r="AO24" s="6">
        <v>27.799999999999272</v>
      </c>
      <c r="AP24" s="6">
        <v>2.460176991150378E-3</v>
      </c>
      <c r="AQ24" s="2" t="str">
        <f>HYPERLINK("https://auction.openprocurement.org/tenders/7265ca8865d04f61b606d24e240511d3")</f>
        <v>https://auction.openprocurement.org/tenders/7265ca8865d04f61b606d24e240511d3</v>
      </c>
      <c r="AR24" s="7">
        <v>43895.360366985602</v>
      </c>
      <c r="AS24" s="5">
        <v>43900</v>
      </c>
      <c r="AT24" s="5">
        <v>43915</v>
      </c>
      <c r="AU24" s="1" t="s">
        <v>1287</v>
      </c>
      <c r="AV24" s="7">
        <v>43901.444340962174</v>
      </c>
      <c r="AW24" s="1" t="s">
        <v>222</v>
      </c>
      <c r="AX24" s="6">
        <v>11272.2</v>
      </c>
      <c r="AY24" s="1"/>
      <c r="AZ24" s="5">
        <v>43921</v>
      </c>
      <c r="BA24" s="7">
        <v>43921</v>
      </c>
      <c r="BB24" s="1" t="s">
        <v>1310</v>
      </c>
      <c r="BC24" s="1"/>
      <c r="BD24" s="1"/>
    </row>
    <row r="25" spans="1:56" hidden="1" x14ac:dyDescent="0.25">
      <c r="A25" s="4">
        <v>20</v>
      </c>
      <c r="B25" s="2" t="str">
        <f>HYPERLINK("https://my.zakupki.prom.ua/remote/dispatcher/state_purchase_view/15370773", "UA-2020-02-19-002906-b")</f>
        <v>UA-2020-02-19-002906-b</v>
      </c>
      <c r="C25" s="2" t="s">
        <v>983</v>
      </c>
      <c r="D25" s="1" t="s">
        <v>828</v>
      </c>
      <c r="E25" s="1" t="s">
        <v>1046</v>
      </c>
      <c r="F25" s="1" t="s">
        <v>469</v>
      </c>
      <c r="G25" s="1" t="s">
        <v>883</v>
      </c>
      <c r="H25" s="1" t="s">
        <v>1202</v>
      </c>
      <c r="I25" s="1" t="s">
        <v>905</v>
      </c>
      <c r="J25" s="1" t="s">
        <v>158</v>
      </c>
      <c r="K25" s="1" t="s">
        <v>1208</v>
      </c>
      <c r="L25" s="1" t="s">
        <v>1208</v>
      </c>
      <c r="M25" s="1" t="s">
        <v>147</v>
      </c>
      <c r="N25" s="1" t="s">
        <v>147</v>
      </c>
      <c r="O25" s="1" t="s">
        <v>147</v>
      </c>
      <c r="P25" s="5">
        <v>43880</v>
      </c>
      <c r="Q25" s="5">
        <v>43880</v>
      </c>
      <c r="R25" s="5">
        <v>43882</v>
      </c>
      <c r="S25" s="5">
        <v>43882</v>
      </c>
      <c r="T25" s="5">
        <v>43886</v>
      </c>
      <c r="U25" s="1" t="s">
        <v>1285</v>
      </c>
      <c r="V25" s="4">
        <v>1</v>
      </c>
      <c r="W25" s="6">
        <v>26500</v>
      </c>
      <c r="X25" s="1" t="s">
        <v>983</v>
      </c>
      <c r="Y25" s="4">
        <v>1</v>
      </c>
      <c r="Z25" s="6">
        <v>26500</v>
      </c>
      <c r="AA25" s="1" t="s">
        <v>1307</v>
      </c>
      <c r="AB25" s="1" t="s">
        <v>540</v>
      </c>
      <c r="AC25" s="1" t="s">
        <v>1202</v>
      </c>
      <c r="AD25" s="1" t="s">
        <v>704</v>
      </c>
      <c r="AE25" s="1" t="s">
        <v>987</v>
      </c>
      <c r="AF25" s="6">
        <v>26500</v>
      </c>
      <c r="AG25" s="6">
        <v>26500</v>
      </c>
      <c r="AH25" s="1" t="s">
        <v>1243</v>
      </c>
      <c r="AI25" s="1"/>
      <c r="AJ25" s="1"/>
      <c r="AK25" s="1" t="s">
        <v>1243</v>
      </c>
      <c r="AL25" s="1" t="s">
        <v>326</v>
      </c>
      <c r="AM25" s="1" t="s">
        <v>627</v>
      </c>
      <c r="AN25" s="1" t="s">
        <v>421</v>
      </c>
      <c r="AO25" s="1"/>
      <c r="AP25" s="1"/>
      <c r="AQ25" s="2"/>
      <c r="AR25" s="7">
        <v>43886.752233234329</v>
      </c>
      <c r="AS25" s="5">
        <v>43888</v>
      </c>
      <c r="AT25" s="5">
        <v>43912</v>
      </c>
      <c r="AU25" s="1" t="s">
        <v>1287</v>
      </c>
      <c r="AV25" s="7">
        <v>43889.605639104004</v>
      </c>
      <c r="AW25" s="1" t="s">
        <v>196</v>
      </c>
      <c r="AX25" s="6">
        <v>26500</v>
      </c>
      <c r="AY25" s="1"/>
      <c r="AZ25" s="5">
        <v>43921</v>
      </c>
      <c r="BA25" s="7">
        <v>44196</v>
      </c>
      <c r="BB25" s="1" t="s">
        <v>1310</v>
      </c>
      <c r="BC25" s="1"/>
      <c r="BD25" s="1"/>
    </row>
    <row r="26" spans="1:56" hidden="1" x14ac:dyDescent="0.25">
      <c r="A26" s="4">
        <v>21</v>
      </c>
      <c r="B26" s="2" t="str">
        <f>HYPERLINK("https://my.zakupki.prom.ua/remote/dispatcher/state_purchase_view/15303230", "UA-2020-02-14-002564-c")</f>
        <v>UA-2020-02-14-002564-c</v>
      </c>
      <c r="C26" s="2" t="s">
        <v>983</v>
      </c>
      <c r="D26" s="1" t="s">
        <v>853</v>
      </c>
      <c r="E26" s="1" t="s">
        <v>673</v>
      </c>
      <c r="F26" s="1" t="s">
        <v>169</v>
      </c>
      <c r="G26" s="1" t="s">
        <v>883</v>
      </c>
      <c r="H26" s="1" t="s">
        <v>1202</v>
      </c>
      <c r="I26" s="1" t="s">
        <v>905</v>
      </c>
      <c r="J26" s="1" t="s">
        <v>158</v>
      </c>
      <c r="K26" s="1" t="s">
        <v>1208</v>
      </c>
      <c r="L26" s="1" t="s">
        <v>1208</v>
      </c>
      <c r="M26" s="1" t="s">
        <v>147</v>
      </c>
      <c r="N26" s="1" t="s">
        <v>147</v>
      </c>
      <c r="O26" s="1" t="s">
        <v>147</v>
      </c>
      <c r="P26" s="5">
        <v>43875</v>
      </c>
      <c r="Q26" s="5">
        <v>43875</v>
      </c>
      <c r="R26" s="5">
        <v>43879</v>
      </c>
      <c r="S26" s="5">
        <v>43879</v>
      </c>
      <c r="T26" s="5">
        <v>43881</v>
      </c>
      <c r="U26" s="7">
        <v>43882.486030092594</v>
      </c>
      <c r="V26" s="4">
        <v>2</v>
      </c>
      <c r="W26" s="6">
        <v>12000</v>
      </c>
      <c r="X26" s="1" t="s">
        <v>983</v>
      </c>
      <c r="Y26" s="4">
        <v>500</v>
      </c>
      <c r="Z26" s="6">
        <v>24</v>
      </c>
      <c r="AA26" s="1" t="s">
        <v>1299</v>
      </c>
      <c r="AB26" s="1" t="s">
        <v>540</v>
      </c>
      <c r="AC26" s="1" t="s">
        <v>1202</v>
      </c>
      <c r="AD26" s="1" t="s">
        <v>704</v>
      </c>
      <c r="AE26" s="1" t="s">
        <v>987</v>
      </c>
      <c r="AF26" s="6">
        <v>11250</v>
      </c>
      <c r="AG26" s="6">
        <v>22.5</v>
      </c>
      <c r="AH26" s="1" t="s">
        <v>1160</v>
      </c>
      <c r="AI26" s="6">
        <v>750</v>
      </c>
      <c r="AJ26" s="6">
        <v>6.25E-2</v>
      </c>
      <c r="AK26" s="1" t="s">
        <v>1160</v>
      </c>
      <c r="AL26" s="1" t="s">
        <v>456</v>
      </c>
      <c r="AM26" s="1" t="s">
        <v>596</v>
      </c>
      <c r="AN26" s="1" t="s">
        <v>51</v>
      </c>
      <c r="AO26" s="6">
        <v>750</v>
      </c>
      <c r="AP26" s="6">
        <v>6.25E-2</v>
      </c>
      <c r="AQ26" s="2" t="str">
        <f>HYPERLINK("https://auction.openprocurement.org/tenders/d07ca72156c54bc2b1f461dd8303ab35")</f>
        <v>https://auction.openprocurement.org/tenders/d07ca72156c54bc2b1f461dd8303ab35</v>
      </c>
      <c r="AR26" s="7">
        <v>43882.617164989606</v>
      </c>
      <c r="AS26" s="5">
        <v>43886</v>
      </c>
      <c r="AT26" s="5">
        <v>43909</v>
      </c>
      <c r="AU26" s="1" t="s">
        <v>1287</v>
      </c>
      <c r="AV26" s="7">
        <v>43888.737672702242</v>
      </c>
      <c r="AW26" s="1" t="s">
        <v>194</v>
      </c>
      <c r="AX26" s="6">
        <v>11250</v>
      </c>
      <c r="AY26" s="1"/>
      <c r="AZ26" s="5">
        <v>43921</v>
      </c>
      <c r="BA26" s="7">
        <v>44196</v>
      </c>
      <c r="BB26" s="1" t="s">
        <v>1310</v>
      </c>
      <c r="BC26" s="1"/>
      <c r="BD26" s="1"/>
    </row>
    <row r="27" spans="1:56" hidden="1" x14ac:dyDescent="0.25">
      <c r="A27" s="4">
        <v>22</v>
      </c>
      <c r="B27" s="2" t="str">
        <f>HYPERLINK("https://my.zakupki.prom.ua/remote/dispatcher/state_purchase_view/15269580", "UA-2020-02-13-001353-c")</f>
        <v>UA-2020-02-13-001353-c</v>
      </c>
      <c r="C27" s="2" t="s">
        <v>983</v>
      </c>
      <c r="D27" s="1" t="s">
        <v>834</v>
      </c>
      <c r="E27" s="1" t="s">
        <v>1223</v>
      </c>
      <c r="F27" s="1" t="s">
        <v>507</v>
      </c>
      <c r="G27" s="1" t="s">
        <v>899</v>
      </c>
      <c r="H27" s="1" t="s">
        <v>1202</v>
      </c>
      <c r="I27" s="1" t="s">
        <v>905</v>
      </c>
      <c r="J27" s="1" t="s">
        <v>158</v>
      </c>
      <c r="K27" s="1" t="s">
        <v>1208</v>
      </c>
      <c r="L27" s="1" t="s">
        <v>1208</v>
      </c>
      <c r="M27" s="1" t="s">
        <v>147</v>
      </c>
      <c r="N27" s="1" t="s">
        <v>147</v>
      </c>
      <c r="O27" s="1" t="s">
        <v>147</v>
      </c>
      <c r="P27" s="5">
        <v>43874</v>
      </c>
      <c r="Q27" s="1"/>
      <c r="R27" s="1"/>
      <c r="S27" s="1"/>
      <c r="T27" s="1"/>
      <c r="U27" s="1" t="s">
        <v>1284</v>
      </c>
      <c r="V27" s="4">
        <v>1</v>
      </c>
      <c r="W27" s="6">
        <v>4600</v>
      </c>
      <c r="X27" s="1" t="s">
        <v>983</v>
      </c>
      <c r="Y27" s="4">
        <v>1</v>
      </c>
      <c r="Z27" s="6">
        <v>4600</v>
      </c>
      <c r="AA27" s="1" t="s">
        <v>1307</v>
      </c>
      <c r="AB27" s="1" t="s">
        <v>540</v>
      </c>
      <c r="AC27" s="1" t="s">
        <v>1202</v>
      </c>
      <c r="AD27" s="1" t="s">
        <v>704</v>
      </c>
      <c r="AE27" s="1" t="s">
        <v>987</v>
      </c>
      <c r="AF27" s="6">
        <v>4600</v>
      </c>
      <c r="AG27" s="6">
        <v>4600</v>
      </c>
      <c r="AH27" s="1"/>
      <c r="AI27" s="1"/>
      <c r="AJ27" s="1"/>
      <c r="AK27" s="1" t="s">
        <v>1011</v>
      </c>
      <c r="AL27" s="1" t="s">
        <v>352</v>
      </c>
      <c r="AM27" s="1"/>
      <c r="AN27" s="1" t="s">
        <v>40</v>
      </c>
      <c r="AO27" s="1"/>
      <c r="AP27" s="1"/>
      <c r="AQ27" s="2"/>
      <c r="AR27" s="1"/>
      <c r="AS27" s="1"/>
      <c r="AT27" s="1"/>
      <c r="AU27" s="1" t="s">
        <v>1287</v>
      </c>
      <c r="AV27" s="7">
        <v>43874.504070978146</v>
      </c>
      <c r="AW27" s="1" t="s">
        <v>316</v>
      </c>
      <c r="AX27" s="6">
        <v>4600</v>
      </c>
      <c r="AY27" s="1"/>
      <c r="AZ27" s="5">
        <v>44196</v>
      </c>
      <c r="BA27" s="7">
        <v>44196</v>
      </c>
      <c r="BB27" s="1" t="s">
        <v>1310</v>
      </c>
      <c r="BC27" s="1"/>
      <c r="BD27" s="1"/>
    </row>
    <row r="28" spans="1:56" hidden="1" x14ac:dyDescent="0.25">
      <c r="A28" s="4">
        <v>23</v>
      </c>
      <c r="B28" s="2" t="str">
        <f>HYPERLINK("https://my.zakupki.prom.ua/remote/dispatcher/state_purchase_view/15250782", "UA-2020-02-12-001417-a")</f>
        <v>UA-2020-02-12-001417-a</v>
      </c>
      <c r="C28" s="2" t="s">
        <v>983</v>
      </c>
      <c r="D28" s="1" t="s">
        <v>856</v>
      </c>
      <c r="E28" s="1" t="s">
        <v>679</v>
      </c>
      <c r="F28" s="1" t="s">
        <v>378</v>
      </c>
      <c r="G28" s="1" t="s">
        <v>883</v>
      </c>
      <c r="H28" s="1" t="s">
        <v>1202</v>
      </c>
      <c r="I28" s="1" t="s">
        <v>905</v>
      </c>
      <c r="J28" s="1" t="s">
        <v>158</v>
      </c>
      <c r="K28" s="1" t="s">
        <v>1208</v>
      </c>
      <c r="L28" s="1" t="s">
        <v>1208</v>
      </c>
      <c r="M28" s="1" t="s">
        <v>147</v>
      </c>
      <c r="N28" s="1" t="s">
        <v>147</v>
      </c>
      <c r="O28" s="1" t="s">
        <v>147</v>
      </c>
      <c r="P28" s="5">
        <v>43873</v>
      </c>
      <c r="Q28" s="5">
        <v>43873</v>
      </c>
      <c r="R28" s="5">
        <v>43879</v>
      </c>
      <c r="S28" s="5">
        <v>43879</v>
      </c>
      <c r="T28" s="5">
        <v>43882</v>
      </c>
      <c r="U28" s="1" t="s">
        <v>1285</v>
      </c>
      <c r="V28" s="4">
        <v>1</v>
      </c>
      <c r="W28" s="6">
        <v>56700</v>
      </c>
      <c r="X28" s="1" t="s">
        <v>983</v>
      </c>
      <c r="Y28" s="1" t="s">
        <v>1298</v>
      </c>
      <c r="Z28" s="1" t="s">
        <v>1298</v>
      </c>
      <c r="AA28" s="1" t="s">
        <v>1298</v>
      </c>
      <c r="AB28" s="1" t="s">
        <v>540</v>
      </c>
      <c r="AC28" s="1" t="s">
        <v>1202</v>
      </c>
      <c r="AD28" s="1" t="s">
        <v>704</v>
      </c>
      <c r="AE28" s="1" t="s">
        <v>987</v>
      </c>
      <c r="AF28" s="6">
        <v>56676.58</v>
      </c>
      <c r="AG28" s="1" t="s">
        <v>1298</v>
      </c>
      <c r="AH28" s="1" t="s">
        <v>1251</v>
      </c>
      <c r="AI28" s="6">
        <v>23.419999999998254</v>
      </c>
      <c r="AJ28" s="6">
        <v>4.1305114638444894E-4</v>
      </c>
      <c r="AK28" s="1"/>
      <c r="AL28" s="1"/>
      <c r="AM28" s="1"/>
      <c r="AN28" s="1"/>
      <c r="AO28" s="1"/>
      <c r="AP28" s="1"/>
      <c r="AQ28" s="2"/>
      <c r="AR28" s="1"/>
      <c r="AS28" s="1"/>
      <c r="AT28" s="1"/>
      <c r="AU28" s="1" t="s">
        <v>1312</v>
      </c>
      <c r="AV28" s="7">
        <v>43882.655242056608</v>
      </c>
      <c r="AW28" s="1"/>
      <c r="AX28" s="1"/>
      <c r="AY28" s="1"/>
      <c r="AZ28" s="5">
        <v>43921</v>
      </c>
      <c r="BA28" s="1"/>
      <c r="BB28" s="1"/>
      <c r="BC28" s="1" t="s">
        <v>895</v>
      </c>
      <c r="BD28" s="1"/>
    </row>
    <row r="29" spans="1:56" hidden="1" x14ac:dyDescent="0.25">
      <c r="A29" s="4">
        <v>24</v>
      </c>
      <c r="B29" s="2" t="str">
        <f>HYPERLINK("https://my.zakupki.prom.ua/remote/dispatcher/state_purchase_view/15240285", "UA-2020-02-12-001385-a")</f>
        <v>UA-2020-02-12-001385-a</v>
      </c>
      <c r="C29" s="2" t="s">
        <v>983</v>
      </c>
      <c r="D29" s="1" t="s">
        <v>840</v>
      </c>
      <c r="E29" s="1" t="s">
        <v>1127</v>
      </c>
      <c r="F29" s="1" t="s">
        <v>367</v>
      </c>
      <c r="G29" s="1" t="s">
        <v>883</v>
      </c>
      <c r="H29" s="1" t="s">
        <v>1202</v>
      </c>
      <c r="I29" s="1" t="s">
        <v>905</v>
      </c>
      <c r="J29" s="1" t="s">
        <v>158</v>
      </c>
      <c r="K29" s="1" t="s">
        <v>1208</v>
      </c>
      <c r="L29" s="1" t="s">
        <v>1208</v>
      </c>
      <c r="M29" s="1" t="s">
        <v>147</v>
      </c>
      <c r="N29" s="1" t="s">
        <v>147</v>
      </c>
      <c r="O29" s="1" t="s">
        <v>147</v>
      </c>
      <c r="P29" s="5">
        <v>43873</v>
      </c>
      <c r="Q29" s="5">
        <v>43873</v>
      </c>
      <c r="R29" s="5">
        <v>43878</v>
      </c>
      <c r="S29" s="5">
        <v>43878</v>
      </c>
      <c r="T29" s="5">
        <v>43881</v>
      </c>
      <c r="U29" s="7">
        <v>43882.629988425928</v>
      </c>
      <c r="V29" s="4">
        <v>2</v>
      </c>
      <c r="W29" s="6">
        <v>3500</v>
      </c>
      <c r="X29" s="1" t="s">
        <v>983</v>
      </c>
      <c r="Y29" s="4">
        <v>1</v>
      </c>
      <c r="Z29" s="6">
        <v>3500</v>
      </c>
      <c r="AA29" s="1" t="s">
        <v>1319</v>
      </c>
      <c r="AB29" s="1" t="s">
        <v>540</v>
      </c>
      <c r="AC29" s="1" t="s">
        <v>1202</v>
      </c>
      <c r="AD29" s="1" t="s">
        <v>704</v>
      </c>
      <c r="AE29" s="1" t="s">
        <v>987</v>
      </c>
      <c r="AF29" s="6">
        <v>1737</v>
      </c>
      <c r="AG29" s="6">
        <v>1737</v>
      </c>
      <c r="AH29" s="1" t="s">
        <v>1141</v>
      </c>
      <c r="AI29" s="6">
        <v>1763</v>
      </c>
      <c r="AJ29" s="6">
        <v>0.50371428571428567</v>
      </c>
      <c r="AK29" s="1" t="s">
        <v>1251</v>
      </c>
      <c r="AL29" s="1" t="s">
        <v>319</v>
      </c>
      <c r="AM29" s="1" t="s">
        <v>544</v>
      </c>
      <c r="AN29" s="1" t="s">
        <v>106</v>
      </c>
      <c r="AO29" s="6">
        <v>5</v>
      </c>
      <c r="AP29" s="6">
        <v>1.4285714285714286E-3</v>
      </c>
      <c r="AQ29" s="2" t="str">
        <f>HYPERLINK("https://auction.openprocurement.org/tenders/b7b453361a2941558bfe9004a93e76f0")</f>
        <v>https://auction.openprocurement.org/tenders/b7b453361a2941558bfe9004a93e76f0</v>
      </c>
      <c r="AR29" s="7">
        <v>43889.584144396897</v>
      </c>
      <c r="AS29" s="5">
        <v>43893</v>
      </c>
      <c r="AT29" s="5">
        <v>43908</v>
      </c>
      <c r="AU29" s="1" t="s">
        <v>1287</v>
      </c>
      <c r="AV29" s="7">
        <v>43894.398571611091</v>
      </c>
      <c r="AW29" s="1" t="s">
        <v>206</v>
      </c>
      <c r="AX29" s="6">
        <v>3495</v>
      </c>
      <c r="AY29" s="1"/>
      <c r="AZ29" s="5">
        <v>43921</v>
      </c>
      <c r="BA29" s="7">
        <v>43921</v>
      </c>
      <c r="BB29" s="1" t="s">
        <v>1310</v>
      </c>
      <c r="BC29" s="1"/>
      <c r="BD29" s="1"/>
    </row>
    <row r="30" spans="1:56" hidden="1" x14ac:dyDescent="0.25">
      <c r="A30" s="4">
        <v>25</v>
      </c>
      <c r="B30" s="2" t="str">
        <f>HYPERLINK("https://my.zakupki.prom.ua/remote/dispatcher/state_purchase_view/15252390", "UA-2020-02-12-001342-a")</f>
        <v>UA-2020-02-12-001342-a</v>
      </c>
      <c r="C30" s="2" t="s">
        <v>983</v>
      </c>
      <c r="D30" s="1" t="s">
        <v>862</v>
      </c>
      <c r="E30" s="1" t="s">
        <v>1032</v>
      </c>
      <c r="F30" s="1" t="s">
        <v>283</v>
      </c>
      <c r="G30" s="1" t="s">
        <v>883</v>
      </c>
      <c r="H30" s="1" t="s">
        <v>1202</v>
      </c>
      <c r="I30" s="1" t="s">
        <v>905</v>
      </c>
      <c r="J30" s="1" t="s">
        <v>158</v>
      </c>
      <c r="K30" s="1" t="s">
        <v>1208</v>
      </c>
      <c r="L30" s="1" t="s">
        <v>1208</v>
      </c>
      <c r="M30" s="1" t="s">
        <v>147</v>
      </c>
      <c r="N30" s="1" t="s">
        <v>147</v>
      </c>
      <c r="O30" s="1" t="s">
        <v>147</v>
      </c>
      <c r="P30" s="5">
        <v>43873</v>
      </c>
      <c r="Q30" s="5">
        <v>43873</v>
      </c>
      <c r="R30" s="5">
        <v>43878</v>
      </c>
      <c r="S30" s="5">
        <v>43878</v>
      </c>
      <c r="T30" s="5">
        <v>43881</v>
      </c>
      <c r="U30" s="7">
        <v>43882.611840277779</v>
      </c>
      <c r="V30" s="4">
        <v>2</v>
      </c>
      <c r="W30" s="6">
        <v>12800</v>
      </c>
      <c r="X30" s="1" t="s">
        <v>983</v>
      </c>
      <c r="Y30" s="1" t="s">
        <v>1298</v>
      </c>
      <c r="Z30" s="1" t="s">
        <v>1298</v>
      </c>
      <c r="AA30" s="1" t="s">
        <v>1298</v>
      </c>
      <c r="AB30" s="1" t="s">
        <v>540</v>
      </c>
      <c r="AC30" s="1" t="s">
        <v>1202</v>
      </c>
      <c r="AD30" s="1" t="s">
        <v>704</v>
      </c>
      <c r="AE30" s="1" t="s">
        <v>987</v>
      </c>
      <c r="AF30" s="6">
        <v>10651.85</v>
      </c>
      <c r="AG30" s="1" t="s">
        <v>1298</v>
      </c>
      <c r="AH30" s="1" t="s">
        <v>1157</v>
      </c>
      <c r="AI30" s="6">
        <v>2148.1499999999996</v>
      </c>
      <c r="AJ30" s="6">
        <v>0.16782421874999998</v>
      </c>
      <c r="AK30" s="1" t="s">
        <v>1157</v>
      </c>
      <c r="AL30" s="1" t="s">
        <v>453</v>
      </c>
      <c r="AM30" s="1" t="s">
        <v>613</v>
      </c>
      <c r="AN30" s="1" t="s">
        <v>97</v>
      </c>
      <c r="AO30" s="6">
        <v>2148.1499999999996</v>
      </c>
      <c r="AP30" s="6">
        <v>0.16782421874999998</v>
      </c>
      <c r="AQ30" s="2" t="str">
        <f>HYPERLINK("https://auction.openprocurement.org/tenders/062536dbb6a6493e83e4746eb17e3ec2")</f>
        <v>https://auction.openprocurement.org/tenders/062536dbb6a6493e83e4746eb17e3ec2</v>
      </c>
      <c r="AR30" s="7">
        <v>43885.438824812016</v>
      </c>
      <c r="AS30" s="5">
        <v>43887</v>
      </c>
      <c r="AT30" s="5">
        <v>43908</v>
      </c>
      <c r="AU30" s="1" t="s">
        <v>1287</v>
      </c>
      <c r="AV30" s="7">
        <v>43893.430126779691</v>
      </c>
      <c r="AW30" s="1" t="s">
        <v>204</v>
      </c>
      <c r="AX30" s="6">
        <v>10651.85</v>
      </c>
      <c r="AY30" s="1"/>
      <c r="AZ30" s="5">
        <v>43921</v>
      </c>
      <c r="BA30" s="7">
        <v>43921</v>
      </c>
      <c r="BB30" s="1" t="s">
        <v>1310</v>
      </c>
      <c r="BC30" s="1"/>
      <c r="BD30" s="1"/>
    </row>
    <row r="31" spans="1:56" hidden="1" x14ac:dyDescent="0.25">
      <c r="A31" s="4">
        <v>26</v>
      </c>
      <c r="B31" s="2" t="str">
        <f>HYPERLINK("https://my.zakupki.prom.ua/remote/dispatcher/state_purchase_view/14961526", "UA-2020-02-11-004047-b")</f>
        <v>UA-2020-02-11-004047-b</v>
      </c>
      <c r="C31" s="2" t="s">
        <v>983</v>
      </c>
      <c r="D31" s="1" t="s">
        <v>854</v>
      </c>
      <c r="E31" s="1" t="s">
        <v>1205</v>
      </c>
      <c r="F31" s="1" t="s">
        <v>354</v>
      </c>
      <c r="G31" s="1" t="s">
        <v>883</v>
      </c>
      <c r="H31" s="1" t="s">
        <v>1202</v>
      </c>
      <c r="I31" s="1" t="s">
        <v>905</v>
      </c>
      <c r="J31" s="1" t="s">
        <v>158</v>
      </c>
      <c r="K31" s="1" t="s">
        <v>1208</v>
      </c>
      <c r="L31" s="1" t="s">
        <v>1208</v>
      </c>
      <c r="M31" s="1" t="s">
        <v>147</v>
      </c>
      <c r="N31" s="1" t="s">
        <v>147</v>
      </c>
      <c r="O31" s="1" t="s">
        <v>147</v>
      </c>
      <c r="P31" s="5">
        <v>43872</v>
      </c>
      <c r="Q31" s="5">
        <v>43872</v>
      </c>
      <c r="R31" s="5">
        <v>43878</v>
      </c>
      <c r="S31" s="5">
        <v>43878</v>
      </c>
      <c r="T31" s="5">
        <v>43881</v>
      </c>
      <c r="U31" s="1" t="s">
        <v>1285</v>
      </c>
      <c r="V31" s="4">
        <v>1</v>
      </c>
      <c r="W31" s="6">
        <v>6800</v>
      </c>
      <c r="X31" s="1" t="s">
        <v>983</v>
      </c>
      <c r="Y31" s="1" t="s">
        <v>1298</v>
      </c>
      <c r="Z31" s="1" t="s">
        <v>1298</v>
      </c>
      <c r="AA31" s="1" t="s">
        <v>1298</v>
      </c>
      <c r="AB31" s="1" t="s">
        <v>540</v>
      </c>
      <c r="AC31" s="1" t="s">
        <v>1202</v>
      </c>
      <c r="AD31" s="1" t="s">
        <v>704</v>
      </c>
      <c r="AE31" s="1" t="s">
        <v>987</v>
      </c>
      <c r="AF31" s="6">
        <v>6797.44</v>
      </c>
      <c r="AG31" s="1" t="s">
        <v>1298</v>
      </c>
      <c r="AH31" s="1" t="s">
        <v>1252</v>
      </c>
      <c r="AI31" s="6">
        <v>2.5600000000004002</v>
      </c>
      <c r="AJ31" s="6">
        <v>3.7647058823535296E-4</v>
      </c>
      <c r="AK31" s="1" t="s">
        <v>1252</v>
      </c>
      <c r="AL31" s="1" t="s">
        <v>314</v>
      </c>
      <c r="AM31" s="1" t="s">
        <v>604</v>
      </c>
      <c r="AN31" s="1" t="s">
        <v>137</v>
      </c>
      <c r="AO31" s="6">
        <v>2.5600000000004002</v>
      </c>
      <c r="AP31" s="6">
        <v>3.7647058823535296E-4</v>
      </c>
      <c r="AQ31" s="2"/>
      <c r="AR31" s="7">
        <v>43881.703107313959</v>
      </c>
      <c r="AS31" s="5">
        <v>43885</v>
      </c>
      <c r="AT31" s="5">
        <v>43908</v>
      </c>
      <c r="AU31" s="1" t="s">
        <v>1287</v>
      </c>
      <c r="AV31" s="7">
        <v>43886.428542990252</v>
      </c>
      <c r="AW31" s="1" t="s">
        <v>500</v>
      </c>
      <c r="AX31" s="6">
        <v>6797.44</v>
      </c>
      <c r="AY31" s="1"/>
      <c r="AZ31" s="5">
        <v>43921</v>
      </c>
      <c r="BA31" s="7">
        <v>43921</v>
      </c>
      <c r="BB31" s="1" t="s">
        <v>1310</v>
      </c>
      <c r="BC31" s="1"/>
      <c r="BD31" s="1"/>
    </row>
    <row r="32" spans="1:56" hidden="1" x14ac:dyDescent="0.25">
      <c r="A32" s="4">
        <v>27</v>
      </c>
      <c r="B32" s="2" t="str">
        <f>HYPERLINK("https://my.zakupki.prom.ua/remote/dispatcher/state_purchase_view/15223082", "UA-2020-02-11-003391-b")</f>
        <v>UA-2020-02-11-003391-b</v>
      </c>
      <c r="C32" s="2" t="s">
        <v>983</v>
      </c>
      <c r="D32" s="1" t="s">
        <v>768</v>
      </c>
      <c r="E32" s="1" t="s">
        <v>698</v>
      </c>
      <c r="F32" s="1" t="s">
        <v>396</v>
      </c>
      <c r="G32" s="1" t="s">
        <v>883</v>
      </c>
      <c r="H32" s="1" t="s">
        <v>1202</v>
      </c>
      <c r="I32" s="1" t="s">
        <v>905</v>
      </c>
      <c r="J32" s="1" t="s">
        <v>158</v>
      </c>
      <c r="K32" s="1" t="s">
        <v>1208</v>
      </c>
      <c r="L32" s="1" t="s">
        <v>1208</v>
      </c>
      <c r="M32" s="1" t="s">
        <v>147</v>
      </c>
      <c r="N32" s="1" t="s">
        <v>147</v>
      </c>
      <c r="O32" s="1" t="s">
        <v>147</v>
      </c>
      <c r="P32" s="5">
        <v>43872</v>
      </c>
      <c r="Q32" s="5">
        <v>43872</v>
      </c>
      <c r="R32" s="5">
        <v>43874</v>
      </c>
      <c r="S32" s="5">
        <v>43874</v>
      </c>
      <c r="T32" s="5">
        <v>43878</v>
      </c>
      <c r="U32" s="7">
        <v>43879.611296296294</v>
      </c>
      <c r="V32" s="4">
        <v>4</v>
      </c>
      <c r="W32" s="6">
        <v>7200</v>
      </c>
      <c r="X32" s="1" t="s">
        <v>983</v>
      </c>
      <c r="Y32" s="4">
        <v>20</v>
      </c>
      <c r="Z32" s="6">
        <v>360</v>
      </c>
      <c r="AA32" s="1" t="s">
        <v>1319</v>
      </c>
      <c r="AB32" s="1" t="s">
        <v>540</v>
      </c>
      <c r="AC32" s="1" t="s">
        <v>1202</v>
      </c>
      <c r="AD32" s="1" t="s">
        <v>704</v>
      </c>
      <c r="AE32" s="1" t="s">
        <v>987</v>
      </c>
      <c r="AF32" s="6">
        <v>5798.4</v>
      </c>
      <c r="AG32" s="6">
        <v>289.91999999999996</v>
      </c>
      <c r="AH32" s="1" t="s">
        <v>1210</v>
      </c>
      <c r="AI32" s="6">
        <v>1401.6000000000004</v>
      </c>
      <c r="AJ32" s="6">
        <v>0.19466666666666671</v>
      </c>
      <c r="AK32" s="1" t="s">
        <v>1210</v>
      </c>
      <c r="AL32" s="1" t="s">
        <v>412</v>
      </c>
      <c r="AM32" s="1" t="s">
        <v>537</v>
      </c>
      <c r="AN32" s="1" t="s">
        <v>107</v>
      </c>
      <c r="AO32" s="6">
        <v>1401.6000000000004</v>
      </c>
      <c r="AP32" s="6">
        <v>0.19466666666666671</v>
      </c>
      <c r="AQ32" s="2" t="str">
        <f>HYPERLINK("https://auction.openprocurement.org/tenders/ef85cbb0182f4974a740201bdc90d3c8")</f>
        <v>https://auction.openprocurement.org/tenders/ef85cbb0182f4974a740201bdc90d3c8</v>
      </c>
      <c r="AR32" s="7">
        <v>43880.57968346752</v>
      </c>
      <c r="AS32" s="5">
        <v>43882</v>
      </c>
      <c r="AT32" s="5">
        <v>43904</v>
      </c>
      <c r="AU32" s="1" t="s">
        <v>1287</v>
      </c>
      <c r="AV32" s="7">
        <v>43886.43288520685</v>
      </c>
      <c r="AW32" s="1" t="s">
        <v>514</v>
      </c>
      <c r="AX32" s="6">
        <v>5798.4</v>
      </c>
      <c r="AY32" s="1"/>
      <c r="AZ32" s="5">
        <v>43921</v>
      </c>
      <c r="BA32" s="7">
        <v>43921</v>
      </c>
      <c r="BB32" s="1" t="s">
        <v>1310</v>
      </c>
      <c r="BC32" s="1"/>
      <c r="BD32" s="1"/>
    </row>
    <row r="33" spans="1:56" hidden="1" x14ac:dyDescent="0.25">
      <c r="A33" s="4">
        <v>28</v>
      </c>
      <c r="B33" s="2" t="str">
        <f>HYPERLINK("https://my.zakupki.prom.ua/remote/dispatcher/state_purchase_view/15222125", "UA-2020-02-11-003351-b")</f>
        <v>UA-2020-02-11-003351-b</v>
      </c>
      <c r="C33" s="2" t="s">
        <v>983</v>
      </c>
      <c r="D33" s="1" t="s">
        <v>769</v>
      </c>
      <c r="E33" s="1" t="s">
        <v>1084</v>
      </c>
      <c r="F33" s="1" t="s">
        <v>396</v>
      </c>
      <c r="G33" s="1" t="s">
        <v>883</v>
      </c>
      <c r="H33" s="1" t="s">
        <v>1202</v>
      </c>
      <c r="I33" s="1" t="s">
        <v>905</v>
      </c>
      <c r="J33" s="1" t="s">
        <v>158</v>
      </c>
      <c r="K33" s="1" t="s">
        <v>1208</v>
      </c>
      <c r="L33" s="1" t="s">
        <v>1208</v>
      </c>
      <c r="M33" s="1" t="s">
        <v>147</v>
      </c>
      <c r="N33" s="1" t="s">
        <v>147</v>
      </c>
      <c r="O33" s="1" t="s">
        <v>147</v>
      </c>
      <c r="P33" s="5">
        <v>43872</v>
      </c>
      <c r="Q33" s="5">
        <v>43872</v>
      </c>
      <c r="R33" s="5">
        <v>43874</v>
      </c>
      <c r="S33" s="5">
        <v>43874</v>
      </c>
      <c r="T33" s="5">
        <v>43878</v>
      </c>
      <c r="U33" s="7">
        <v>43879.636631944442</v>
      </c>
      <c r="V33" s="4">
        <v>3</v>
      </c>
      <c r="W33" s="6">
        <v>8000</v>
      </c>
      <c r="X33" s="1" t="s">
        <v>983</v>
      </c>
      <c r="Y33" s="4">
        <v>100</v>
      </c>
      <c r="Z33" s="6">
        <v>80</v>
      </c>
      <c r="AA33" s="1" t="s">
        <v>1319</v>
      </c>
      <c r="AB33" s="1" t="s">
        <v>540</v>
      </c>
      <c r="AC33" s="1" t="s">
        <v>1202</v>
      </c>
      <c r="AD33" s="1" t="s">
        <v>704</v>
      </c>
      <c r="AE33" s="1" t="s">
        <v>987</v>
      </c>
      <c r="AF33" s="6">
        <v>5750</v>
      </c>
      <c r="AG33" s="6">
        <v>57.5</v>
      </c>
      <c r="AH33" s="1" t="s">
        <v>1259</v>
      </c>
      <c r="AI33" s="6">
        <v>2250</v>
      </c>
      <c r="AJ33" s="6">
        <v>0.28125</v>
      </c>
      <c r="AK33" s="1" t="s">
        <v>1259</v>
      </c>
      <c r="AL33" s="1" t="s">
        <v>328</v>
      </c>
      <c r="AM33" s="1" t="s">
        <v>563</v>
      </c>
      <c r="AN33" s="1" t="s">
        <v>172</v>
      </c>
      <c r="AO33" s="6">
        <v>2250</v>
      </c>
      <c r="AP33" s="6">
        <v>0.28125</v>
      </c>
      <c r="AQ33" s="2" t="str">
        <f>HYPERLINK("https://auction.openprocurement.org/tenders/e0c39b62d4fa4f7d919b3eba6013dcf1")</f>
        <v>https://auction.openprocurement.org/tenders/e0c39b62d4fa4f7d919b3eba6013dcf1</v>
      </c>
      <c r="AR33" s="7">
        <v>43880.577350571068</v>
      </c>
      <c r="AS33" s="5">
        <v>43882</v>
      </c>
      <c r="AT33" s="5">
        <v>43904</v>
      </c>
      <c r="AU33" s="1" t="s">
        <v>1287</v>
      </c>
      <c r="AV33" s="7">
        <v>43886.499172638891</v>
      </c>
      <c r="AW33" s="1" t="s">
        <v>523</v>
      </c>
      <c r="AX33" s="6">
        <v>5750</v>
      </c>
      <c r="AY33" s="1"/>
      <c r="AZ33" s="5">
        <v>43921</v>
      </c>
      <c r="BA33" s="7">
        <v>43921</v>
      </c>
      <c r="BB33" s="1" t="s">
        <v>1310</v>
      </c>
      <c r="BC33" s="1"/>
      <c r="BD33" s="1"/>
    </row>
    <row r="34" spans="1:56" hidden="1" x14ac:dyDescent="0.25">
      <c r="A34" s="4">
        <v>29</v>
      </c>
      <c r="B34" s="2" t="str">
        <f>HYPERLINK("https://my.zakupki.prom.ua/remote/dispatcher/state_purchase_view/15195636", "UA-2020-02-10-003393-b")</f>
        <v>UA-2020-02-10-003393-b</v>
      </c>
      <c r="C34" s="2" t="s">
        <v>983</v>
      </c>
      <c r="D34" s="1" t="s">
        <v>829</v>
      </c>
      <c r="E34" s="1" t="s">
        <v>1046</v>
      </c>
      <c r="F34" s="1" t="s">
        <v>469</v>
      </c>
      <c r="G34" s="1" t="s">
        <v>883</v>
      </c>
      <c r="H34" s="1" t="s">
        <v>1202</v>
      </c>
      <c r="I34" s="1" t="s">
        <v>905</v>
      </c>
      <c r="J34" s="1" t="s">
        <v>158</v>
      </c>
      <c r="K34" s="1" t="s">
        <v>1208</v>
      </c>
      <c r="L34" s="1" t="s">
        <v>1208</v>
      </c>
      <c r="M34" s="1" t="s">
        <v>147</v>
      </c>
      <c r="N34" s="1" t="s">
        <v>147</v>
      </c>
      <c r="O34" s="1" t="s">
        <v>147</v>
      </c>
      <c r="P34" s="5">
        <v>43871</v>
      </c>
      <c r="Q34" s="5">
        <v>43871</v>
      </c>
      <c r="R34" s="5">
        <v>43873</v>
      </c>
      <c r="S34" s="5">
        <v>43873</v>
      </c>
      <c r="T34" s="5">
        <v>43875</v>
      </c>
      <c r="U34" s="7">
        <v>43878.547037037039</v>
      </c>
      <c r="V34" s="4">
        <v>2</v>
      </c>
      <c r="W34" s="6">
        <v>26500</v>
      </c>
      <c r="X34" s="1" t="s">
        <v>983</v>
      </c>
      <c r="Y34" s="4">
        <v>1</v>
      </c>
      <c r="Z34" s="6">
        <v>26500</v>
      </c>
      <c r="AA34" s="1" t="s">
        <v>1307</v>
      </c>
      <c r="AB34" s="1" t="s">
        <v>540</v>
      </c>
      <c r="AC34" s="1" t="s">
        <v>1202</v>
      </c>
      <c r="AD34" s="1" t="s">
        <v>704</v>
      </c>
      <c r="AE34" s="1" t="s">
        <v>987</v>
      </c>
      <c r="AF34" s="6">
        <v>25500</v>
      </c>
      <c r="AG34" s="6">
        <v>25500</v>
      </c>
      <c r="AH34" s="1" t="s">
        <v>1237</v>
      </c>
      <c r="AI34" s="6">
        <v>1000</v>
      </c>
      <c r="AJ34" s="6">
        <v>3.7735849056603772E-2</v>
      </c>
      <c r="AK34" s="1"/>
      <c r="AL34" s="1"/>
      <c r="AM34" s="1"/>
      <c r="AN34" s="1"/>
      <c r="AO34" s="1"/>
      <c r="AP34" s="1"/>
      <c r="AQ34" s="2" t="str">
        <f>HYPERLINK("https://auction.openprocurement.org/tenders/22f848baea454d19b52e9aa5a46a8d2e")</f>
        <v>https://auction.openprocurement.org/tenders/22f848baea454d19b52e9aa5a46a8d2e</v>
      </c>
      <c r="AR34" s="7">
        <v>43879.682558162836</v>
      </c>
      <c r="AS34" s="1"/>
      <c r="AT34" s="1"/>
      <c r="AU34" s="1" t="s">
        <v>1288</v>
      </c>
      <c r="AV34" s="7">
        <v>43881.683884756654</v>
      </c>
      <c r="AW34" s="1"/>
      <c r="AX34" s="1"/>
      <c r="AY34" s="1"/>
      <c r="AZ34" s="5">
        <v>43921</v>
      </c>
      <c r="BA34" s="1"/>
      <c r="BB34" s="1"/>
      <c r="BC34" s="1"/>
      <c r="BD34" s="1"/>
    </row>
    <row r="35" spans="1:56" hidden="1" x14ac:dyDescent="0.25">
      <c r="A35" s="4">
        <v>30</v>
      </c>
      <c r="B35" s="2" t="str">
        <f>HYPERLINK("https://my.zakupki.prom.ua/remote/dispatcher/state_purchase_view/15186902", "UA-2020-02-10-001776-b")</f>
        <v>UA-2020-02-10-001776-b</v>
      </c>
      <c r="C35" s="2" t="s">
        <v>983</v>
      </c>
      <c r="D35" s="1" t="s">
        <v>770</v>
      </c>
      <c r="E35" s="1" t="s">
        <v>880</v>
      </c>
      <c r="F35" s="1" t="s">
        <v>471</v>
      </c>
      <c r="G35" s="1" t="s">
        <v>883</v>
      </c>
      <c r="H35" s="1" t="s">
        <v>1202</v>
      </c>
      <c r="I35" s="1" t="s">
        <v>905</v>
      </c>
      <c r="J35" s="1" t="s">
        <v>158</v>
      </c>
      <c r="K35" s="1" t="s">
        <v>1208</v>
      </c>
      <c r="L35" s="1" t="s">
        <v>1208</v>
      </c>
      <c r="M35" s="1" t="s">
        <v>147</v>
      </c>
      <c r="N35" s="1" t="s">
        <v>147</v>
      </c>
      <c r="O35" s="1" t="s">
        <v>147</v>
      </c>
      <c r="P35" s="5">
        <v>43871</v>
      </c>
      <c r="Q35" s="5">
        <v>43871</v>
      </c>
      <c r="R35" s="5">
        <v>43873</v>
      </c>
      <c r="S35" s="5">
        <v>43873</v>
      </c>
      <c r="T35" s="5">
        <v>43875</v>
      </c>
      <c r="U35" s="7">
        <v>43878.609826388885</v>
      </c>
      <c r="V35" s="4">
        <v>2</v>
      </c>
      <c r="W35" s="6">
        <v>12900</v>
      </c>
      <c r="X35" s="1" t="s">
        <v>983</v>
      </c>
      <c r="Y35" s="4">
        <v>1</v>
      </c>
      <c r="Z35" s="6">
        <v>12900</v>
      </c>
      <c r="AA35" s="1" t="s">
        <v>1307</v>
      </c>
      <c r="AB35" s="1" t="s">
        <v>540</v>
      </c>
      <c r="AC35" s="1" t="s">
        <v>1202</v>
      </c>
      <c r="AD35" s="1" t="s">
        <v>704</v>
      </c>
      <c r="AE35" s="1" t="s">
        <v>987</v>
      </c>
      <c r="AF35" s="6">
        <v>9990</v>
      </c>
      <c r="AG35" s="6">
        <v>9990</v>
      </c>
      <c r="AH35" s="1" t="s">
        <v>1185</v>
      </c>
      <c r="AI35" s="6">
        <v>2910</v>
      </c>
      <c r="AJ35" s="6">
        <v>0.2255813953488372</v>
      </c>
      <c r="AK35" s="1" t="s">
        <v>1171</v>
      </c>
      <c r="AL35" s="1" t="s">
        <v>262</v>
      </c>
      <c r="AM35" s="1" t="s">
        <v>624</v>
      </c>
      <c r="AN35" s="1" t="s">
        <v>65</v>
      </c>
      <c r="AO35" s="6">
        <v>2900</v>
      </c>
      <c r="AP35" s="6">
        <v>0.22480620155038761</v>
      </c>
      <c r="AQ35" s="2" t="str">
        <f>HYPERLINK("https://auction.openprocurement.org/tenders/0617d87e7fe44cd385de7dda61fafab1")</f>
        <v>https://auction.openprocurement.org/tenders/0617d87e7fe44cd385de7dda61fafab1</v>
      </c>
      <c r="AR35" s="7">
        <v>43879.691463376577</v>
      </c>
      <c r="AS35" s="5">
        <v>43881</v>
      </c>
      <c r="AT35" s="5">
        <v>43903</v>
      </c>
      <c r="AU35" s="1" t="s">
        <v>1287</v>
      </c>
      <c r="AV35" s="7">
        <v>43886.436458898817</v>
      </c>
      <c r="AW35" s="1" t="s">
        <v>204</v>
      </c>
      <c r="AX35" s="6">
        <v>10000</v>
      </c>
      <c r="AY35" s="1"/>
      <c r="AZ35" s="5">
        <v>43921</v>
      </c>
      <c r="BA35" s="7">
        <v>43921</v>
      </c>
      <c r="BB35" s="1" t="s">
        <v>1310</v>
      </c>
      <c r="BC35" s="1"/>
      <c r="BD35" s="1"/>
    </row>
    <row r="36" spans="1:56" x14ac:dyDescent="0.25">
      <c r="A36" s="4">
        <v>31</v>
      </c>
      <c r="B36" s="2" t="str">
        <f>HYPERLINK("https://my.zakupki.prom.ua/remote/dispatcher/state_purchase_view/15190267", "UA-2020-02-10-001706-b")</f>
        <v>UA-2020-02-10-001706-b</v>
      </c>
      <c r="C36" s="2" t="s">
        <v>983</v>
      </c>
      <c r="D36" s="1" t="s">
        <v>793</v>
      </c>
      <c r="E36" s="1" t="s">
        <v>882</v>
      </c>
      <c r="F36" s="1" t="s">
        <v>375</v>
      </c>
      <c r="G36" s="1" t="s">
        <v>702</v>
      </c>
      <c r="H36" s="1" t="s">
        <v>1202</v>
      </c>
      <c r="I36" s="1" t="s">
        <v>905</v>
      </c>
      <c r="J36" s="1" t="s">
        <v>158</v>
      </c>
      <c r="K36" s="1" t="s">
        <v>1208</v>
      </c>
      <c r="L36" s="1" t="s">
        <v>1208</v>
      </c>
      <c r="M36" s="1" t="s">
        <v>147</v>
      </c>
      <c r="N36" s="1" t="s">
        <v>147</v>
      </c>
      <c r="O36" s="1" t="s">
        <v>147</v>
      </c>
      <c r="P36" s="5">
        <v>43871</v>
      </c>
      <c r="Q36" s="5">
        <v>43871</v>
      </c>
      <c r="R36" s="5">
        <v>43877</v>
      </c>
      <c r="S36" s="5">
        <v>43871</v>
      </c>
      <c r="T36" s="5">
        <v>43887</v>
      </c>
      <c r="U36" s="1" t="s">
        <v>1285</v>
      </c>
      <c r="V36" s="4">
        <v>0</v>
      </c>
      <c r="W36" s="6">
        <v>18300</v>
      </c>
      <c r="X36" s="1" t="s">
        <v>983</v>
      </c>
      <c r="Y36" s="1" t="s">
        <v>1298</v>
      </c>
      <c r="Z36" s="1" t="s">
        <v>1298</v>
      </c>
      <c r="AA36" s="1" t="s">
        <v>1298</v>
      </c>
      <c r="AB36" s="1" t="s">
        <v>540</v>
      </c>
      <c r="AC36" s="1" t="s">
        <v>1202</v>
      </c>
      <c r="AD36" s="1" t="s">
        <v>704</v>
      </c>
      <c r="AE36" s="1" t="s">
        <v>987</v>
      </c>
      <c r="AF36" s="1"/>
      <c r="AG36" s="1" t="s">
        <v>1298</v>
      </c>
      <c r="AH36" s="1"/>
      <c r="AI36" s="1"/>
      <c r="AJ36" s="1"/>
      <c r="AK36" s="1"/>
      <c r="AL36" s="1"/>
      <c r="AM36" s="1"/>
      <c r="AN36" s="1"/>
      <c r="AO36" s="1"/>
      <c r="AP36" s="1"/>
      <c r="AQ36" s="2"/>
      <c r="AR36" s="1"/>
      <c r="AS36" s="1"/>
      <c r="AT36" s="1"/>
      <c r="AU36" s="1" t="s">
        <v>1288</v>
      </c>
      <c r="AV36" s="7">
        <v>43887.584854489709</v>
      </c>
      <c r="AW36" s="1"/>
      <c r="AX36" s="1"/>
      <c r="AY36" s="1"/>
      <c r="AZ36" s="5">
        <v>43921</v>
      </c>
      <c r="BA36" s="1"/>
      <c r="BB36" s="1"/>
      <c r="BC36" s="1"/>
      <c r="BD36" s="1"/>
    </row>
    <row r="37" spans="1:56" hidden="1" x14ac:dyDescent="0.25">
      <c r="A37" s="4">
        <v>32</v>
      </c>
      <c r="B37" s="2" t="str">
        <f>HYPERLINK("https://my.zakupki.prom.ua/remote/dispatcher/state_purchase_view/15107083", "UA-2020-02-05-003354-b")</f>
        <v>UA-2020-02-05-003354-b</v>
      </c>
      <c r="C37" s="2" t="s">
        <v>983</v>
      </c>
      <c r="D37" s="1" t="s">
        <v>794</v>
      </c>
      <c r="E37" s="1" t="s">
        <v>1078</v>
      </c>
      <c r="F37" s="1" t="s">
        <v>378</v>
      </c>
      <c r="G37" s="1" t="s">
        <v>883</v>
      </c>
      <c r="H37" s="1" t="s">
        <v>1202</v>
      </c>
      <c r="I37" s="1" t="s">
        <v>905</v>
      </c>
      <c r="J37" s="1" t="s">
        <v>158</v>
      </c>
      <c r="K37" s="1" t="s">
        <v>1208</v>
      </c>
      <c r="L37" s="1" t="s">
        <v>1208</v>
      </c>
      <c r="M37" s="1" t="s">
        <v>147</v>
      </c>
      <c r="N37" s="1" t="s">
        <v>147</v>
      </c>
      <c r="O37" s="1" t="s">
        <v>147</v>
      </c>
      <c r="P37" s="5">
        <v>43866</v>
      </c>
      <c r="Q37" s="5">
        <v>43866</v>
      </c>
      <c r="R37" s="5">
        <v>43872</v>
      </c>
      <c r="S37" s="5">
        <v>43872</v>
      </c>
      <c r="T37" s="5">
        <v>43875</v>
      </c>
      <c r="U37" s="1" t="s">
        <v>1285</v>
      </c>
      <c r="V37" s="4">
        <v>1</v>
      </c>
      <c r="W37" s="6">
        <v>12970</v>
      </c>
      <c r="X37" s="1" t="s">
        <v>983</v>
      </c>
      <c r="Y37" s="1" t="s">
        <v>1298</v>
      </c>
      <c r="Z37" s="1" t="s">
        <v>1298</v>
      </c>
      <c r="AA37" s="1" t="s">
        <v>1298</v>
      </c>
      <c r="AB37" s="1" t="s">
        <v>540</v>
      </c>
      <c r="AC37" s="1" t="s">
        <v>1202</v>
      </c>
      <c r="AD37" s="1" t="s">
        <v>704</v>
      </c>
      <c r="AE37" s="1" t="s">
        <v>987</v>
      </c>
      <c r="AF37" s="6">
        <v>12860</v>
      </c>
      <c r="AG37" s="1" t="s">
        <v>1298</v>
      </c>
      <c r="AH37" s="1" t="s">
        <v>1249</v>
      </c>
      <c r="AI37" s="6">
        <v>110</v>
      </c>
      <c r="AJ37" s="6">
        <v>8.4811102544333078E-3</v>
      </c>
      <c r="AK37" s="1" t="s">
        <v>1249</v>
      </c>
      <c r="AL37" s="1" t="s">
        <v>313</v>
      </c>
      <c r="AM37" s="1" t="s">
        <v>545</v>
      </c>
      <c r="AN37" s="1" t="s">
        <v>85</v>
      </c>
      <c r="AO37" s="6">
        <v>110</v>
      </c>
      <c r="AP37" s="6">
        <v>8.4811102544333078E-3</v>
      </c>
      <c r="AQ37" s="2"/>
      <c r="AR37" s="7">
        <v>43875.614359306092</v>
      </c>
      <c r="AS37" s="5">
        <v>43879</v>
      </c>
      <c r="AT37" s="5">
        <v>43902</v>
      </c>
      <c r="AU37" s="1" t="s">
        <v>1287</v>
      </c>
      <c r="AV37" s="7">
        <v>43879.711281955832</v>
      </c>
      <c r="AW37" s="1" t="s">
        <v>467</v>
      </c>
      <c r="AX37" s="6">
        <v>12860</v>
      </c>
      <c r="AY37" s="1"/>
      <c r="AZ37" s="5">
        <v>43921</v>
      </c>
      <c r="BA37" s="7">
        <v>43921</v>
      </c>
      <c r="BB37" s="1" t="s">
        <v>1310</v>
      </c>
      <c r="BC37" s="1"/>
      <c r="BD37" s="1"/>
    </row>
    <row r="38" spans="1:56" x14ac:dyDescent="0.25">
      <c r="A38" s="4">
        <v>33</v>
      </c>
      <c r="B38" s="2" t="str">
        <f>HYPERLINK("https://my.zakupki.prom.ua/remote/dispatcher/state_purchase_view/15075578", "UA-2020-02-05-001155-b")</f>
        <v>UA-2020-02-05-001155-b</v>
      </c>
      <c r="C38" s="2" t="s">
        <v>983</v>
      </c>
      <c r="D38" s="1" t="s">
        <v>790</v>
      </c>
      <c r="E38" s="1" t="s">
        <v>910</v>
      </c>
      <c r="F38" s="1" t="s">
        <v>375</v>
      </c>
      <c r="G38" s="1" t="s">
        <v>702</v>
      </c>
      <c r="H38" s="1" t="s">
        <v>1202</v>
      </c>
      <c r="I38" s="1" t="s">
        <v>905</v>
      </c>
      <c r="J38" s="1" t="s">
        <v>158</v>
      </c>
      <c r="K38" s="1" t="s">
        <v>1208</v>
      </c>
      <c r="L38" s="1" t="s">
        <v>1208</v>
      </c>
      <c r="M38" s="1" t="s">
        <v>147</v>
      </c>
      <c r="N38" s="1" t="s">
        <v>147</v>
      </c>
      <c r="O38" s="1" t="s">
        <v>147</v>
      </c>
      <c r="P38" s="5">
        <v>43866</v>
      </c>
      <c r="Q38" s="5">
        <v>43866</v>
      </c>
      <c r="R38" s="5">
        <v>43872</v>
      </c>
      <c r="S38" s="5">
        <v>43866</v>
      </c>
      <c r="T38" s="5">
        <v>43882</v>
      </c>
      <c r="U38" s="7">
        <v>43885.551504629628</v>
      </c>
      <c r="V38" s="4">
        <v>2</v>
      </c>
      <c r="W38" s="6">
        <v>222365</v>
      </c>
      <c r="X38" s="1" t="s">
        <v>983</v>
      </c>
      <c r="Y38" s="1" t="s">
        <v>1298</v>
      </c>
      <c r="Z38" s="1" t="s">
        <v>1298</v>
      </c>
      <c r="AA38" s="1" t="s">
        <v>1298</v>
      </c>
      <c r="AB38" s="1" t="s">
        <v>540</v>
      </c>
      <c r="AC38" s="1" t="s">
        <v>1202</v>
      </c>
      <c r="AD38" s="1" t="s">
        <v>704</v>
      </c>
      <c r="AE38" s="1" t="s">
        <v>987</v>
      </c>
      <c r="AF38" s="6">
        <v>199797.38</v>
      </c>
      <c r="AG38" s="1" t="s">
        <v>1298</v>
      </c>
      <c r="AH38" s="1" t="s">
        <v>1145</v>
      </c>
      <c r="AI38" s="6">
        <v>22567.619999999995</v>
      </c>
      <c r="AJ38" s="6">
        <v>0.10148908326400286</v>
      </c>
      <c r="AK38" s="1" t="s">
        <v>1145</v>
      </c>
      <c r="AL38" s="1" t="s">
        <v>440</v>
      </c>
      <c r="AM38" s="1" t="s">
        <v>578</v>
      </c>
      <c r="AN38" s="1" t="s">
        <v>111</v>
      </c>
      <c r="AO38" s="6">
        <v>22567.619999999995</v>
      </c>
      <c r="AP38" s="6">
        <v>0.10148908326400286</v>
      </c>
      <c r="AQ38" s="2" t="str">
        <f>HYPERLINK("https://auction.openprocurement.org/tenders/3ad3ac7b80c04bc2a736c4c664e3f73d")</f>
        <v>https://auction.openprocurement.org/tenders/3ad3ac7b80c04bc2a736c4c664e3f73d</v>
      </c>
      <c r="AR38" s="7">
        <v>43885.689231543343</v>
      </c>
      <c r="AS38" s="5">
        <v>43896</v>
      </c>
      <c r="AT38" s="5">
        <v>43906</v>
      </c>
      <c r="AU38" s="1" t="s">
        <v>1287</v>
      </c>
      <c r="AV38" s="7">
        <v>43896.40382692773</v>
      </c>
      <c r="AW38" s="1" t="s">
        <v>214</v>
      </c>
      <c r="AX38" s="6">
        <v>199797.38</v>
      </c>
      <c r="AY38" s="1"/>
      <c r="AZ38" s="5">
        <v>44196</v>
      </c>
      <c r="BA38" s="7">
        <v>44196</v>
      </c>
      <c r="BB38" s="1" t="s">
        <v>1310</v>
      </c>
      <c r="BC38" s="1"/>
      <c r="BD38" s="1"/>
    </row>
    <row r="39" spans="1:56" hidden="1" x14ac:dyDescent="0.25">
      <c r="A39" s="4">
        <v>34</v>
      </c>
      <c r="B39" s="2" t="str">
        <f>HYPERLINK("https://my.zakupki.prom.ua/remote/dispatcher/state_purchase_view/15078187", "UA-2020-02-04-001149-b")</f>
        <v>UA-2020-02-04-001149-b</v>
      </c>
      <c r="C39" s="2" t="s">
        <v>983</v>
      </c>
      <c r="D39" s="1" t="s">
        <v>772</v>
      </c>
      <c r="E39" s="1" t="s">
        <v>1049</v>
      </c>
      <c r="F39" s="1" t="s">
        <v>471</v>
      </c>
      <c r="G39" s="1" t="s">
        <v>883</v>
      </c>
      <c r="H39" s="1" t="s">
        <v>1202</v>
      </c>
      <c r="I39" s="1" t="s">
        <v>905</v>
      </c>
      <c r="J39" s="1" t="s">
        <v>158</v>
      </c>
      <c r="K39" s="1" t="s">
        <v>1208</v>
      </c>
      <c r="L39" s="1" t="s">
        <v>1208</v>
      </c>
      <c r="M39" s="1" t="s">
        <v>147</v>
      </c>
      <c r="N39" s="1" t="s">
        <v>147</v>
      </c>
      <c r="O39" s="1" t="s">
        <v>147</v>
      </c>
      <c r="P39" s="5">
        <v>43865</v>
      </c>
      <c r="Q39" s="5">
        <v>43865</v>
      </c>
      <c r="R39" s="5">
        <v>43868</v>
      </c>
      <c r="S39" s="5">
        <v>43868</v>
      </c>
      <c r="T39" s="5">
        <v>43873</v>
      </c>
      <c r="U39" s="1" t="s">
        <v>1285</v>
      </c>
      <c r="V39" s="4">
        <v>1</v>
      </c>
      <c r="W39" s="6">
        <v>5873.7</v>
      </c>
      <c r="X39" s="1" t="s">
        <v>983</v>
      </c>
      <c r="Y39" s="4">
        <v>9</v>
      </c>
      <c r="Z39" s="6">
        <v>652.63</v>
      </c>
      <c r="AA39" s="1" t="s">
        <v>1307</v>
      </c>
      <c r="AB39" s="1" t="s">
        <v>540</v>
      </c>
      <c r="AC39" s="1" t="s">
        <v>1202</v>
      </c>
      <c r="AD39" s="1" t="s">
        <v>704</v>
      </c>
      <c r="AE39" s="1" t="s">
        <v>987</v>
      </c>
      <c r="AF39" s="6">
        <v>4865.01</v>
      </c>
      <c r="AG39" s="6">
        <v>540.55666666666673</v>
      </c>
      <c r="AH39" s="1" t="s">
        <v>1172</v>
      </c>
      <c r="AI39" s="6">
        <v>1008.6899999999996</v>
      </c>
      <c r="AJ39" s="6">
        <v>0.17172991470453031</v>
      </c>
      <c r="AK39" s="1" t="s">
        <v>1172</v>
      </c>
      <c r="AL39" s="1" t="s">
        <v>323</v>
      </c>
      <c r="AM39" s="1" t="s">
        <v>625</v>
      </c>
      <c r="AN39" s="1" t="s">
        <v>59</v>
      </c>
      <c r="AO39" s="6">
        <v>1008.6899999999996</v>
      </c>
      <c r="AP39" s="6">
        <v>0.17172991470453031</v>
      </c>
      <c r="AQ39" s="2"/>
      <c r="AR39" s="7">
        <v>43873.701636509933</v>
      </c>
      <c r="AS39" s="5">
        <v>43875</v>
      </c>
      <c r="AT39" s="5">
        <v>43898</v>
      </c>
      <c r="AU39" s="1" t="s">
        <v>1287</v>
      </c>
      <c r="AV39" s="7">
        <v>43878.549982733624</v>
      </c>
      <c r="AW39" s="1" t="s">
        <v>462</v>
      </c>
      <c r="AX39" s="6">
        <v>4865.01</v>
      </c>
      <c r="AY39" s="1"/>
      <c r="AZ39" s="5">
        <v>43921</v>
      </c>
      <c r="BA39" s="7">
        <v>43921</v>
      </c>
      <c r="BB39" s="1" t="s">
        <v>1310</v>
      </c>
      <c r="BC39" s="1"/>
      <c r="BD39" s="1"/>
    </row>
    <row r="40" spans="1:56" hidden="1" x14ac:dyDescent="0.25">
      <c r="A40" s="4">
        <v>35</v>
      </c>
      <c r="B40" s="2" t="str">
        <f>HYPERLINK("https://my.zakupki.prom.ua/remote/dispatcher/state_purchase_view/15055242", "UA-2020-02-04-000099-a")</f>
        <v>UA-2020-02-04-000099-a</v>
      </c>
      <c r="C40" s="2" t="s">
        <v>983</v>
      </c>
      <c r="D40" s="1" t="s">
        <v>861</v>
      </c>
      <c r="E40" s="1" t="s">
        <v>890</v>
      </c>
      <c r="F40" s="1" t="s">
        <v>266</v>
      </c>
      <c r="G40" s="1" t="s">
        <v>883</v>
      </c>
      <c r="H40" s="1" t="s">
        <v>1202</v>
      </c>
      <c r="I40" s="1" t="s">
        <v>905</v>
      </c>
      <c r="J40" s="1" t="s">
        <v>158</v>
      </c>
      <c r="K40" s="1" t="s">
        <v>1208</v>
      </c>
      <c r="L40" s="1" t="s">
        <v>1208</v>
      </c>
      <c r="M40" s="1" t="s">
        <v>147</v>
      </c>
      <c r="N40" s="1" t="s">
        <v>147</v>
      </c>
      <c r="O40" s="1" t="s">
        <v>147</v>
      </c>
      <c r="P40" s="5">
        <v>43865</v>
      </c>
      <c r="Q40" s="5">
        <v>43865</v>
      </c>
      <c r="R40" s="5">
        <v>43868</v>
      </c>
      <c r="S40" s="5">
        <v>43868</v>
      </c>
      <c r="T40" s="5">
        <v>43873</v>
      </c>
      <c r="U40" s="1" t="s">
        <v>1285</v>
      </c>
      <c r="V40" s="4">
        <v>0</v>
      </c>
      <c r="W40" s="6">
        <v>4260</v>
      </c>
      <c r="X40" s="1" t="s">
        <v>983</v>
      </c>
      <c r="Y40" s="4">
        <v>12</v>
      </c>
      <c r="Z40" s="6">
        <v>355</v>
      </c>
      <c r="AA40" s="1" t="s">
        <v>1319</v>
      </c>
      <c r="AB40" s="1" t="s">
        <v>540</v>
      </c>
      <c r="AC40" s="1" t="s">
        <v>1202</v>
      </c>
      <c r="AD40" s="1" t="s">
        <v>704</v>
      </c>
      <c r="AE40" s="1" t="s">
        <v>987</v>
      </c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2"/>
      <c r="AR40" s="1"/>
      <c r="AS40" s="1"/>
      <c r="AT40" s="1"/>
      <c r="AU40" s="1" t="s">
        <v>1288</v>
      </c>
      <c r="AV40" s="7">
        <v>43873.544492717498</v>
      </c>
      <c r="AW40" s="1"/>
      <c r="AX40" s="1"/>
      <c r="AY40" s="1"/>
      <c r="AZ40" s="5">
        <v>44196</v>
      </c>
      <c r="BA40" s="1"/>
      <c r="BB40" s="1"/>
      <c r="BC40" s="1"/>
      <c r="BD40" s="1"/>
    </row>
    <row r="41" spans="1:56" hidden="1" x14ac:dyDescent="0.25">
      <c r="A41" s="4">
        <v>36</v>
      </c>
      <c r="B41" s="2" t="str">
        <f>HYPERLINK("https://my.zakupki.prom.ua/remote/dispatcher/state_purchase_view/15025981", "UA-2020-02-03-000329-a")</f>
        <v>UA-2020-02-03-000329-a</v>
      </c>
      <c r="C41" s="2" t="s">
        <v>983</v>
      </c>
      <c r="D41" s="1" t="s">
        <v>921</v>
      </c>
      <c r="E41" s="1" t="s">
        <v>926</v>
      </c>
      <c r="F41" s="1" t="s">
        <v>266</v>
      </c>
      <c r="G41" s="1" t="s">
        <v>883</v>
      </c>
      <c r="H41" s="1" t="s">
        <v>1202</v>
      </c>
      <c r="I41" s="1" t="s">
        <v>905</v>
      </c>
      <c r="J41" s="1" t="s">
        <v>158</v>
      </c>
      <c r="K41" s="1" t="s">
        <v>1208</v>
      </c>
      <c r="L41" s="1" t="s">
        <v>1208</v>
      </c>
      <c r="M41" s="1" t="s">
        <v>147</v>
      </c>
      <c r="N41" s="1" t="s">
        <v>147</v>
      </c>
      <c r="O41" s="1" t="s">
        <v>147</v>
      </c>
      <c r="P41" s="5">
        <v>43864</v>
      </c>
      <c r="Q41" s="5">
        <v>43864</v>
      </c>
      <c r="R41" s="5">
        <v>43867</v>
      </c>
      <c r="S41" s="5">
        <v>43867</v>
      </c>
      <c r="T41" s="5">
        <v>43871</v>
      </c>
      <c r="U41" s="1" t="s">
        <v>1285</v>
      </c>
      <c r="V41" s="4">
        <v>0</v>
      </c>
      <c r="W41" s="6">
        <v>4992</v>
      </c>
      <c r="X41" s="1" t="s">
        <v>983</v>
      </c>
      <c r="Y41" s="4">
        <v>1</v>
      </c>
      <c r="Z41" s="6">
        <v>4992</v>
      </c>
      <c r="AA41" s="1" t="s">
        <v>1295</v>
      </c>
      <c r="AB41" s="1" t="s">
        <v>540</v>
      </c>
      <c r="AC41" s="1" t="s">
        <v>1202</v>
      </c>
      <c r="AD41" s="1" t="s">
        <v>704</v>
      </c>
      <c r="AE41" s="1" t="s">
        <v>987</v>
      </c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2"/>
      <c r="AR41" s="1"/>
      <c r="AS41" s="1"/>
      <c r="AT41" s="1"/>
      <c r="AU41" s="1" t="s">
        <v>1288</v>
      </c>
      <c r="AV41" s="7">
        <v>43871.542191139488</v>
      </c>
      <c r="AW41" s="1"/>
      <c r="AX41" s="1"/>
      <c r="AY41" s="1"/>
      <c r="AZ41" s="5">
        <v>44196</v>
      </c>
      <c r="BA41" s="1"/>
      <c r="BB41" s="1"/>
      <c r="BC41" s="1"/>
      <c r="BD41" s="1"/>
    </row>
    <row r="42" spans="1:56" hidden="1" x14ac:dyDescent="0.25">
      <c r="A42" s="4">
        <v>37</v>
      </c>
      <c r="B42" s="2" t="str">
        <f>HYPERLINK("https://my.zakupki.prom.ua/remote/dispatcher/state_purchase_view/14976731", "UA-2020-01-30-002530-a")</f>
        <v>UA-2020-01-30-002530-a</v>
      </c>
      <c r="C42" s="2" t="s">
        <v>983</v>
      </c>
      <c r="D42" s="1" t="s">
        <v>855</v>
      </c>
      <c r="E42" s="1" t="s">
        <v>680</v>
      </c>
      <c r="F42" s="1" t="s">
        <v>375</v>
      </c>
      <c r="G42" s="1" t="s">
        <v>883</v>
      </c>
      <c r="H42" s="1" t="s">
        <v>1202</v>
      </c>
      <c r="I42" s="1" t="s">
        <v>905</v>
      </c>
      <c r="J42" s="1" t="s">
        <v>158</v>
      </c>
      <c r="K42" s="1" t="s">
        <v>1208</v>
      </c>
      <c r="L42" s="1" t="s">
        <v>1208</v>
      </c>
      <c r="M42" s="1" t="s">
        <v>147</v>
      </c>
      <c r="N42" s="1" t="s">
        <v>147</v>
      </c>
      <c r="O42" s="1" t="s">
        <v>147</v>
      </c>
      <c r="P42" s="5">
        <v>43860</v>
      </c>
      <c r="Q42" s="5">
        <v>43860</v>
      </c>
      <c r="R42" s="5">
        <v>43866</v>
      </c>
      <c r="S42" s="5">
        <v>43866</v>
      </c>
      <c r="T42" s="5">
        <v>43871</v>
      </c>
      <c r="U42" s="1" t="s">
        <v>1285</v>
      </c>
      <c r="V42" s="4">
        <v>1</v>
      </c>
      <c r="W42" s="6">
        <v>25500</v>
      </c>
      <c r="X42" s="1" t="s">
        <v>983</v>
      </c>
      <c r="Y42" s="4">
        <v>5</v>
      </c>
      <c r="Z42" s="6">
        <v>5100</v>
      </c>
      <c r="AA42" s="1" t="s">
        <v>1315</v>
      </c>
      <c r="AB42" s="1" t="s">
        <v>540</v>
      </c>
      <c r="AC42" s="1" t="s">
        <v>1202</v>
      </c>
      <c r="AD42" s="1" t="s">
        <v>704</v>
      </c>
      <c r="AE42" s="1" t="s">
        <v>987</v>
      </c>
      <c r="AF42" s="6">
        <v>25482.05</v>
      </c>
      <c r="AG42" s="6">
        <v>5096.41</v>
      </c>
      <c r="AH42" s="1" t="s">
        <v>1145</v>
      </c>
      <c r="AI42" s="6">
        <v>17.950000000000728</v>
      </c>
      <c r="AJ42" s="6">
        <v>7.0392156862747956E-4</v>
      </c>
      <c r="AK42" s="1" t="s">
        <v>1145</v>
      </c>
      <c r="AL42" s="1" t="s">
        <v>440</v>
      </c>
      <c r="AM42" s="1" t="s">
        <v>578</v>
      </c>
      <c r="AN42" s="1" t="s">
        <v>111</v>
      </c>
      <c r="AO42" s="6">
        <v>17.950000000000728</v>
      </c>
      <c r="AP42" s="6">
        <v>7.0392156862747956E-4</v>
      </c>
      <c r="AQ42" s="2"/>
      <c r="AR42" s="7">
        <v>43872.443938836979</v>
      </c>
      <c r="AS42" s="5">
        <v>43874</v>
      </c>
      <c r="AT42" s="5">
        <v>43896</v>
      </c>
      <c r="AU42" s="1" t="s">
        <v>1287</v>
      </c>
      <c r="AV42" s="7">
        <v>43875.402151306422</v>
      </c>
      <c r="AW42" s="1" t="s">
        <v>444</v>
      </c>
      <c r="AX42" s="6">
        <v>25482.05</v>
      </c>
      <c r="AY42" s="1"/>
      <c r="AZ42" s="5">
        <v>43921</v>
      </c>
      <c r="BA42" s="7">
        <v>43921</v>
      </c>
      <c r="BB42" s="1" t="s">
        <v>1310</v>
      </c>
      <c r="BC42" s="1"/>
      <c r="BD42" s="1"/>
    </row>
    <row r="43" spans="1:56" hidden="1" x14ac:dyDescent="0.25">
      <c r="A43" s="4">
        <v>38</v>
      </c>
      <c r="B43" s="2" t="str">
        <f>HYPERLINK("https://my.zakupki.prom.ua/remote/dispatcher/state_purchase_view/14933168", "UA-2020-01-29-002527-b")</f>
        <v>UA-2020-01-29-002527-b</v>
      </c>
      <c r="C43" s="2" t="s">
        <v>983</v>
      </c>
      <c r="D43" s="1" t="s">
        <v>846</v>
      </c>
      <c r="E43" s="1" t="s">
        <v>1052</v>
      </c>
      <c r="F43" s="1" t="s">
        <v>508</v>
      </c>
      <c r="G43" s="1" t="s">
        <v>899</v>
      </c>
      <c r="H43" s="1" t="s">
        <v>1202</v>
      </c>
      <c r="I43" s="1" t="s">
        <v>905</v>
      </c>
      <c r="J43" s="1" t="s">
        <v>158</v>
      </c>
      <c r="K43" s="1" t="s">
        <v>1208</v>
      </c>
      <c r="L43" s="1" t="s">
        <v>1208</v>
      </c>
      <c r="M43" s="1" t="s">
        <v>147</v>
      </c>
      <c r="N43" s="1" t="s">
        <v>147</v>
      </c>
      <c r="O43" s="1" t="s">
        <v>147</v>
      </c>
      <c r="P43" s="5">
        <v>43859</v>
      </c>
      <c r="Q43" s="1"/>
      <c r="R43" s="1"/>
      <c r="S43" s="1"/>
      <c r="T43" s="1"/>
      <c r="U43" s="1" t="s">
        <v>1284</v>
      </c>
      <c r="V43" s="4">
        <v>1</v>
      </c>
      <c r="W43" s="6">
        <v>12196.8</v>
      </c>
      <c r="X43" s="1" t="s">
        <v>983</v>
      </c>
      <c r="Y43" s="4">
        <v>13</v>
      </c>
      <c r="Z43" s="6">
        <v>938.22</v>
      </c>
      <c r="AA43" s="1" t="s">
        <v>1307</v>
      </c>
      <c r="AB43" s="1" t="s">
        <v>540</v>
      </c>
      <c r="AC43" s="1" t="s">
        <v>1202</v>
      </c>
      <c r="AD43" s="1" t="s">
        <v>704</v>
      </c>
      <c r="AE43" s="1" t="s">
        <v>987</v>
      </c>
      <c r="AF43" s="6">
        <v>12196.8</v>
      </c>
      <c r="AG43" s="6">
        <v>938.21538461538455</v>
      </c>
      <c r="AH43" s="1"/>
      <c r="AI43" s="1"/>
      <c r="AJ43" s="1"/>
      <c r="AK43" s="1" t="s">
        <v>1197</v>
      </c>
      <c r="AL43" s="1" t="s">
        <v>390</v>
      </c>
      <c r="AM43" s="1"/>
      <c r="AN43" s="1" t="s">
        <v>140</v>
      </c>
      <c r="AO43" s="1"/>
      <c r="AP43" s="1"/>
      <c r="AQ43" s="2"/>
      <c r="AR43" s="1"/>
      <c r="AS43" s="1"/>
      <c r="AT43" s="1"/>
      <c r="AU43" s="1" t="s">
        <v>1287</v>
      </c>
      <c r="AV43" s="7">
        <v>43859.595646862952</v>
      </c>
      <c r="AW43" s="1" t="s">
        <v>238</v>
      </c>
      <c r="AX43" s="6">
        <v>12196.8</v>
      </c>
      <c r="AY43" s="5">
        <v>43831</v>
      </c>
      <c r="AZ43" s="5">
        <v>43921</v>
      </c>
      <c r="BA43" s="7">
        <v>43921</v>
      </c>
      <c r="BB43" s="1" t="s">
        <v>1310</v>
      </c>
      <c r="BC43" s="1"/>
      <c r="BD43" s="1"/>
    </row>
    <row r="44" spans="1:56" hidden="1" x14ac:dyDescent="0.25">
      <c r="A44" s="4">
        <v>39</v>
      </c>
      <c r="B44" s="2" t="str">
        <f>HYPERLINK("https://my.zakupki.prom.ua/remote/dispatcher/state_purchase_view/14930779", "UA-2020-01-29-002177-b")</f>
        <v>UA-2020-01-29-002177-b</v>
      </c>
      <c r="C44" s="2" t="s">
        <v>983</v>
      </c>
      <c r="D44" s="1" t="s">
        <v>831</v>
      </c>
      <c r="E44" s="1" t="s">
        <v>1313</v>
      </c>
      <c r="F44" s="1" t="s">
        <v>497</v>
      </c>
      <c r="G44" s="1" t="s">
        <v>899</v>
      </c>
      <c r="H44" s="1" t="s">
        <v>1202</v>
      </c>
      <c r="I44" s="1" t="s">
        <v>905</v>
      </c>
      <c r="J44" s="1" t="s">
        <v>158</v>
      </c>
      <c r="K44" s="1" t="s">
        <v>1208</v>
      </c>
      <c r="L44" s="1" t="s">
        <v>1208</v>
      </c>
      <c r="M44" s="1" t="s">
        <v>147</v>
      </c>
      <c r="N44" s="1" t="s">
        <v>147</v>
      </c>
      <c r="O44" s="1" t="s">
        <v>147</v>
      </c>
      <c r="P44" s="5">
        <v>43859</v>
      </c>
      <c r="Q44" s="1"/>
      <c r="R44" s="1"/>
      <c r="S44" s="1"/>
      <c r="T44" s="1"/>
      <c r="U44" s="1" t="s">
        <v>1284</v>
      </c>
      <c r="V44" s="4">
        <v>1</v>
      </c>
      <c r="W44" s="6">
        <v>1584</v>
      </c>
      <c r="X44" s="1" t="s">
        <v>983</v>
      </c>
      <c r="Y44" s="4">
        <v>3</v>
      </c>
      <c r="Z44" s="6">
        <v>528</v>
      </c>
      <c r="AA44" s="1" t="s">
        <v>1300</v>
      </c>
      <c r="AB44" s="1" t="s">
        <v>540</v>
      </c>
      <c r="AC44" s="1" t="s">
        <v>987</v>
      </c>
      <c r="AD44" s="1" t="s">
        <v>704</v>
      </c>
      <c r="AE44" s="1" t="s">
        <v>987</v>
      </c>
      <c r="AF44" s="6">
        <v>1584</v>
      </c>
      <c r="AG44" s="6">
        <v>528</v>
      </c>
      <c r="AH44" s="1"/>
      <c r="AI44" s="1"/>
      <c r="AJ44" s="1"/>
      <c r="AK44" s="1" t="s">
        <v>1013</v>
      </c>
      <c r="AL44" s="1" t="s">
        <v>257</v>
      </c>
      <c r="AM44" s="1"/>
      <c r="AN44" s="1" t="s">
        <v>71</v>
      </c>
      <c r="AO44" s="1"/>
      <c r="AP44" s="1"/>
      <c r="AQ44" s="2"/>
      <c r="AR44" s="1"/>
      <c r="AS44" s="1"/>
      <c r="AT44" s="1"/>
      <c r="AU44" s="1" t="s">
        <v>1287</v>
      </c>
      <c r="AV44" s="7">
        <v>43859.567845009791</v>
      </c>
      <c r="AW44" s="1" t="s">
        <v>195</v>
      </c>
      <c r="AX44" s="6">
        <v>1584</v>
      </c>
      <c r="AY44" s="5">
        <v>43831</v>
      </c>
      <c r="AZ44" s="5">
        <v>43921</v>
      </c>
      <c r="BA44" s="7">
        <v>43921</v>
      </c>
      <c r="BB44" s="1" t="s">
        <v>1310</v>
      </c>
      <c r="BC44" s="1"/>
      <c r="BD44" s="1"/>
    </row>
    <row r="45" spans="1:56" hidden="1" x14ac:dyDescent="0.25">
      <c r="A45" s="4">
        <v>40</v>
      </c>
      <c r="B45" s="2" t="str">
        <f>HYPERLINK("https://my.zakupki.prom.ua/remote/dispatcher/state_purchase_view/14924287", "UA-2020-01-29-001322-b")</f>
        <v>UA-2020-01-29-001322-b</v>
      </c>
      <c r="C45" s="2" t="s">
        <v>983</v>
      </c>
      <c r="D45" s="1" t="s">
        <v>832</v>
      </c>
      <c r="E45" s="1" t="s">
        <v>1206</v>
      </c>
      <c r="F45" s="1" t="s">
        <v>506</v>
      </c>
      <c r="G45" s="1" t="s">
        <v>899</v>
      </c>
      <c r="H45" s="1" t="s">
        <v>1202</v>
      </c>
      <c r="I45" s="1" t="s">
        <v>905</v>
      </c>
      <c r="J45" s="1" t="s">
        <v>158</v>
      </c>
      <c r="K45" s="1" t="s">
        <v>1208</v>
      </c>
      <c r="L45" s="1" t="s">
        <v>1208</v>
      </c>
      <c r="M45" s="1" t="s">
        <v>147</v>
      </c>
      <c r="N45" s="1" t="s">
        <v>147</v>
      </c>
      <c r="O45" s="1" t="s">
        <v>147</v>
      </c>
      <c r="P45" s="5">
        <v>43859</v>
      </c>
      <c r="Q45" s="1"/>
      <c r="R45" s="1"/>
      <c r="S45" s="1"/>
      <c r="T45" s="1"/>
      <c r="U45" s="1" t="s">
        <v>1284</v>
      </c>
      <c r="V45" s="4">
        <v>1</v>
      </c>
      <c r="W45" s="6">
        <v>1200</v>
      </c>
      <c r="X45" s="1" t="s">
        <v>983</v>
      </c>
      <c r="Y45" s="4">
        <v>1</v>
      </c>
      <c r="Z45" s="6">
        <v>1200</v>
      </c>
      <c r="AA45" s="1" t="s">
        <v>1307</v>
      </c>
      <c r="AB45" s="1" t="s">
        <v>540</v>
      </c>
      <c r="AC45" s="1" t="s">
        <v>987</v>
      </c>
      <c r="AD45" s="1" t="s">
        <v>704</v>
      </c>
      <c r="AE45" s="1" t="s">
        <v>987</v>
      </c>
      <c r="AF45" s="6">
        <v>1200</v>
      </c>
      <c r="AG45" s="6">
        <v>1200</v>
      </c>
      <c r="AH45" s="1"/>
      <c r="AI45" s="1"/>
      <c r="AJ45" s="1"/>
      <c r="AK45" s="1" t="s">
        <v>1200</v>
      </c>
      <c r="AL45" s="1" t="s">
        <v>402</v>
      </c>
      <c r="AM45" s="1"/>
      <c r="AN45" s="1" t="s">
        <v>36</v>
      </c>
      <c r="AO45" s="1"/>
      <c r="AP45" s="1"/>
      <c r="AQ45" s="2"/>
      <c r="AR45" s="1"/>
      <c r="AS45" s="1"/>
      <c r="AT45" s="1"/>
      <c r="AU45" s="1" t="s">
        <v>1287</v>
      </c>
      <c r="AV45" s="7">
        <v>43859.49358485479</v>
      </c>
      <c r="AW45" s="1" t="s">
        <v>251</v>
      </c>
      <c r="AX45" s="6">
        <v>1200</v>
      </c>
      <c r="AY45" s="5">
        <v>43858</v>
      </c>
      <c r="AZ45" s="5">
        <v>43921</v>
      </c>
      <c r="BA45" s="7">
        <v>43921</v>
      </c>
      <c r="BB45" s="1" t="s">
        <v>1310</v>
      </c>
      <c r="BC45" s="1"/>
      <c r="BD45" s="1"/>
    </row>
    <row r="46" spans="1:56" hidden="1" x14ac:dyDescent="0.25">
      <c r="A46" s="4">
        <v>41</v>
      </c>
      <c r="B46" s="2" t="str">
        <f>HYPERLINK("https://my.zakupki.prom.ua/remote/dispatcher/state_purchase_view/14922285", "UA-2020-01-29-001067-b")</f>
        <v>UA-2020-01-29-001067-b</v>
      </c>
      <c r="C46" s="2" t="s">
        <v>983</v>
      </c>
      <c r="D46" s="1" t="s">
        <v>845</v>
      </c>
      <c r="E46" s="1" t="s">
        <v>1139</v>
      </c>
      <c r="F46" s="1" t="s">
        <v>507</v>
      </c>
      <c r="G46" s="1" t="s">
        <v>899</v>
      </c>
      <c r="H46" s="1" t="s">
        <v>1202</v>
      </c>
      <c r="I46" s="1" t="s">
        <v>905</v>
      </c>
      <c r="J46" s="1" t="s">
        <v>158</v>
      </c>
      <c r="K46" s="1" t="s">
        <v>1208</v>
      </c>
      <c r="L46" s="1" t="s">
        <v>1208</v>
      </c>
      <c r="M46" s="1" t="s">
        <v>147</v>
      </c>
      <c r="N46" s="1" t="s">
        <v>147</v>
      </c>
      <c r="O46" s="1" t="s">
        <v>147</v>
      </c>
      <c r="P46" s="5">
        <v>43859</v>
      </c>
      <c r="Q46" s="1"/>
      <c r="R46" s="1"/>
      <c r="S46" s="1"/>
      <c r="T46" s="1"/>
      <c r="U46" s="1" t="s">
        <v>1284</v>
      </c>
      <c r="V46" s="4">
        <v>1</v>
      </c>
      <c r="W46" s="6">
        <v>3150</v>
      </c>
      <c r="X46" s="1" t="s">
        <v>983</v>
      </c>
      <c r="Y46" s="4">
        <v>1</v>
      </c>
      <c r="Z46" s="6">
        <v>3150</v>
      </c>
      <c r="AA46" s="1" t="s">
        <v>1307</v>
      </c>
      <c r="AB46" s="1" t="s">
        <v>540</v>
      </c>
      <c r="AC46" s="1" t="s">
        <v>987</v>
      </c>
      <c r="AD46" s="1" t="s">
        <v>704</v>
      </c>
      <c r="AE46" s="1" t="s">
        <v>987</v>
      </c>
      <c r="AF46" s="6">
        <v>3150</v>
      </c>
      <c r="AG46" s="6">
        <v>3150</v>
      </c>
      <c r="AH46" s="1"/>
      <c r="AI46" s="1"/>
      <c r="AJ46" s="1"/>
      <c r="AK46" s="1" t="s">
        <v>907</v>
      </c>
      <c r="AL46" s="1" t="s">
        <v>270</v>
      </c>
      <c r="AM46" s="1"/>
      <c r="AN46" s="1" t="s">
        <v>80</v>
      </c>
      <c r="AO46" s="1"/>
      <c r="AP46" s="1"/>
      <c r="AQ46" s="2"/>
      <c r="AR46" s="1"/>
      <c r="AS46" s="1"/>
      <c r="AT46" s="1"/>
      <c r="AU46" s="1" t="s">
        <v>1287</v>
      </c>
      <c r="AV46" s="7">
        <v>43859.466656510565</v>
      </c>
      <c r="AW46" s="1" t="s">
        <v>151</v>
      </c>
      <c r="AX46" s="6">
        <v>3150</v>
      </c>
      <c r="AY46" s="1"/>
      <c r="AZ46" s="5">
        <v>43921</v>
      </c>
      <c r="BA46" s="7">
        <v>43921</v>
      </c>
      <c r="BB46" s="1" t="s">
        <v>1310</v>
      </c>
      <c r="BC46" s="1"/>
      <c r="BD46" s="1"/>
    </row>
    <row r="47" spans="1:56" hidden="1" x14ac:dyDescent="0.25">
      <c r="A47" s="4">
        <v>42</v>
      </c>
      <c r="B47" s="2" t="str">
        <f>HYPERLINK("https://my.zakupki.prom.ua/remote/dispatcher/state_purchase_view/14894862", "UA-2020-01-28-002907-b")</f>
        <v>UA-2020-01-28-002907-b</v>
      </c>
      <c r="C47" s="2" t="s">
        <v>983</v>
      </c>
      <c r="D47" s="1" t="s">
        <v>833</v>
      </c>
      <c r="E47" s="1" t="s">
        <v>1050</v>
      </c>
      <c r="F47" s="1" t="s">
        <v>507</v>
      </c>
      <c r="G47" s="1" t="s">
        <v>899</v>
      </c>
      <c r="H47" s="1" t="s">
        <v>1202</v>
      </c>
      <c r="I47" s="1" t="s">
        <v>905</v>
      </c>
      <c r="J47" s="1" t="s">
        <v>158</v>
      </c>
      <c r="K47" s="1" t="s">
        <v>1208</v>
      </c>
      <c r="L47" s="1" t="s">
        <v>1208</v>
      </c>
      <c r="M47" s="1" t="s">
        <v>147</v>
      </c>
      <c r="N47" s="1" t="s">
        <v>147</v>
      </c>
      <c r="O47" s="1" t="s">
        <v>147</v>
      </c>
      <c r="P47" s="5">
        <v>43858</v>
      </c>
      <c r="Q47" s="1"/>
      <c r="R47" s="1"/>
      <c r="S47" s="1"/>
      <c r="T47" s="1"/>
      <c r="U47" s="1" t="s">
        <v>1284</v>
      </c>
      <c r="V47" s="4">
        <v>1</v>
      </c>
      <c r="W47" s="6">
        <v>1200</v>
      </c>
      <c r="X47" s="1" t="s">
        <v>983</v>
      </c>
      <c r="Y47" s="4">
        <v>1</v>
      </c>
      <c r="Z47" s="6">
        <v>1200</v>
      </c>
      <c r="AA47" s="1" t="s">
        <v>1307</v>
      </c>
      <c r="AB47" s="1" t="s">
        <v>540</v>
      </c>
      <c r="AC47" s="1" t="s">
        <v>1202</v>
      </c>
      <c r="AD47" s="1" t="s">
        <v>704</v>
      </c>
      <c r="AE47" s="1" t="s">
        <v>987</v>
      </c>
      <c r="AF47" s="6">
        <v>1200</v>
      </c>
      <c r="AG47" s="6">
        <v>1200</v>
      </c>
      <c r="AH47" s="1"/>
      <c r="AI47" s="1"/>
      <c r="AJ47" s="1"/>
      <c r="AK47" s="1" t="s">
        <v>1012</v>
      </c>
      <c r="AL47" s="1" t="s">
        <v>401</v>
      </c>
      <c r="AM47" s="1"/>
      <c r="AN47" s="1" t="s">
        <v>40</v>
      </c>
      <c r="AO47" s="1"/>
      <c r="AP47" s="1"/>
      <c r="AQ47" s="2"/>
      <c r="AR47" s="1"/>
      <c r="AS47" s="1"/>
      <c r="AT47" s="1"/>
      <c r="AU47" s="1" t="s">
        <v>1287</v>
      </c>
      <c r="AV47" s="7">
        <v>43859.452109817918</v>
      </c>
      <c r="AW47" s="1" t="s">
        <v>173</v>
      </c>
      <c r="AX47" s="6">
        <v>1200</v>
      </c>
      <c r="AY47" s="1"/>
      <c r="AZ47" s="5">
        <v>44196</v>
      </c>
      <c r="BA47" s="7">
        <v>44196</v>
      </c>
      <c r="BB47" s="1" t="s">
        <v>1310</v>
      </c>
      <c r="BC47" s="1"/>
      <c r="BD47" s="1"/>
    </row>
    <row r="48" spans="1:56" hidden="1" x14ac:dyDescent="0.25">
      <c r="A48" s="4">
        <v>43</v>
      </c>
      <c r="B48" s="2" t="str">
        <f>HYPERLINK("https://my.zakupki.prom.ua/remote/dispatcher/state_purchase_view/14887177", "UA-2020-01-28-001187-b")</f>
        <v>UA-2020-01-28-001187-b</v>
      </c>
      <c r="C48" s="2" t="s">
        <v>983</v>
      </c>
      <c r="D48" s="1" t="s">
        <v>771</v>
      </c>
      <c r="E48" s="1" t="s">
        <v>1048</v>
      </c>
      <c r="F48" s="1" t="s">
        <v>471</v>
      </c>
      <c r="G48" s="1" t="s">
        <v>883</v>
      </c>
      <c r="H48" s="1" t="s">
        <v>1202</v>
      </c>
      <c r="I48" s="1" t="s">
        <v>905</v>
      </c>
      <c r="J48" s="1" t="s">
        <v>158</v>
      </c>
      <c r="K48" s="1" t="s">
        <v>1208</v>
      </c>
      <c r="L48" s="1" t="s">
        <v>1208</v>
      </c>
      <c r="M48" s="1" t="s">
        <v>147</v>
      </c>
      <c r="N48" s="1" t="s">
        <v>147</v>
      </c>
      <c r="O48" s="1" t="s">
        <v>147</v>
      </c>
      <c r="P48" s="5">
        <v>43858</v>
      </c>
      <c r="Q48" s="5">
        <v>43858</v>
      </c>
      <c r="R48" s="5">
        <v>43861</v>
      </c>
      <c r="S48" s="5">
        <v>43861</v>
      </c>
      <c r="T48" s="5">
        <v>43865</v>
      </c>
      <c r="U48" s="1" t="s">
        <v>1285</v>
      </c>
      <c r="V48" s="4">
        <v>1</v>
      </c>
      <c r="W48" s="6">
        <v>18800</v>
      </c>
      <c r="X48" s="1" t="s">
        <v>983</v>
      </c>
      <c r="Y48" s="4">
        <v>9</v>
      </c>
      <c r="Z48" s="6">
        <v>2088.89</v>
      </c>
      <c r="AA48" s="1" t="s">
        <v>1307</v>
      </c>
      <c r="AB48" s="1" t="s">
        <v>540</v>
      </c>
      <c r="AC48" s="1" t="s">
        <v>987</v>
      </c>
      <c r="AD48" s="1" t="s">
        <v>704</v>
      </c>
      <c r="AE48" s="1" t="s">
        <v>987</v>
      </c>
      <c r="AF48" s="6">
        <v>18731.490000000002</v>
      </c>
      <c r="AG48" s="6">
        <v>2081.2766666666666</v>
      </c>
      <c r="AH48" s="1" t="s">
        <v>1172</v>
      </c>
      <c r="AI48" s="6">
        <v>68.509999999998399</v>
      </c>
      <c r="AJ48" s="6">
        <v>3.6441489361701278E-3</v>
      </c>
      <c r="AK48" s="1" t="s">
        <v>1172</v>
      </c>
      <c r="AL48" s="1" t="s">
        <v>323</v>
      </c>
      <c r="AM48" s="1" t="s">
        <v>625</v>
      </c>
      <c r="AN48" s="1" t="s">
        <v>59</v>
      </c>
      <c r="AO48" s="6">
        <v>68.509999999998399</v>
      </c>
      <c r="AP48" s="6">
        <v>3.6441489361701278E-3</v>
      </c>
      <c r="AQ48" s="2"/>
      <c r="AR48" s="7">
        <v>43866.378853165443</v>
      </c>
      <c r="AS48" s="5">
        <v>43868</v>
      </c>
      <c r="AT48" s="5">
        <v>43891</v>
      </c>
      <c r="AU48" s="1" t="s">
        <v>1287</v>
      </c>
      <c r="AV48" s="7">
        <v>43868.698760757245</v>
      </c>
      <c r="AW48" s="1" t="s">
        <v>408</v>
      </c>
      <c r="AX48" s="6">
        <v>18731.490000000002</v>
      </c>
      <c r="AY48" s="1"/>
      <c r="AZ48" s="5">
        <v>43921</v>
      </c>
      <c r="BA48" s="7">
        <v>43921</v>
      </c>
      <c r="BB48" s="1" t="s">
        <v>1310</v>
      </c>
      <c r="BC48" s="1"/>
      <c r="BD48" s="1"/>
    </row>
    <row r="49" spans="1:56" hidden="1" x14ac:dyDescent="0.25">
      <c r="A49" s="4">
        <v>44</v>
      </c>
      <c r="B49" s="2" t="str">
        <f>HYPERLINK("https://my.zakupki.prom.ua/remote/dispatcher/state_purchase_view/14835921", "UA-2020-01-27-000214-b")</f>
        <v>UA-2020-01-27-000214-b</v>
      </c>
      <c r="C49" s="2" t="s">
        <v>983</v>
      </c>
      <c r="D49" s="1" t="s">
        <v>861</v>
      </c>
      <c r="E49" s="1" t="s">
        <v>890</v>
      </c>
      <c r="F49" s="1" t="s">
        <v>266</v>
      </c>
      <c r="G49" s="1" t="s">
        <v>883</v>
      </c>
      <c r="H49" s="1" t="s">
        <v>1202</v>
      </c>
      <c r="I49" s="1" t="s">
        <v>905</v>
      </c>
      <c r="J49" s="1" t="s">
        <v>158</v>
      </c>
      <c r="K49" s="1" t="s">
        <v>1208</v>
      </c>
      <c r="L49" s="1" t="s">
        <v>1208</v>
      </c>
      <c r="M49" s="1" t="s">
        <v>147</v>
      </c>
      <c r="N49" s="1" t="s">
        <v>147</v>
      </c>
      <c r="O49" s="1" t="s">
        <v>147</v>
      </c>
      <c r="P49" s="5">
        <v>43857</v>
      </c>
      <c r="Q49" s="5">
        <v>43857</v>
      </c>
      <c r="R49" s="5">
        <v>43860</v>
      </c>
      <c r="S49" s="5">
        <v>43860</v>
      </c>
      <c r="T49" s="5">
        <v>43864</v>
      </c>
      <c r="U49" s="1" t="s">
        <v>1285</v>
      </c>
      <c r="V49" s="4">
        <v>0</v>
      </c>
      <c r="W49" s="6">
        <v>4260</v>
      </c>
      <c r="X49" s="1" t="s">
        <v>983</v>
      </c>
      <c r="Y49" s="4">
        <v>12</v>
      </c>
      <c r="Z49" s="6">
        <v>355</v>
      </c>
      <c r="AA49" s="1" t="s">
        <v>1319</v>
      </c>
      <c r="AB49" s="1" t="s">
        <v>540</v>
      </c>
      <c r="AC49" s="1" t="s">
        <v>1202</v>
      </c>
      <c r="AD49" s="1" t="s">
        <v>704</v>
      </c>
      <c r="AE49" s="1" t="s">
        <v>987</v>
      </c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2"/>
      <c r="AR49" s="1"/>
      <c r="AS49" s="1"/>
      <c r="AT49" s="1"/>
      <c r="AU49" s="1" t="s">
        <v>1288</v>
      </c>
      <c r="AV49" s="7">
        <v>43864.710385361621</v>
      </c>
      <c r="AW49" s="1"/>
      <c r="AX49" s="1"/>
      <c r="AY49" s="1"/>
      <c r="AZ49" s="5">
        <v>44196</v>
      </c>
      <c r="BA49" s="1"/>
      <c r="BB49" s="1"/>
      <c r="BC49" s="1"/>
      <c r="BD49" s="1"/>
    </row>
    <row r="50" spans="1:56" hidden="1" x14ac:dyDescent="0.25">
      <c r="A50" s="4">
        <v>45</v>
      </c>
      <c r="B50" s="2" t="str">
        <f>HYPERLINK("https://my.zakupki.prom.ua/remote/dispatcher/state_purchase_view/14811309", "UA-2020-01-24-003604-b")</f>
        <v>UA-2020-01-24-003604-b</v>
      </c>
      <c r="C50" s="2" t="s">
        <v>983</v>
      </c>
      <c r="D50" s="1" t="s">
        <v>921</v>
      </c>
      <c r="E50" s="1" t="s">
        <v>926</v>
      </c>
      <c r="F50" s="1" t="s">
        <v>266</v>
      </c>
      <c r="G50" s="1" t="s">
        <v>883</v>
      </c>
      <c r="H50" s="1" t="s">
        <v>1202</v>
      </c>
      <c r="I50" s="1" t="s">
        <v>905</v>
      </c>
      <c r="J50" s="1" t="s">
        <v>158</v>
      </c>
      <c r="K50" s="1" t="s">
        <v>1208</v>
      </c>
      <c r="L50" s="1" t="s">
        <v>1208</v>
      </c>
      <c r="M50" s="1" t="s">
        <v>147</v>
      </c>
      <c r="N50" s="1" t="s">
        <v>147</v>
      </c>
      <c r="O50" s="1" t="s">
        <v>147</v>
      </c>
      <c r="P50" s="5">
        <v>43854</v>
      </c>
      <c r="Q50" s="5">
        <v>43854</v>
      </c>
      <c r="R50" s="5">
        <v>43859</v>
      </c>
      <c r="S50" s="5">
        <v>43859</v>
      </c>
      <c r="T50" s="5">
        <v>43861</v>
      </c>
      <c r="U50" s="1" t="s">
        <v>1285</v>
      </c>
      <c r="V50" s="4">
        <v>0</v>
      </c>
      <c r="W50" s="6">
        <v>4992</v>
      </c>
      <c r="X50" s="1" t="s">
        <v>983</v>
      </c>
      <c r="Y50" s="4">
        <v>1</v>
      </c>
      <c r="Z50" s="6">
        <v>4992</v>
      </c>
      <c r="AA50" s="1" t="s">
        <v>1295</v>
      </c>
      <c r="AB50" s="1" t="s">
        <v>540</v>
      </c>
      <c r="AC50" s="1" t="s">
        <v>1202</v>
      </c>
      <c r="AD50" s="1" t="s">
        <v>704</v>
      </c>
      <c r="AE50" s="1" t="s">
        <v>987</v>
      </c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2"/>
      <c r="AR50" s="1"/>
      <c r="AS50" s="1"/>
      <c r="AT50" s="1"/>
      <c r="AU50" s="1" t="s">
        <v>1288</v>
      </c>
      <c r="AV50" s="7">
        <v>43861.709365828545</v>
      </c>
      <c r="AW50" s="1"/>
      <c r="AX50" s="1"/>
      <c r="AY50" s="1"/>
      <c r="AZ50" s="5">
        <v>44196</v>
      </c>
      <c r="BA50" s="1"/>
      <c r="BB50" s="1"/>
      <c r="BC50" s="1"/>
      <c r="BD50" s="1"/>
    </row>
    <row r="51" spans="1:56" hidden="1" x14ac:dyDescent="0.25">
      <c r="A51" s="4">
        <v>46</v>
      </c>
      <c r="B51" s="2" t="str">
        <f>HYPERLINK("https://my.zakupki.prom.ua/remote/dispatcher/state_purchase_view/14756361", "UA-2020-01-23-002880-a")</f>
        <v>UA-2020-01-23-002880-a</v>
      </c>
      <c r="C51" s="2" t="s">
        <v>983</v>
      </c>
      <c r="D51" s="1" t="s">
        <v>836</v>
      </c>
      <c r="E51" s="1" t="s">
        <v>673</v>
      </c>
      <c r="F51" s="1" t="s">
        <v>169</v>
      </c>
      <c r="G51" s="1" t="s">
        <v>883</v>
      </c>
      <c r="H51" s="1" t="s">
        <v>1202</v>
      </c>
      <c r="I51" s="1" t="s">
        <v>905</v>
      </c>
      <c r="J51" s="1" t="s">
        <v>158</v>
      </c>
      <c r="K51" s="1" t="s">
        <v>1208</v>
      </c>
      <c r="L51" s="1" t="s">
        <v>1208</v>
      </c>
      <c r="M51" s="1" t="s">
        <v>147</v>
      </c>
      <c r="N51" s="1" t="s">
        <v>147</v>
      </c>
      <c r="O51" s="1" t="s">
        <v>147</v>
      </c>
      <c r="P51" s="5">
        <v>43853</v>
      </c>
      <c r="Q51" s="5">
        <v>43853</v>
      </c>
      <c r="R51" s="5">
        <v>43858</v>
      </c>
      <c r="S51" s="5">
        <v>43858</v>
      </c>
      <c r="T51" s="5">
        <v>43860</v>
      </c>
      <c r="U51" s="1" t="s">
        <v>1285</v>
      </c>
      <c r="V51" s="4">
        <v>1</v>
      </c>
      <c r="W51" s="6">
        <v>17933</v>
      </c>
      <c r="X51" s="1" t="s">
        <v>983</v>
      </c>
      <c r="Y51" s="4">
        <v>690</v>
      </c>
      <c r="Z51" s="6">
        <v>25.99</v>
      </c>
      <c r="AA51" s="1" t="s">
        <v>1299</v>
      </c>
      <c r="AB51" s="1" t="s">
        <v>540</v>
      </c>
      <c r="AC51" s="1" t="s">
        <v>1202</v>
      </c>
      <c r="AD51" s="1" t="s">
        <v>704</v>
      </c>
      <c r="AE51" s="1" t="s">
        <v>987</v>
      </c>
      <c r="AF51" s="6">
        <v>16228.8</v>
      </c>
      <c r="AG51" s="6">
        <v>23.52</v>
      </c>
      <c r="AH51" s="1" t="s">
        <v>1158</v>
      </c>
      <c r="AI51" s="6">
        <v>1704.2000000000007</v>
      </c>
      <c r="AJ51" s="6">
        <v>9.5031506161824611E-2</v>
      </c>
      <c r="AK51" s="1" t="s">
        <v>1158</v>
      </c>
      <c r="AL51" s="1" t="s">
        <v>450</v>
      </c>
      <c r="AM51" s="1" t="s">
        <v>536</v>
      </c>
      <c r="AN51" s="1" t="s">
        <v>112</v>
      </c>
      <c r="AO51" s="6">
        <v>1704.2000000000007</v>
      </c>
      <c r="AP51" s="6">
        <v>9.5031506161824611E-2</v>
      </c>
      <c r="AQ51" s="2"/>
      <c r="AR51" s="7">
        <v>43864.591203832846</v>
      </c>
      <c r="AS51" s="5">
        <v>43866</v>
      </c>
      <c r="AT51" s="5">
        <v>43888</v>
      </c>
      <c r="AU51" s="1" t="s">
        <v>1287</v>
      </c>
      <c r="AV51" s="7">
        <v>43867.502840912268</v>
      </c>
      <c r="AW51" s="1" t="s">
        <v>153</v>
      </c>
      <c r="AX51" s="6">
        <v>16228.8</v>
      </c>
      <c r="AY51" s="1"/>
      <c r="AZ51" s="5">
        <v>43921</v>
      </c>
      <c r="BA51" s="7">
        <v>43921</v>
      </c>
      <c r="BB51" s="1" t="s">
        <v>1310</v>
      </c>
      <c r="BC51" s="1"/>
      <c r="BD51" s="1"/>
    </row>
    <row r="52" spans="1:56" hidden="1" x14ac:dyDescent="0.25">
      <c r="A52" s="4">
        <v>47</v>
      </c>
      <c r="B52" s="2" t="str">
        <f>HYPERLINK("https://my.zakupki.prom.ua/remote/dispatcher/state_purchase_view/13981913", "UA-2019-12-11-000863-b")</f>
        <v>UA-2019-12-11-000863-b</v>
      </c>
      <c r="C52" s="2" t="s">
        <v>983</v>
      </c>
      <c r="D52" s="1" t="s">
        <v>1044</v>
      </c>
      <c r="E52" s="1" t="s">
        <v>1034</v>
      </c>
      <c r="F52" s="1" t="s">
        <v>283</v>
      </c>
      <c r="G52" s="1" t="s">
        <v>883</v>
      </c>
      <c r="H52" s="1" t="s">
        <v>1202</v>
      </c>
      <c r="I52" s="1" t="s">
        <v>905</v>
      </c>
      <c r="J52" s="1" t="s">
        <v>158</v>
      </c>
      <c r="K52" s="1" t="s">
        <v>1103</v>
      </c>
      <c r="L52" s="1" t="s">
        <v>1208</v>
      </c>
      <c r="M52" s="1" t="s">
        <v>147</v>
      </c>
      <c r="N52" s="1" t="s">
        <v>147</v>
      </c>
      <c r="O52" s="1" t="s">
        <v>147</v>
      </c>
      <c r="P52" s="5">
        <v>43810</v>
      </c>
      <c r="Q52" s="5">
        <v>43810</v>
      </c>
      <c r="R52" s="5">
        <v>43811</v>
      </c>
      <c r="S52" s="5">
        <v>43811</v>
      </c>
      <c r="T52" s="5">
        <v>43812</v>
      </c>
      <c r="U52" s="7">
        <v>43815.532812500001</v>
      </c>
      <c r="V52" s="4">
        <v>2</v>
      </c>
      <c r="W52" s="6">
        <v>37678.15</v>
      </c>
      <c r="X52" s="1" t="s">
        <v>983</v>
      </c>
      <c r="Y52" s="1" t="s">
        <v>1298</v>
      </c>
      <c r="Z52" s="1" t="s">
        <v>1298</v>
      </c>
      <c r="AA52" s="1" t="s">
        <v>1298</v>
      </c>
      <c r="AB52" s="1" t="s">
        <v>540</v>
      </c>
      <c r="AC52" s="1" t="s">
        <v>1202</v>
      </c>
      <c r="AD52" s="1" t="s">
        <v>704</v>
      </c>
      <c r="AE52" s="1" t="s">
        <v>987</v>
      </c>
      <c r="AF52" s="6">
        <v>36875.410000000003</v>
      </c>
      <c r="AG52" s="1" t="s">
        <v>1298</v>
      </c>
      <c r="AH52" s="1" t="s">
        <v>1157</v>
      </c>
      <c r="AI52" s="6">
        <v>802.73999999999796</v>
      </c>
      <c r="AJ52" s="6">
        <v>2.1305186162271714E-2</v>
      </c>
      <c r="AK52" s="1" t="s">
        <v>1157</v>
      </c>
      <c r="AL52" s="1" t="s">
        <v>453</v>
      </c>
      <c r="AM52" s="1" t="s">
        <v>613</v>
      </c>
      <c r="AN52" s="1" t="s">
        <v>97</v>
      </c>
      <c r="AO52" s="6">
        <v>802.73999999999796</v>
      </c>
      <c r="AP52" s="6">
        <v>2.1305186162271714E-2</v>
      </c>
      <c r="AQ52" s="2" t="str">
        <f>HYPERLINK("https://auction.openprocurement.org/tenders/6b8d37832b8947aeaf49414ff3b840ce")</f>
        <v>https://auction.openprocurement.org/tenders/6b8d37832b8947aeaf49414ff3b840ce</v>
      </c>
      <c r="AR52" s="7">
        <v>43815.695508724973</v>
      </c>
      <c r="AS52" s="5">
        <v>43817</v>
      </c>
      <c r="AT52" s="5">
        <v>43841</v>
      </c>
      <c r="AU52" s="1" t="s">
        <v>1287</v>
      </c>
      <c r="AV52" s="7">
        <v>43820.360924321467</v>
      </c>
      <c r="AW52" s="1" t="s">
        <v>522</v>
      </c>
      <c r="AX52" s="6">
        <v>36875.410000000003</v>
      </c>
      <c r="AY52" s="1"/>
      <c r="AZ52" s="5">
        <v>43830</v>
      </c>
      <c r="BA52" s="7">
        <v>43830</v>
      </c>
      <c r="BB52" s="1" t="s">
        <v>1310</v>
      </c>
      <c r="BC52" s="1"/>
      <c r="BD52" s="1"/>
    </row>
    <row r="53" spans="1:56" hidden="1" x14ac:dyDescent="0.25">
      <c r="A53" s="4">
        <v>48</v>
      </c>
      <c r="B53" s="2" t="str">
        <f>HYPERLINK("https://my.zakupki.prom.ua/remote/dispatcher/state_purchase_view/13865093", "UA-2019-12-05-002430-b")</f>
        <v>UA-2019-12-05-002430-b</v>
      </c>
      <c r="C53" s="2" t="s">
        <v>983</v>
      </c>
      <c r="D53" s="1" t="s">
        <v>954</v>
      </c>
      <c r="E53" s="1" t="s">
        <v>1100</v>
      </c>
      <c r="F53" s="1" t="s">
        <v>355</v>
      </c>
      <c r="G53" s="1" t="s">
        <v>883</v>
      </c>
      <c r="H53" s="1" t="s">
        <v>1202</v>
      </c>
      <c r="I53" s="1" t="s">
        <v>905</v>
      </c>
      <c r="J53" s="1" t="s">
        <v>158</v>
      </c>
      <c r="K53" s="1" t="s">
        <v>1208</v>
      </c>
      <c r="L53" s="1" t="s">
        <v>1208</v>
      </c>
      <c r="M53" s="1" t="s">
        <v>147</v>
      </c>
      <c r="N53" s="1" t="s">
        <v>147</v>
      </c>
      <c r="O53" s="1" t="s">
        <v>147</v>
      </c>
      <c r="P53" s="5">
        <v>43804</v>
      </c>
      <c r="Q53" s="5">
        <v>43804</v>
      </c>
      <c r="R53" s="5">
        <v>43809</v>
      </c>
      <c r="S53" s="5">
        <v>43809</v>
      </c>
      <c r="T53" s="5">
        <v>43811</v>
      </c>
      <c r="U53" s="1" t="s">
        <v>1285</v>
      </c>
      <c r="V53" s="4">
        <v>1</v>
      </c>
      <c r="W53" s="6">
        <v>7800</v>
      </c>
      <c r="X53" s="1" t="s">
        <v>983</v>
      </c>
      <c r="Y53" s="1" t="s">
        <v>1298</v>
      </c>
      <c r="Z53" s="1" t="s">
        <v>1298</v>
      </c>
      <c r="AA53" s="1" t="s">
        <v>1298</v>
      </c>
      <c r="AB53" s="1" t="s">
        <v>540</v>
      </c>
      <c r="AC53" s="1" t="s">
        <v>1202</v>
      </c>
      <c r="AD53" s="1" t="s">
        <v>704</v>
      </c>
      <c r="AE53" s="1" t="s">
        <v>987</v>
      </c>
      <c r="AF53" s="6">
        <v>5018.72</v>
      </c>
      <c r="AG53" s="1" t="s">
        <v>1298</v>
      </c>
      <c r="AH53" s="1" t="s">
        <v>1146</v>
      </c>
      <c r="AI53" s="6">
        <v>2781.2799999999997</v>
      </c>
      <c r="AJ53" s="6">
        <v>0.35657435897435896</v>
      </c>
      <c r="AK53" s="1" t="s">
        <v>1146</v>
      </c>
      <c r="AL53" s="1" t="s">
        <v>438</v>
      </c>
      <c r="AM53" s="1" t="s">
        <v>558</v>
      </c>
      <c r="AN53" s="1" t="s">
        <v>90</v>
      </c>
      <c r="AO53" s="6">
        <v>2781.2799999999997</v>
      </c>
      <c r="AP53" s="6">
        <v>0.35657435897435896</v>
      </c>
      <c r="AQ53" s="2"/>
      <c r="AR53" s="7">
        <v>43812.376912328044</v>
      </c>
      <c r="AS53" s="5">
        <v>43816</v>
      </c>
      <c r="AT53" s="5">
        <v>43839</v>
      </c>
      <c r="AU53" s="1" t="s">
        <v>1287</v>
      </c>
      <c r="AV53" s="7">
        <v>43816.391517791155</v>
      </c>
      <c r="AW53" s="1" t="s">
        <v>519</v>
      </c>
      <c r="AX53" s="6">
        <v>5018.72</v>
      </c>
      <c r="AY53" s="1"/>
      <c r="AZ53" s="5">
        <v>43830</v>
      </c>
      <c r="BA53" s="7">
        <v>43830</v>
      </c>
      <c r="BB53" s="1" t="s">
        <v>1310</v>
      </c>
      <c r="BC53" s="1"/>
      <c r="BD53" s="1"/>
    </row>
    <row r="54" spans="1:56" hidden="1" x14ac:dyDescent="0.25">
      <c r="A54" s="4">
        <v>49</v>
      </c>
      <c r="B54" s="2" t="str">
        <f>HYPERLINK("https://my.zakupki.prom.ua/remote/dispatcher/state_purchase_view/13831236", "UA-2019-12-03-004918-b")</f>
        <v>UA-2019-12-03-004918-b</v>
      </c>
      <c r="C54" s="2" t="s">
        <v>983</v>
      </c>
      <c r="D54" s="1" t="s">
        <v>1028</v>
      </c>
      <c r="E54" s="1" t="s">
        <v>1027</v>
      </c>
      <c r="F54" s="1" t="s">
        <v>324</v>
      </c>
      <c r="G54" s="1" t="s">
        <v>883</v>
      </c>
      <c r="H54" s="1" t="s">
        <v>1202</v>
      </c>
      <c r="I54" s="1" t="s">
        <v>905</v>
      </c>
      <c r="J54" s="1" t="s">
        <v>158</v>
      </c>
      <c r="K54" s="1" t="s">
        <v>1208</v>
      </c>
      <c r="L54" s="1" t="s">
        <v>1208</v>
      </c>
      <c r="M54" s="1" t="s">
        <v>174</v>
      </c>
      <c r="N54" s="1" t="s">
        <v>147</v>
      </c>
      <c r="O54" s="1" t="s">
        <v>147</v>
      </c>
      <c r="P54" s="5">
        <v>43802</v>
      </c>
      <c r="Q54" s="5">
        <v>43802</v>
      </c>
      <c r="R54" s="5">
        <v>43805</v>
      </c>
      <c r="S54" s="5">
        <v>43805</v>
      </c>
      <c r="T54" s="5">
        <v>43809</v>
      </c>
      <c r="U54" s="7">
        <v>43810.552187499998</v>
      </c>
      <c r="V54" s="4">
        <v>2</v>
      </c>
      <c r="W54" s="6">
        <v>194200</v>
      </c>
      <c r="X54" s="1" t="s">
        <v>983</v>
      </c>
      <c r="Y54" s="4">
        <v>12</v>
      </c>
      <c r="Z54" s="6">
        <v>16183.33</v>
      </c>
      <c r="AA54" s="1" t="s">
        <v>1318</v>
      </c>
      <c r="AB54" s="1" t="s">
        <v>540</v>
      </c>
      <c r="AC54" s="1" t="s">
        <v>1202</v>
      </c>
      <c r="AD54" s="1" t="s">
        <v>704</v>
      </c>
      <c r="AE54" s="1" t="s">
        <v>987</v>
      </c>
      <c r="AF54" s="6">
        <v>147999</v>
      </c>
      <c r="AG54" s="6">
        <v>12333.25</v>
      </c>
      <c r="AH54" s="1" t="s">
        <v>1156</v>
      </c>
      <c r="AI54" s="6">
        <v>46201</v>
      </c>
      <c r="AJ54" s="6">
        <v>0.23790422245108137</v>
      </c>
      <c r="AK54" s="1" t="s">
        <v>1183</v>
      </c>
      <c r="AL54" s="1" t="s">
        <v>292</v>
      </c>
      <c r="AM54" s="1" t="s">
        <v>570</v>
      </c>
      <c r="AN54" s="1" t="s">
        <v>70</v>
      </c>
      <c r="AO54" s="6">
        <v>1240</v>
      </c>
      <c r="AP54" s="6">
        <v>6.3851699279093722E-3</v>
      </c>
      <c r="AQ54" s="2" t="str">
        <f>HYPERLINK("https://auction.openprocurement.org/tenders/479319b3136b4cbcbc18d34948506245")</f>
        <v>https://auction.openprocurement.org/tenders/479319b3136b4cbcbc18d34948506245</v>
      </c>
      <c r="AR54" s="7">
        <v>43815.609221727595</v>
      </c>
      <c r="AS54" s="5">
        <v>43817</v>
      </c>
      <c r="AT54" s="5">
        <v>43835</v>
      </c>
      <c r="AU54" s="1" t="s">
        <v>1287</v>
      </c>
      <c r="AV54" s="7">
        <v>43819.347612054909</v>
      </c>
      <c r="AW54" s="1" t="s">
        <v>521</v>
      </c>
      <c r="AX54" s="6">
        <v>192960</v>
      </c>
      <c r="AY54" s="1"/>
      <c r="AZ54" s="5">
        <v>43830</v>
      </c>
      <c r="BA54" s="7">
        <v>43830</v>
      </c>
      <c r="BB54" s="1" t="s">
        <v>1310</v>
      </c>
      <c r="BC54" s="1"/>
      <c r="BD54" s="1"/>
    </row>
    <row r="55" spans="1:56" hidden="1" x14ac:dyDescent="0.25">
      <c r="A55" s="4">
        <v>50</v>
      </c>
      <c r="B55" s="2" t="str">
        <f>HYPERLINK("https://my.zakupki.prom.ua/remote/dispatcher/state_purchase_view/13829509", "UA-2019-12-03-002869-b")</f>
        <v>UA-2019-12-03-002869-b</v>
      </c>
      <c r="C55" s="2" t="s">
        <v>983</v>
      </c>
      <c r="D55" s="1" t="s">
        <v>666</v>
      </c>
      <c r="E55" s="1" t="s">
        <v>666</v>
      </c>
      <c r="F55" s="1" t="s">
        <v>169</v>
      </c>
      <c r="G55" s="1" t="s">
        <v>883</v>
      </c>
      <c r="H55" s="1" t="s">
        <v>1202</v>
      </c>
      <c r="I55" s="1" t="s">
        <v>905</v>
      </c>
      <c r="J55" s="1" t="s">
        <v>158</v>
      </c>
      <c r="K55" s="1" t="s">
        <v>1208</v>
      </c>
      <c r="L55" s="1" t="s">
        <v>1208</v>
      </c>
      <c r="M55" s="1" t="s">
        <v>147</v>
      </c>
      <c r="N55" s="1" t="s">
        <v>147</v>
      </c>
      <c r="O55" s="1" t="s">
        <v>147</v>
      </c>
      <c r="P55" s="5">
        <v>43802</v>
      </c>
      <c r="Q55" s="5">
        <v>43802</v>
      </c>
      <c r="R55" s="5">
        <v>43805</v>
      </c>
      <c r="S55" s="5">
        <v>43805</v>
      </c>
      <c r="T55" s="5">
        <v>43809</v>
      </c>
      <c r="U55" s="7">
        <v>43810.537187499998</v>
      </c>
      <c r="V55" s="4">
        <v>2</v>
      </c>
      <c r="W55" s="6">
        <v>11400</v>
      </c>
      <c r="X55" s="1" t="s">
        <v>983</v>
      </c>
      <c r="Y55" s="4">
        <v>400</v>
      </c>
      <c r="Z55" s="6">
        <v>28.5</v>
      </c>
      <c r="AA55" s="1" t="s">
        <v>1299</v>
      </c>
      <c r="AB55" s="1" t="s">
        <v>540</v>
      </c>
      <c r="AC55" s="1" t="s">
        <v>1202</v>
      </c>
      <c r="AD55" s="1" t="s">
        <v>704</v>
      </c>
      <c r="AE55" s="1" t="s">
        <v>987</v>
      </c>
      <c r="AF55" s="6">
        <v>9984</v>
      </c>
      <c r="AG55" s="6">
        <v>24.96</v>
      </c>
      <c r="AH55" s="1" t="s">
        <v>1152</v>
      </c>
      <c r="AI55" s="6">
        <v>1416</v>
      </c>
      <c r="AJ55" s="6">
        <v>0.12421052631578948</v>
      </c>
      <c r="AK55" s="1" t="s">
        <v>1152</v>
      </c>
      <c r="AL55" s="1" t="s">
        <v>448</v>
      </c>
      <c r="AM55" s="1" t="s">
        <v>160</v>
      </c>
      <c r="AN55" s="1" t="s">
        <v>51</v>
      </c>
      <c r="AO55" s="6">
        <v>1416</v>
      </c>
      <c r="AP55" s="6">
        <v>0.12421052631578948</v>
      </c>
      <c r="AQ55" s="2" t="str">
        <f>HYPERLINK("https://auction.openprocurement.org/tenders/6afc374e63c54f17b6ec5de96c2378f3")</f>
        <v>https://auction.openprocurement.org/tenders/6afc374e63c54f17b6ec5de96c2378f3</v>
      </c>
      <c r="AR55" s="7">
        <v>43810.58795262537</v>
      </c>
      <c r="AS55" s="5">
        <v>43812</v>
      </c>
      <c r="AT55" s="5">
        <v>43835</v>
      </c>
      <c r="AU55" s="1" t="s">
        <v>1287</v>
      </c>
      <c r="AV55" s="7">
        <v>43812.610421532663</v>
      </c>
      <c r="AW55" s="1" t="s">
        <v>512</v>
      </c>
      <c r="AX55" s="6">
        <v>9984</v>
      </c>
      <c r="AY55" s="1"/>
      <c r="AZ55" s="5">
        <v>43830</v>
      </c>
      <c r="BA55" s="7">
        <v>43830</v>
      </c>
      <c r="BB55" s="1" t="s">
        <v>1310</v>
      </c>
      <c r="BC55" s="1"/>
      <c r="BD55" s="1"/>
    </row>
    <row r="56" spans="1:56" hidden="1" x14ac:dyDescent="0.25">
      <c r="A56" s="4">
        <v>51</v>
      </c>
      <c r="B56" s="2" t="str">
        <f>HYPERLINK("https://my.zakupki.prom.ua/remote/dispatcher/state_purchase_view/13823599", "UA-2019-12-03-002702-b")</f>
        <v>UA-2019-12-03-002702-b</v>
      </c>
      <c r="C56" s="2" t="s">
        <v>983</v>
      </c>
      <c r="D56" s="1" t="s">
        <v>908</v>
      </c>
      <c r="E56" s="1" t="s">
        <v>1022</v>
      </c>
      <c r="F56" s="1" t="s">
        <v>321</v>
      </c>
      <c r="G56" s="1" t="s">
        <v>883</v>
      </c>
      <c r="H56" s="1" t="s">
        <v>1202</v>
      </c>
      <c r="I56" s="1" t="s">
        <v>905</v>
      </c>
      <c r="J56" s="1" t="s">
        <v>158</v>
      </c>
      <c r="K56" s="1" t="s">
        <v>1208</v>
      </c>
      <c r="L56" s="1" t="s">
        <v>1208</v>
      </c>
      <c r="M56" s="1" t="s">
        <v>147</v>
      </c>
      <c r="N56" s="1" t="s">
        <v>147</v>
      </c>
      <c r="O56" s="1" t="s">
        <v>147</v>
      </c>
      <c r="P56" s="5">
        <v>43802</v>
      </c>
      <c r="Q56" s="5">
        <v>43802</v>
      </c>
      <c r="R56" s="5">
        <v>43805</v>
      </c>
      <c r="S56" s="5">
        <v>43805</v>
      </c>
      <c r="T56" s="5">
        <v>43809</v>
      </c>
      <c r="U56" s="1" t="s">
        <v>1285</v>
      </c>
      <c r="V56" s="4">
        <v>1</v>
      </c>
      <c r="W56" s="6">
        <v>5773.4</v>
      </c>
      <c r="X56" s="1" t="s">
        <v>983</v>
      </c>
      <c r="Y56" s="1" t="s">
        <v>1298</v>
      </c>
      <c r="Z56" s="1" t="s">
        <v>1298</v>
      </c>
      <c r="AA56" s="1" t="s">
        <v>1298</v>
      </c>
      <c r="AB56" s="1" t="s">
        <v>540</v>
      </c>
      <c r="AC56" s="1" t="s">
        <v>1202</v>
      </c>
      <c r="AD56" s="1" t="s">
        <v>704</v>
      </c>
      <c r="AE56" s="1" t="s">
        <v>987</v>
      </c>
      <c r="AF56" s="6">
        <v>5770.98</v>
      </c>
      <c r="AG56" s="1" t="s">
        <v>1298</v>
      </c>
      <c r="AH56" s="1" t="s">
        <v>1142</v>
      </c>
      <c r="AI56" s="6">
        <v>2.4200000000000728</v>
      </c>
      <c r="AJ56" s="6">
        <v>4.1916375099595955E-4</v>
      </c>
      <c r="AK56" s="1" t="s">
        <v>1142</v>
      </c>
      <c r="AL56" s="1" t="s">
        <v>441</v>
      </c>
      <c r="AM56" s="1" t="s">
        <v>550</v>
      </c>
      <c r="AN56" s="1" t="s">
        <v>91</v>
      </c>
      <c r="AO56" s="6">
        <v>2.4200000000000728</v>
      </c>
      <c r="AP56" s="6">
        <v>4.1916375099595955E-4</v>
      </c>
      <c r="AQ56" s="2"/>
      <c r="AR56" s="7">
        <v>43810.457097614053</v>
      </c>
      <c r="AS56" s="5">
        <v>43812</v>
      </c>
      <c r="AT56" s="5">
        <v>43835</v>
      </c>
      <c r="AU56" s="1" t="s">
        <v>1287</v>
      </c>
      <c r="AV56" s="7">
        <v>43812.676957841919</v>
      </c>
      <c r="AW56" s="1" t="s">
        <v>510</v>
      </c>
      <c r="AX56" s="6">
        <v>5770.98</v>
      </c>
      <c r="AY56" s="1"/>
      <c r="AZ56" s="5">
        <v>43830</v>
      </c>
      <c r="BA56" s="7">
        <v>43830</v>
      </c>
      <c r="BB56" s="1" t="s">
        <v>1310</v>
      </c>
      <c r="BC56" s="1"/>
      <c r="BD56" s="1"/>
    </row>
    <row r="57" spans="1:56" hidden="1" x14ac:dyDescent="0.25">
      <c r="A57" s="4">
        <v>52</v>
      </c>
      <c r="B57" s="2" t="str">
        <f>HYPERLINK("https://my.zakupki.prom.ua/remote/dispatcher/state_purchase_view/13813851", "UA-2019-12-03-002449-b")</f>
        <v>UA-2019-12-03-002449-b</v>
      </c>
      <c r="C57" s="2" t="s">
        <v>983</v>
      </c>
      <c r="D57" s="1" t="s">
        <v>1044</v>
      </c>
      <c r="E57" s="1" t="s">
        <v>1034</v>
      </c>
      <c r="F57" s="1" t="s">
        <v>283</v>
      </c>
      <c r="G57" s="1" t="s">
        <v>883</v>
      </c>
      <c r="H57" s="1" t="s">
        <v>1202</v>
      </c>
      <c r="I57" s="1" t="s">
        <v>905</v>
      </c>
      <c r="J57" s="1" t="s">
        <v>158</v>
      </c>
      <c r="K57" s="1" t="s">
        <v>1208</v>
      </c>
      <c r="L57" s="1" t="s">
        <v>1208</v>
      </c>
      <c r="M57" s="1" t="s">
        <v>147</v>
      </c>
      <c r="N57" s="1" t="s">
        <v>147</v>
      </c>
      <c r="O57" s="1" t="s">
        <v>147</v>
      </c>
      <c r="P57" s="5">
        <v>43802</v>
      </c>
      <c r="Q57" s="5">
        <v>43802</v>
      </c>
      <c r="R57" s="5">
        <v>43805</v>
      </c>
      <c r="S57" s="5">
        <v>43805</v>
      </c>
      <c r="T57" s="5">
        <v>43809</v>
      </c>
      <c r="U57" s="1" t="s">
        <v>1285</v>
      </c>
      <c r="V57" s="4">
        <v>0</v>
      </c>
      <c r="W57" s="6">
        <v>22218.2</v>
      </c>
      <c r="X57" s="1" t="s">
        <v>983</v>
      </c>
      <c r="Y57" s="1" t="s">
        <v>1298</v>
      </c>
      <c r="Z57" s="1" t="s">
        <v>1298</v>
      </c>
      <c r="AA57" s="1" t="s">
        <v>1298</v>
      </c>
      <c r="AB57" s="1" t="s">
        <v>540</v>
      </c>
      <c r="AC57" s="1" t="s">
        <v>1202</v>
      </c>
      <c r="AD57" s="1" t="s">
        <v>704</v>
      </c>
      <c r="AE57" s="1" t="s">
        <v>987</v>
      </c>
      <c r="AF57" s="1"/>
      <c r="AG57" s="1" t="s">
        <v>1298</v>
      </c>
      <c r="AH57" s="1"/>
      <c r="AI57" s="1"/>
      <c r="AJ57" s="1"/>
      <c r="AK57" s="1"/>
      <c r="AL57" s="1"/>
      <c r="AM57" s="1"/>
      <c r="AN57" s="1"/>
      <c r="AO57" s="1"/>
      <c r="AP57" s="1"/>
      <c r="AQ57" s="2"/>
      <c r="AR57" s="1"/>
      <c r="AS57" s="1"/>
      <c r="AT57" s="1"/>
      <c r="AU57" s="1" t="s">
        <v>1288</v>
      </c>
      <c r="AV57" s="7">
        <v>43809.752710804874</v>
      </c>
      <c r="AW57" s="1"/>
      <c r="AX57" s="1"/>
      <c r="AY57" s="1"/>
      <c r="AZ57" s="5">
        <v>43830</v>
      </c>
      <c r="BA57" s="1"/>
      <c r="BB57" s="1"/>
      <c r="BC57" s="1"/>
      <c r="BD57" s="1"/>
    </row>
    <row r="58" spans="1:56" hidden="1" x14ac:dyDescent="0.25">
      <c r="A58" s="4">
        <v>53</v>
      </c>
      <c r="B58" s="2" t="str">
        <f>HYPERLINK("https://my.zakupki.prom.ua/remote/dispatcher/state_purchase_view/13733201", "UA-2019-11-29-000785-b")</f>
        <v>UA-2019-11-29-000785-b</v>
      </c>
      <c r="C58" s="2" t="s">
        <v>983</v>
      </c>
      <c r="D58" s="1" t="s">
        <v>954</v>
      </c>
      <c r="E58" s="1" t="s">
        <v>689</v>
      </c>
      <c r="F58" s="1" t="s">
        <v>355</v>
      </c>
      <c r="G58" s="1" t="s">
        <v>883</v>
      </c>
      <c r="H58" s="1" t="s">
        <v>1202</v>
      </c>
      <c r="I58" s="1" t="s">
        <v>905</v>
      </c>
      <c r="J58" s="1" t="s">
        <v>158</v>
      </c>
      <c r="K58" s="1" t="s">
        <v>1103</v>
      </c>
      <c r="L58" s="1" t="s">
        <v>1208</v>
      </c>
      <c r="M58" s="1" t="s">
        <v>147</v>
      </c>
      <c r="N58" s="1" t="s">
        <v>147</v>
      </c>
      <c r="O58" s="1" t="s">
        <v>147</v>
      </c>
      <c r="P58" s="5">
        <v>43798</v>
      </c>
      <c r="Q58" s="5">
        <v>43798</v>
      </c>
      <c r="R58" s="5">
        <v>43803</v>
      </c>
      <c r="S58" s="5">
        <v>43803</v>
      </c>
      <c r="T58" s="5">
        <v>43805</v>
      </c>
      <c r="U58" s="7">
        <v>43808.633483796293</v>
      </c>
      <c r="V58" s="4">
        <v>4</v>
      </c>
      <c r="W58" s="6">
        <v>15747</v>
      </c>
      <c r="X58" s="1" t="s">
        <v>983</v>
      </c>
      <c r="Y58" s="1" t="s">
        <v>1298</v>
      </c>
      <c r="Z58" s="1" t="s">
        <v>1298</v>
      </c>
      <c r="AA58" s="1" t="s">
        <v>1298</v>
      </c>
      <c r="AB58" s="1" t="s">
        <v>540</v>
      </c>
      <c r="AC58" s="1" t="s">
        <v>1202</v>
      </c>
      <c r="AD58" s="1" t="s">
        <v>704</v>
      </c>
      <c r="AE58" s="1" t="s">
        <v>987</v>
      </c>
      <c r="AF58" s="6">
        <v>9203.4500000000007</v>
      </c>
      <c r="AG58" s="1" t="s">
        <v>1298</v>
      </c>
      <c r="AH58" s="1" t="s">
        <v>1146</v>
      </c>
      <c r="AI58" s="6">
        <v>6543.5499999999993</v>
      </c>
      <c r="AJ58" s="6">
        <v>0.41554264304311928</v>
      </c>
      <c r="AK58" s="1" t="s">
        <v>1146</v>
      </c>
      <c r="AL58" s="1" t="s">
        <v>438</v>
      </c>
      <c r="AM58" s="1" t="s">
        <v>558</v>
      </c>
      <c r="AN58" s="1" t="s">
        <v>90</v>
      </c>
      <c r="AO58" s="6">
        <v>6543.5499999999993</v>
      </c>
      <c r="AP58" s="6">
        <v>0.41554264304311928</v>
      </c>
      <c r="AQ58" s="2" t="str">
        <f>HYPERLINK("https://auction.openprocurement.org/tenders/f591e20d2b0a4e7d86374ef498aeca70")</f>
        <v>https://auction.openprocurement.org/tenders/f591e20d2b0a4e7d86374ef498aeca70</v>
      </c>
      <c r="AR58" s="7">
        <v>43809.673781224199</v>
      </c>
      <c r="AS58" s="5">
        <v>43811</v>
      </c>
      <c r="AT58" s="5">
        <v>43833</v>
      </c>
      <c r="AU58" s="1" t="s">
        <v>1287</v>
      </c>
      <c r="AV58" s="7">
        <v>43811.683814385455</v>
      </c>
      <c r="AW58" s="1" t="s">
        <v>502</v>
      </c>
      <c r="AX58" s="6">
        <v>9203.4500000000007</v>
      </c>
      <c r="AY58" s="1"/>
      <c r="AZ58" s="5">
        <v>43830</v>
      </c>
      <c r="BA58" s="7">
        <v>43830</v>
      </c>
      <c r="BB58" s="1" t="s">
        <v>1310</v>
      </c>
      <c r="BC58" s="1"/>
      <c r="BD58" s="1"/>
    </row>
    <row r="59" spans="1:56" x14ac:dyDescent="0.25">
      <c r="A59" s="4">
        <v>54</v>
      </c>
      <c r="B59" s="2" t="str">
        <f>HYPERLINK("https://my.zakupki.prom.ua/remote/dispatcher/state_purchase_view/13631195", "UA-2019-11-19-003034-b")</f>
        <v>UA-2019-11-19-003034-b</v>
      </c>
      <c r="C59" s="2" t="s">
        <v>983</v>
      </c>
      <c r="D59" s="1" t="s">
        <v>1016</v>
      </c>
      <c r="E59" s="1" t="s">
        <v>1304</v>
      </c>
      <c r="F59" s="1" t="s">
        <v>367</v>
      </c>
      <c r="G59" s="1" t="s">
        <v>702</v>
      </c>
      <c r="H59" s="1" t="s">
        <v>1202</v>
      </c>
      <c r="I59" s="1" t="s">
        <v>905</v>
      </c>
      <c r="J59" s="1" t="s">
        <v>158</v>
      </c>
      <c r="K59" s="1" t="s">
        <v>1208</v>
      </c>
      <c r="L59" s="1" t="s">
        <v>1208</v>
      </c>
      <c r="M59" s="1" t="s">
        <v>147</v>
      </c>
      <c r="N59" s="1" t="s">
        <v>147</v>
      </c>
      <c r="O59" s="1" t="s">
        <v>147</v>
      </c>
      <c r="P59" s="5">
        <v>43788</v>
      </c>
      <c r="Q59" s="5">
        <v>43788</v>
      </c>
      <c r="R59" s="5">
        <v>43793</v>
      </c>
      <c r="S59" s="5">
        <v>43788</v>
      </c>
      <c r="T59" s="5">
        <v>43803</v>
      </c>
      <c r="U59" s="7">
        <v>43804.552719907406</v>
      </c>
      <c r="V59" s="4">
        <v>2</v>
      </c>
      <c r="W59" s="6">
        <v>6340</v>
      </c>
      <c r="X59" s="1" t="s">
        <v>983</v>
      </c>
      <c r="Y59" s="1" t="s">
        <v>1298</v>
      </c>
      <c r="Z59" s="1" t="s">
        <v>1298</v>
      </c>
      <c r="AA59" s="1" t="s">
        <v>1298</v>
      </c>
      <c r="AB59" s="1" t="s">
        <v>540</v>
      </c>
      <c r="AC59" s="1" t="s">
        <v>1202</v>
      </c>
      <c r="AD59" s="1" t="s">
        <v>704</v>
      </c>
      <c r="AE59" s="1" t="s">
        <v>987</v>
      </c>
      <c r="AF59" s="6">
        <v>5076.08</v>
      </c>
      <c r="AG59" s="1" t="s">
        <v>1298</v>
      </c>
      <c r="AH59" s="1" t="s">
        <v>1252</v>
      </c>
      <c r="AI59" s="6">
        <v>1263.92</v>
      </c>
      <c r="AJ59" s="6">
        <v>0.19935646687697162</v>
      </c>
      <c r="AK59" s="1" t="s">
        <v>1252</v>
      </c>
      <c r="AL59" s="1" t="s">
        <v>314</v>
      </c>
      <c r="AM59" s="1" t="s">
        <v>604</v>
      </c>
      <c r="AN59" s="1" t="s">
        <v>137</v>
      </c>
      <c r="AO59" s="6">
        <v>1263.92</v>
      </c>
      <c r="AP59" s="6">
        <v>0.19935646687697162</v>
      </c>
      <c r="AQ59" s="2" t="str">
        <f>HYPERLINK("https://auction.openprocurement.org/tenders/62b220f371384384a6c7352a857d5b02")</f>
        <v>https://auction.openprocurement.org/tenders/62b220f371384384a6c7352a857d5b02</v>
      </c>
      <c r="AR59" s="7">
        <v>43805.383249292572</v>
      </c>
      <c r="AS59" s="5">
        <v>43816</v>
      </c>
      <c r="AT59" s="5">
        <v>43826</v>
      </c>
      <c r="AU59" s="1" t="s">
        <v>1287</v>
      </c>
      <c r="AV59" s="7">
        <v>43816.671913335442</v>
      </c>
      <c r="AW59" s="1" t="s">
        <v>520</v>
      </c>
      <c r="AX59" s="6">
        <v>5076.08</v>
      </c>
      <c r="AY59" s="1"/>
      <c r="AZ59" s="5">
        <v>43830</v>
      </c>
      <c r="BA59" s="7">
        <v>43830</v>
      </c>
      <c r="BB59" s="1" t="s">
        <v>1310</v>
      </c>
      <c r="BC59" s="1"/>
      <c r="BD59" s="1"/>
    </row>
    <row r="60" spans="1:56" x14ac:dyDescent="0.25">
      <c r="A60" s="4">
        <v>55</v>
      </c>
      <c r="B60" s="2" t="str">
        <f>HYPERLINK("https://my.zakupki.prom.ua/remote/dispatcher/state_purchase_view/13607684", "UA-2019-11-18-002498-b")</f>
        <v>UA-2019-11-18-002498-b</v>
      </c>
      <c r="C60" s="2" t="str">
        <f>HYPERLINK("https://my.zakupki.prom.ua/remote/dispatcher/state_purchase_lot_view/485037", "UA-2019-11-18-002498-b-L1")</f>
        <v>UA-2019-11-18-002498-b-L1</v>
      </c>
      <c r="D60" s="1" t="s">
        <v>1070</v>
      </c>
      <c r="E60" s="1" t="s">
        <v>6</v>
      </c>
      <c r="F60" s="1" t="s">
        <v>367</v>
      </c>
      <c r="G60" s="1" t="s">
        <v>702</v>
      </c>
      <c r="H60" s="1" t="s">
        <v>1202</v>
      </c>
      <c r="I60" s="1" t="s">
        <v>905</v>
      </c>
      <c r="J60" s="1" t="s">
        <v>158</v>
      </c>
      <c r="K60" s="1" t="s">
        <v>1103</v>
      </c>
      <c r="L60" s="1" t="s">
        <v>1208</v>
      </c>
      <c r="M60" s="1" t="s">
        <v>148</v>
      </c>
      <c r="N60" s="1" t="s">
        <v>148</v>
      </c>
      <c r="O60" s="1" t="s">
        <v>148</v>
      </c>
      <c r="P60" s="5">
        <v>43787</v>
      </c>
      <c r="Q60" s="5">
        <v>43787</v>
      </c>
      <c r="R60" s="5">
        <v>43792</v>
      </c>
      <c r="S60" s="5">
        <v>43787</v>
      </c>
      <c r="T60" s="5">
        <v>43802</v>
      </c>
      <c r="U60" s="7">
        <v>43803.540902777779</v>
      </c>
      <c r="V60" s="4">
        <v>2</v>
      </c>
      <c r="W60" s="6">
        <v>21500</v>
      </c>
      <c r="X60" s="6">
        <v>12400</v>
      </c>
      <c r="Y60" s="4">
        <v>4000</v>
      </c>
      <c r="Z60" s="6">
        <v>3.1</v>
      </c>
      <c r="AA60" s="1" t="s">
        <v>1318</v>
      </c>
      <c r="AB60" s="1" t="s">
        <v>540</v>
      </c>
      <c r="AC60" s="1" t="s">
        <v>1202</v>
      </c>
      <c r="AD60" s="1" t="s">
        <v>704</v>
      </c>
      <c r="AE60" s="1" t="s">
        <v>987</v>
      </c>
      <c r="AF60" s="6">
        <v>7917</v>
      </c>
      <c r="AG60" s="6">
        <v>1.97925</v>
      </c>
      <c r="AH60" s="1" t="s">
        <v>1199</v>
      </c>
      <c r="AI60" s="6">
        <v>4483</v>
      </c>
      <c r="AJ60" s="6">
        <v>0.36153225806451611</v>
      </c>
      <c r="AK60" s="1" t="s">
        <v>1159</v>
      </c>
      <c r="AL60" s="1" t="s">
        <v>261</v>
      </c>
      <c r="AM60" s="1" t="s">
        <v>553</v>
      </c>
      <c r="AN60" s="1" t="s">
        <v>63</v>
      </c>
      <c r="AO60" s="6">
        <v>4482</v>
      </c>
      <c r="AP60" s="6">
        <v>0.36145161290322581</v>
      </c>
      <c r="AQ60" s="2" t="str">
        <f>HYPERLINK("https://auction.openprocurement.org/tenders/8e2c5c012f624b6bb15b13b41b673e7c_ff2950befb98499f988d0fccdaf8624d")</f>
        <v>https://auction.openprocurement.org/tenders/8e2c5c012f624b6bb15b13b41b673e7c_ff2950befb98499f988d0fccdaf8624d</v>
      </c>
      <c r="AR60" s="7">
        <v>43804.671067099574</v>
      </c>
      <c r="AS60" s="5">
        <v>43815</v>
      </c>
      <c r="AT60" s="5">
        <v>43825</v>
      </c>
      <c r="AU60" s="1" t="s">
        <v>1287</v>
      </c>
      <c r="AV60" s="7">
        <v>43815.6613975566</v>
      </c>
      <c r="AW60" s="1" t="s">
        <v>517</v>
      </c>
      <c r="AX60" s="6">
        <v>7918</v>
      </c>
      <c r="AY60" s="1"/>
      <c r="AZ60" s="5">
        <v>43830</v>
      </c>
      <c r="BA60" s="7">
        <v>43830</v>
      </c>
      <c r="BB60" s="1" t="s">
        <v>1310</v>
      </c>
      <c r="BC60" s="1"/>
      <c r="BD60" s="1"/>
    </row>
    <row r="61" spans="1:56" x14ac:dyDescent="0.25">
      <c r="A61" s="4">
        <v>56</v>
      </c>
      <c r="B61" s="2" t="str">
        <f>HYPERLINK("https://my.zakupki.prom.ua/remote/dispatcher/state_purchase_view/13607684", "UA-2019-11-18-002498-b")</f>
        <v>UA-2019-11-18-002498-b</v>
      </c>
      <c r="C61" s="2" t="str">
        <f>HYPERLINK("https://my.zakupki.prom.ua/remote/dispatcher/state_purchase_lot_view/485038", "UA-2019-11-18-002498-b-L2")</f>
        <v>UA-2019-11-18-002498-b-L2</v>
      </c>
      <c r="D61" s="1" t="s">
        <v>1071</v>
      </c>
      <c r="E61" s="1" t="s">
        <v>1069</v>
      </c>
      <c r="F61" s="1" t="s">
        <v>367</v>
      </c>
      <c r="G61" s="1" t="s">
        <v>702</v>
      </c>
      <c r="H61" s="1" t="s">
        <v>1202</v>
      </c>
      <c r="I61" s="1" t="s">
        <v>905</v>
      </c>
      <c r="J61" s="1" t="s">
        <v>158</v>
      </c>
      <c r="K61" s="1" t="s">
        <v>1103</v>
      </c>
      <c r="L61" s="1" t="s">
        <v>1208</v>
      </c>
      <c r="M61" s="1" t="s">
        <v>148</v>
      </c>
      <c r="N61" s="1" t="s">
        <v>148</v>
      </c>
      <c r="O61" s="1" t="s">
        <v>148</v>
      </c>
      <c r="P61" s="5">
        <v>43787</v>
      </c>
      <c r="Q61" s="5">
        <v>43787</v>
      </c>
      <c r="R61" s="5">
        <v>43792</v>
      </c>
      <c r="S61" s="5">
        <v>43787</v>
      </c>
      <c r="T61" s="5">
        <v>43802</v>
      </c>
      <c r="U61" s="1" t="s">
        <v>1285</v>
      </c>
      <c r="V61" s="4">
        <v>1</v>
      </c>
      <c r="W61" s="6">
        <v>21500</v>
      </c>
      <c r="X61" s="6">
        <v>7800</v>
      </c>
      <c r="Y61" s="4">
        <v>3000</v>
      </c>
      <c r="Z61" s="6">
        <v>2.6</v>
      </c>
      <c r="AA61" s="1" t="s">
        <v>1318</v>
      </c>
      <c r="AB61" s="1" t="s">
        <v>540</v>
      </c>
      <c r="AC61" s="1" t="s">
        <v>1202</v>
      </c>
      <c r="AD61" s="1" t="s">
        <v>704</v>
      </c>
      <c r="AE61" s="1" t="s">
        <v>987</v>
      </c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2"/>
      <c r="AR61" s="7">
        <v>43804.671067099574</v>
      </c>
      <c r="AS61" s="1"/>
      <c r="AT61" s="1"/>
      <c r="AU61" s="1" t="s">
        <v>1288</v>
      </c>
      <c r="AV61" s="7">
        <v>43802.836319019421</v>
      </c>
      <c r="AW61" s="1"/>
      <c r="AX61" s="1"/>
      <c r="AY61" s="1"/>
      <c r="AZ61" s="5">
        <v>43830</v>
      </c>
      <c r="BA61" s="1"/>
      <c r="BB61" s="1"/>
      <c r="BC61" s="1"/>
      <c r="BD61" s="1"/>
    </row>
    <row r="62" spans="1:56" x14ac:dyDescent="0.25">
      <c r="A62" s="4">
        <v>57</v>
      </c>
      <c r="B62" s="2" t="str">
        <f>HYPERLINK("https://my.zakupki.prom.ua/remote/dispatcher/state_purchase_view/13607684", "UA-2019-11-18-002498-b")</f>
        <v>UA-2019-11-18-002498-b</v>
      </c>
      <c r="C62" s="2" t="str">
        <f>HYPERLINK("https://my.zakupki.prom.ua/remote/dispatcher/state_purchase_lot_view/485039", "UA-2019-11-18-002498-b-L3")</f>
        <v>UA-2019-11-18-002498-b-L3</v>
      </c>
      <c r="D62" s="1" t="s">
        <v>1072</v>
      </c>
      <c r="E62" s="1" t="s">
        <v>1068</v>
      </c>
      <c r="F62" s="1" t="s">
        <v>367</v>
      </c>
      <c r="G62" s="1" t="s">
        <v>702</v>
      </c>
      <c r="H62" s="1" t="s">
        <v>1202</v>
      </c>
      <c r="I62" s="1" t="s">
        <v>905</v>
      </c>
      <c r="J62" s="1" t="s">
        <v>158</v>
      </c>
      <c r="K62" s="1" t="s">
        <v>1103</v>
      </c>
      <c r="L62" s="1" t="s">
        <v>1208</v>
      </c>
      <c r="M62" s="1" t="s">
        <v>148</v>
      </c>
      <c r="N62" s="1" t="s">
        <v>148</v>
      </c>
      <c r="O62" s="1" t="s">
        <v>148</v>
      </c>
      <c r="P62" s="5">
        <v>43787</v>
      </c>
      <c r="Q62" s="5">
        <v>43787</v>
      </c>
      <c r="R62" s="5">
        <v>43792</v>
      </c>
      <c r="S62" s="5">
        <v>43787</v>
      </c>
      <c r="T62" s="5">
        <v>43802</v>
      </c>
      <c r="U62" s="7">
        <v>43803.563935185186</v>
      </c>
      <c r="V62" s="4">
        <v>2</v>
      </c>
      <c r="W62" s="6">
        <v>21500</v>
      </c>
      <c r="X62" s="6">
        <v>1300</v>
      </c>
      <c r="Y62" s="4">
        <v>500</v>
      </c>
      <c r="Z62" s="6">
        <v>2.6</v>
      </c>
      <c r="AA62" s="1" t="s">
        <v>1318</v>
      </c>
      <c r="AB62" s="1" t="s">
        <v>540</v>
      </c>
      <c r="AC62" s="1" t="s">
        <v>1202</v>
      </c>
      <c r="AD62" s="1" t="s">
        <v>704</v>
      </c>
      <c r="AE62" s="1" t="s">
        <v>987</v>
      </c>
      <c r="AF62" s="6">
        <v>898.8</v>
      </c>
      <c r="AG62" s="6">
        <v>1.7975999999999999</v>
      </c>
      <c r="AH62" s="1" t="s">
        <v>1159</v>
      </c>
      <c r="AI62" s="6">
        <v>401.20000000000005</v>
      </c>
      <c r="AJ62" s="6">
        <v>0.30861538461538462</v>
      </c>
      <c r="AK62" s="1" t="s">
        <v>1159</v>
      </c>
      <c r="AL62" s="1" t="s">
        <v>261</v>
      </c>
      <c r="AM62" s="1" t="s">
        <v>553</v>
      </c>
      <c r="AN62" s="1" t="s">
        <v>63</v>
      </c>
      <c r="AO62" s="6">
        <v>401.20000000000005</v>
      </c>
      <c r="AP62" s="6">
        <v>0.30861538461538462</v>
      </c>
      <c r="AQ62" s="2" t="str">
        <f>HYPERLINK("https://auction.openprocurement.org/tenders/8e2c5c012f624b6bb15b13b41b673e7c_fc1524e0916a4cb09fc1d5d06067e131")</f>
        <v>https://auction.openprocurement.org/tenders/8e2c5c012f624b6bb15b13b41b673e7c_fc1524e0916a4cb09fc1d5d06067e131</v>
      </c>
      <c r="AR62" s="7">
        <v>43804.671067099574</v>
      </c>
      <c r="AS62" s="5">
        <v>43815</v>
      </c>
      <c r="AT62" s="5">
        <v>43825</v>
      </c>
      <c r="AU62" s="1" t="s">
        <v>1287</v>
      </c>
      <c r="AV62" s="7">
        <v>43815.662800653554</v>
      </c>
      <c r="AW62" s="1" t="s">
        <v>518</v>
      </c>
      <c r="AX62" s="6">
        <v>898.8</v>
      </c>
      <c r="AY62" s="1"/>
      <c r="AZ62" s="5">
        <v>43830</v>
      </c>
      <c r="BA62" s="7">
        <v>43830</v>
      </c>
      <c r="BB62" s="1" t="s">
        <v>1310</v>
      </c>
      <c r="BC62" s="1"/>
      <c r="BD62" s="1"/>
    </row>
    <row r="63" spans="1:56" hidden="1" x14ac:dyDescent="0.25">
      <c r="A63" s="4">
        <v>58</v>
      </c>
      <c r="B63" s="2" t="str">
        <f>HYPERLINK("https://my.zakupki.prom.ua/remote/dispatcher/state_purchase_view/13289908", "UA-2019-10-24-000298-b")</f>
        <v>UA-2019-10-24-000298-b</v>
      </c>
      <c r="C63" s="2" t="s">
        <v>983</v>
      </c>
      <c r="D63" s="1" t="s">
        <v>1123</v>
      </c>
      <c r="E63" s="1" t="s">
        <v>888</v>
      </c>
      <c r="F63" s="1" t="s">
        <v>354</v>
      </c>
      <c r="G63" s="1" t="s">
        <v>883</v>
      </c>
      <c r="H63" s="1" t="s">
        <v>987</v>
      </c>
      <c r="I63" s="1" t="s">
        <v>905</v>
      </c>
      <c r="J63" s="1" t="s">
        <v>158</v>
      </c>
      <c r="K63" s="1" t="s">
        <v>1103</v>
      </c>
      <c r="L63" s="1" t="s">
        <v>1103</v>
      </c>
      <c r="M63" s="1" t="s">
        <v>147</v>
      </c>
      <c r="N63" s="1" t="s">
        <v>147</v>
      </c>
      <c r="O63" s="1" t="s">
        <v>147</v>
      </c>
      <c r="P63" s="5">
        <v>43762</v>
      </c>
      <c r="Q63" s="5">
        <v>43762</v>
      </c>
      <c r="R63" s="5">
        <v>43767</v>
      </c>
      <c r="S63" s="5">
        <v>43767</v>
      </c>
      <c r="T63" s="5">
        <v>43769</v>
      </c>
      <c r="U63" s="1" t="s">
        <v>1285</v>
      </c>
      <c r="V63" s="4">
        <v>1</v>
      </c>
      <c r="W63" s="6">
        <v>32801.74</v>
      </c>
      <c r="X63" s="1" t="s">
        <v>983</v>
      </c>
      <c r="Y63" s="4">
        <v>1</v>
      </c>
      <c r="Z63" s="6">
        <v>32801.74</v>
      </c>
      <c r="AA63" s="1" t="s">
        <v>1318</v>
      </c>
      <c r="AB63" s="1" t="s">
        <v>540</v>
      </c>
      <c r="AC63" s="1" t="s">
        <v>1202</v>
      </c>
      <c r="AD63" s="1" t="s">
        <v>704</v>
      </c>
      <c r="AE63" s="1" t="s">
        <v>987</v>
      </c>
      <c r="AF63" s="6">
        <v>30000</v>
      </c>
      <c r="AG63" s="6">
        <v>30000</v>
      </c>
      <c r="AH63" s="1" t="s">
        <v>1239</v>
      </c>
      <c r="AI63" s="6">
        <v>2801.739999999998</v>
      </c>
      <c r="AJ63" s="6">
        <v>8.541437131079016E-2</v>
      </c>
      <c r="AK63" s="1" t="s">
        <v>1239</v>
      </c>
      <c r="AL63" s="1" t="s">
        <v>255</v>
      </c>
      <c r="AM63" s="1" t="s">
        <v>635</v>
      </c>
      <c r="AN63" s="1" t="s">
        <v>132</v>
      </c>
      <c r="AO63" s="6">
        <v>2801.739999999998</v>
      </c>
      <c r="AP63" s="6">
        <v>8.541437131079016E-2</v>
      </c>
      <c r="AQ63" s="2"/>
      <c r="AR63" s="7">
        <v>43774.709010069098</v>
      </c>
      <c r="AS63" s="5">
        <v>43776</v>
      </c>
      <c r="AT63" s="5">
        <v>43797</v>
      </c>
      <c r="AU63" s="1" t="s">
        <v>1287</v>
      </c>
      <c r="AV63" s="7">
        <v>43777.647384433447</v>
      </c>
      <c r="AW63" s="1" t="s">
        <v>498</v>
      </c>
      <c r="AX63" s="6">
        <v>30000</v>
      </c>
      <c r="AY63" s="1"/>
      <c r="AZ63" s="5">
        <v>43830</v>
      </c>
      <c r="BA63" s="7">
        <v>43830</v>
      </c>
      <c r="BB63" s="1" t="s">
        <v>1310</v>
      </c>
      <c r="BC63" s="1"/>
      <c r="BD63" s="1"/>
    </row>
    <row r="64" spans="1:56" hidden="1" x14ac:dyDescent="0.25">
      <c r="A64" s="4">
        <v>59</v>
      </c>
      <c r="B64" s="2" t="str">
        <f>HYPERLINK("https://my.zakupki.prom.ua/remote/dispatcher/state_purchase_view/13099593", "UA-2019-10-16-001301-b")</f>
        <v>UA-2019-10-16-001301-b</v>
      </c>
      <c r="C64" s="2" t="s">
        <v>983</v>
      </c>
      <c r="D64" s="1" t="s">
        <v>875</v>
      </c>
      <c r="E64" s="1" t="s">
        <v>898</v>
      </c>
      <c r="F64" s="1" t="s">
        <v>278</v>
      </c>
      <c r="G64" s="1" t="s">
        <v>883</v>
      </c>
      <c r="H64" s="1" t="s">
        <v>987</v>
      </c>
      <c r="I64" s="1" t="s">
        <v>905</v>
      </c>
      <c r="J64" s="1" t="s">
        <v>158</v>
      </c>
      <c r="K64" s="1" t="s">
        <v>1103</v>
      </c>
      <c r="L64" s="1" t="s">
        <v>1103</v>
      </c>
      <c r="M64" s="1" t="s">
        <v>147</v>
      </c>
      <c r="N64" s="1" t="s">
        <v>147</v>
      </c>
      <c r="O64" s="1" t="s">
        <v>147</v>
      </c>
      <c r="P64" s="5">
        <v>43754</v>
      </c>
      <c r="Q64" s="5">
        <v>43754</v>
      </c>
      <c r="R64" s="5">
        <v>43757</v>
      </c>
      <c r="S64" s="5">
        <v>43757</v>
      </c>
      <c r="T64" s="5">
        <v>43760</v>
      </c>
      <c r="U64" s="7">
        <v>43761.539386574077</v>
      </c>
      <c r="V64" s="4">
        <v>2</v>
      </c>
      <c r="W64" s="6">
        <v>40572</v>
      </c>
      <c r="X64" s="1" t="s">
        <v>983</v>
      </c>
      <c r="Y64" s="1" t="s">
        <v>1298</v>
      </c>
      <c r="Z64" s="1" t="s">
        <v>1298</v>
      </c>
      <c r="AA64" s="1" t="s">
        <v>1298</v>
      </c>
      <c r="AB64" s="1" t="s">
        <v>540</v>
      </c>
      <c r="AC64" s="1" t="s">
        <v>1202</v>
      </c>
      <c r="AD64" s="1" t="s">
        <v>704</v>
      </c>
      <c r="AE64" s="1" t="s">
        <v>987</v>
      </c>
      <c r="AF64" s="6">
        <v>22771.5</v>
      </c>
      <c r="AG64" s="1" t="s">
        <v>1298</v>
      </c>
      <c r="AH64" s="1" t="s">
        <v>1141</v>
      </c>
      <c r="AI64" s="6">
        <v>17800.5</v>
      </c>
      <c r="AJ64" s="6">
        <v>0.43873853889381842</v>
      </c>
      <c r="AK64" s="1" t="s">
        <v>1173</v>
      </c>
      <c r="AL64" s="1" t="s">
        <v>411</v>
      </c>
      <c r="AM64" s="1" t="s">
        <v>599</v>
      </c>
      <c r="AN64" s="1"/>
      <c r="AO64" s="6">
        <v>600</v>
      </c>
      <c r="AP64" s="6">
        <v>1.4788524105294291E-2</v>
      </c>
      <c r="AQ64" s="2" t="str">
        <f>HYPERLINK("https://auction.openprocurement.org/tenders/6a1c332c992b480482fc3d0a42f120e7")</f>
        <v>https://auction.openprocurement.org/tenders/6a1c332c992b480482fc3d0a42f120e7</v>
      </c>
      <c r="AR64" s="7">
        <v>43763.776113897591</v>
      </c>
      <c r="AS64" s="5">
        <v>43767</v>
      </c>
      <c r="AT64" s="5">
        <v>43787</v>
      </c>
      <c r="AU64" s="1" t="s">
        <v>1287</v>
      </c>
      <c r="AV64" s="7">
        <v>43770.63608814781</v>
      </c>
      <c r="AW64" s="1" t="s">
        <v>494</v>
      </c>
      <c r="AX64" s="6">
        <v>39972</v>
      </c>
      <c r="AY64" s="1"/>
      <c r="AZ64" s="5">
        <v>43830</v>
      </c>
      <c r="BA64" s="7">
        <v>43830</v>
      </c>
      <c r="BB64" s="1" t="s">
        <v>1310</v>
      </c>
      <c r="BC64" s="1"/>
      <c r="BD64" s="1"/>
    </row>
    <row r="65" spans="1:56" hidden="1" x14ac:dyDescent="0.25">
      <c r="A65" s="4">
        <v>60</v>
      </c>
      <c r="B65" s="2" t="str">
        <f>HYPERLINK("https://my.zakupki.prom.ua/remote/dispatcher/state_purchase_view/13070352", "UA-2019-10-11-002812-b")</f>
        <v>UA-2019-10-11-002812-b</v>
      </c>
      <c r="C65" s="2" t="s">
        <v>983</v>
      </c>
      <c r="D65" s="1" t="s">
        <v>954</v>
      </c>
      <c r="E65" s="1" t="s">
        <v>688</v>
      </c>
      <c r="F65" s="1" t="s">
        <v>355</v>
      </c>
      <c r="G65" s="1" t="s">
        <v>883</v>
      </c>
      <c r="H65" s="1" t="s">
        <v>987</v>
      </c>
      <c r="I65" s="1" t="s">
        <v>905</v>
      </c>
      <c r="J65" s="1" t="s">
        <v>158</v>
      </c>
      <c r="K65" s="1" t="s">
        <v>1103</v>
      </c>
      <c r="L65" s="1" t="s">
        <v>1103</v>
      </c>
      <c r="M65" s="1" t="s">
        <v>147</v>
      </c>
      <c r="N65" s="1" t="s">
        <v>147</v>
      </c>
      <c r="O65" s="1" t="s">
        <v>147</v>
      </c>
      <c r="P65" s="5">
        <v>43749</v>
      </c>
      <c r="Q65" s="5">
        <v>43749</v>
      </c>
      <c r="R65" s="5">
        <v>43753</v>
      </c>
      <c r="S65" s="5">
        <v>43753</v>
      </c>
      <c r="T65" s="5">
        <v>43756</v>
      </c>
      <c r="U65" s="1" t="s">
        <v>1285</v>
      </c>
      <c r="V65" s="4">
        <v>1</v>
      </c>
      <c r="W65" s="6">
        <v>43100</v>
      </c>
      <c r="X65" s="1" t="s">
        <v>983</v>
      </c>
      <c r="Y65" s="1" t="s">
        <v>1298</v>
      </c>
      <c r="Z65" s="1" t="s">
        <v>1298</v>
      </c>
      <c r="AA65" s="1" t="s">
        <v>1298</v>
      </c>
      <c r="AB65" s="1" t="s">
        <v>540</v>
      </c>
      <c r="AC65" s="1" t="s">
        <v>1202</v>
      </c>
      <c r="AD65" s="1" t="s">
        <v>704</v>
      </c>
      <c r="AE65" s="1" t="s">
        <v>987</v>
      </c>
      <c r="AF65" s="6">
        <v>43075.78</v>
      </c>
      <c r="AG65" s="1" t="s">
        <v>1298</v>
      </c>
      <c r="AH65" s="1" t="s">
        <v>1227</v>
      </c>
      <c r="AI65" s="6">
        <v>24.220000000001164</v>
      </c>
      <c r="AJ65" s="6">
        <v>5.619489559165003E-4</v>
      </c>
      <c r="AK65" s="1" t="s">
        <v>1227</v>
      </c>
      <c r="AL65" s="1" t="s">
        <v>389</v>
      </c>
      <c r="AM65" s="1" t="s">
        <v>631</v>
      </c>
      <c r="AN65" s="1" t="s">
        <v>123</v>
      </c>
      <c r="AO65" s="6">
        <v>24.220000000001164</v>
      </c>
      <c r="AP65" s="6">
        <v>5.619489559165003E-4</v>
      </c>
      <c r="AQ65" s="2"/>
      <c r="AR65" s="7">
        <v>43759.577567964145</v>
      </c>
      <c r="AS65" s="5">
        <v>43761</v>
      </c>
      <c r="AT65" s="5">
        <v>43783</v>
      </c>
      <c r="AU65" s="1" t="s">
        <v>1287</v>
      </c>
      <c r="AV65" s="7">
        <v>43763.601202488186</v>
      </c>
      <c r="AW65" s="1" t="s">
        <v>493</v>
      </c>
      <c r="AX65" s="6">
        <v>43075.78</v>
      </c>
      <c r="AY65" s="1"/>
      <c r="AZ65" s="5">
        <v>43830</v>
      </c>
      <c r="BA65" s="7">
        <v>43830</v>
      </c>
      <c r="BB65" s="1" t="s">
        <v>1310</v>
      </c>
      <c r="BC65" s="1"/>
      <c r="BD65" s="1"/>
    </row>
    <row r="66" spans="1:56" x14ac:dyDescent="0.25">
      <c r="A66" s="4">
        <v>61</v>
      </c>
      <c r="B66" s="2" t="str">
        <f>HYPERLINK("https://my.zakupki.prom.ua/remote/dispatcher/state_purchase_view/13117561", "UA-2019-10-10-002940-b")</f>
        <v>UA-2019-10-10-002940-b</v>
      </c>
      <c r="C66" s="2" t="s">
        <v>983</v>
      </c>
      <c r="D66" s="1" t="s">
        <v>1059</v>
      </c>
      <c r="E66" s="1" t="s">
        <v>1059</v>
      </c>
      <c r="F66" s="1" t="s">
        <v>460</v>
      </c>
      <c r="G66" s="1" t="s">
        <v>702</v>
      </c>
      <c r="H66" s="1" t="s">
        <v>1202</v>
      </c>
      <c r="I66" s="1" t="s">
        <v>905</v>
      </c>
      <c r="J66" s="1" t="s">
        <v>158</v>
      </c>
      <c r="K66" s="1" t="s">
        <v>1103</v>
      </c>
      <c r="L66" s="1" t="s">
        <v>1103</v>
      </c>
      <c r="M66" s="1" t="s">
        <v>147</v>
      </c>
      <c r="N66" s="1" t="s">
        <v>147</v>
      </c>
      <c r="O66" s="1" t="s">
        <v>176</v>
      </c>
      <c r="P66" s="5">
        <v>43748</v>
      </c>
      <c r="Q66" s="5">
        <v>43748</v>
      </c>
      <c r="R66" s="5">
        <v>43753</v>
      </c>
      <c r="S66" s="5">
        <v>43748</v>
      </c>
      <c r="T66" s="5">
        <v>43763</v>
      </c>
      <c r="U66" s="7">
        <v>43766.604675925926</v>
      </c>
      <c r="V66" s="4">
        <v>4</v>
      </c>
      <c r="W66" s="6">
        <v>410680</v>
      </c>
      <c r="X66" s="1" t="s">
        <v>983</v>
      </c>
      <c r="Y66" s="4">
        <v>1</v>
      </c>
      <c r="Z66" s="6">
        <v>410680</v>
      </c>
      <c r="AA66" s="1" t="s">
        <v>1307</v>
      </c>
      <c r="AB66" s="1" t="s">
        <v>540</v>
      </c>
      <c r="AC66" s="1" t="s">
        <v>1202</v>
      </c>
      <c r="AD66" s="1" t="s">
        <v>704</v>
      </c>
      <c r="AE66" s="1" t="s">
        <v>987</v>
      </c>
      <c r="AF66" s="6">
        <v>300000</v>
      </c>
      <c r="AG66" s="6">
        <v>300000</v>
      </c>
      <c r="AH66" s="1" t="s">
        <v>1140</v>
      </c>
      <c r="AI66" s="6">
        <v>110680</v>
      </c>
      <c r="AJ66" s="6">
        <v>0.26950423687542613</v>
      </c>
      <c r="AK66" s="1" t="s">
        <v>1148</v>
      </c>
      <c r="AL66" s="1" t="s">
        <v>443</v>
      </c>
      <c r="AM66" s="1" t="s">
        <v>589</v>
      </c>
      <c r="AN66" s="1" t="s">
        <v>94</v>
      </c>
      <c r="AO66" s="6">
        <v>380</v>
      </c>
      <c r="AP66" s="6">
        <v>9.252946332911269E-4</v>
      </c>
      <c r="AQ66" s="2" t="str">
        <f>HYPERLINK("https://auction.openprocurement.org/tenders/14b863ff7ccc4e7ebb989d74dd0265e2")</f>
        <v>https://auction.openprocurement.org/tenders/14b863ff7ccc4e7ebb989d74dd0265e2</v>
      </c>
      <c r="AR66" s="7">
        <v>43775.592274028219</v>
      </c>
      <c r="AS66" s="5">
        <v>43786</v>
      </c>
      <c r="AT66" s="5">
        <v>43796</v>
      </c>
      <c r="AU66" s="1" t="s">
        <v>1287</v>
      </c>
      <c r="AV66" s="7">
        <v>43794.599945114998</v>
      </c>
      <c r="AW66" s="1" t="s">
        <v>499</v>
      </c>
      <c r="AX66" s="6">
        <v>410300</v>
      </c>
      <c r="AY66" s="1"/>
      <c r="AZ66" s="5">
        <v>43830</v>
      </c>
      <c r="BA66" s="7">
        <v>43830</v>
      </c>
      <c r="BB66" s="1" t="s">
        <v>1310</v>
      </c>
      <c r="BC66" s="1"/>
      <c r="BD66" s="1"/>
    </row>
    <row r="67" spans="1:56" x14ac:dyDescent="0.25">
      <c r="A67" s="4">
        <v>62</v>
      </c>
      <c r="B67" s="2" t="str">
        <f>HYPERLINK("https://my.zakupki.prom.ua/remote/dispatcher/state_purchase_view/13103911", "UA-2019-10-08-002361-b")</f>
        <v>UA-2019-10-08-002361-b</v>
      </c>
      <c r="C67" s="2" t="s">
        <v>983</v>
      </c>
      <c r="D67" s="1" t="s">
        <v>884</v>
      </c>
      <c r="E67" s="1" t="s">
        <v>911</v>
      </c>
      <c r="F67" s="1" t="s">
        <v>378</v>
      </c>
      <c r="G67" s="1" t="s">
        <v>702</v>
      </c>
      <c r="H67" s="1" t="s">
        <v>1202</v>
      </c>
      <c r="I67" s="1" t="s">
        <v>905</v>
      </c>
      <c r="J67" s="1" t="s">
        <v>158</v>
      </c>
      <c r="K67" s="1" t="s">
        <v>1103</v>
      </c>
      <c r="L67" s="1" t="s">
        <v>1103</v>
      </c>
      <c r="M67" s="1" t="s">
        <v>147</v>
      </c>
      <c r="N67" s="1" t="s">
        <v>147</v>
      </c>
      <c r="O67" s="1" t="s">
        <v>147</v>
      </c>
      <c r="P67" s="5">
        <v>43746</v>
      </c>
      <c r="Q67" s="5">
        <v>43746</v>
      </c>
      <c r="R67" s="5">
        <v>43751</v>
      </c>
      <c r="S67" s="5">
        <v>43746</v>
      </c>
      <c r="T67" s="5">
        <v>43761</v>
      </c>
      <c r="U67" s="7">
        <v>43762.662523148145</v>
      </c>
      <c r="V67" s="4">
        <v>3</v>
      </c>
      <c r="W67" s="6">
        <v>9600</v>
      </c>
      <c r="X67" s="1" t="s">
        <v>983</v>
      </c>
      <c r="Y67" s="1" t="s">
        <v>1298</v>
      </c>
      <c r="Z67" s="1" t="s">
        <v>1298</v>
      </c>
      <c r="AA67" s="1" t="s">
        <v>1298</v>
      </c>
      <c r="AB67" s="1" t="s">
        <v>540</v>
      </c>
      <c r="AC67" s="1" t="s">
        <v>1202</v>
      </c>
      <c r="AD67" s="1" t="s">
        <v>704</v>
      </c>
      <c r="AE67" s="1" t="s">
        <v>987</v>
      </c>
      <c r="AF67" s="6">
        <v>7459</v>
      </c>
      <c r="AG67" s="1" t="s">
        <v>1298</v>
      </c>
      <c r="AH67" s="1" t="s">
        <v>1250</v>
      </c>
      <c r="AI67" s="6">
        <v>2141</v>
      </c>
      <c r="AJ67" s="6">
        <v>0.22302083333333333</v>
      </c>
      <c r="AK67" s="1" t="s">
        <v>1257</v>
      </c>
      <c r="AL67" s="1" t="s">
        <v>393</v>
      </c>
      <c r="AM67" s="1" t="s">
        <v>632</v>
      </c>
      <c r="AN67" s="1" t="s">
        <v>110</v>
      </c>
      <c r="AO67" s="6">
        <v>2140</v>
      </c>
      <c r="AP67" s="6">
        <v>0.22291666666666668</v>
      </c>
      <c r="AQ67" s="2" t="str">
        <f>HYPERLINK("https://auction.openprocurement.org/tenders/d6b2ee5e44bc445bb696a01b0ac8dd4c")</f>
        <v>https://auction.openprocurement.org/tenders/d6b2ee5e44bc445bb696a01b0ac8dd4c</v>
      </c>
      <c r="AR67" s="7">
        <v>43763.780589578113</v>
      </c>
      <c r="AS67" s="5">
        <v>43774</v>
      </c>
      <c r="AT67" s="5">
        <v>43784</v>
      </c>
      <c r="AU67" s="1" t="s">
        <v>1287</v>
      </c>
      <c r="AV67" s="7">
        <v>43775.639811291148</v>
      </c>
      <c r="AW67" s="1" t="s">
        <v>496</v>
      </c>
      <c r="AX67" s="6">
        <v>7460</v>
      </c>
      <c r="AY67" s="1"/>
      <c r="AZ67" s="5">
        <v>43830</v>
      </c>
      <c r="BA67" s="7">
        <v>43830</v>
      </c>
      <c r="BB67" s="1" t="s">
        <v>1310</v>
      </c>
      <c r="BC67" s="1"/>
      <c r="BD67" s="1"/>
    </row>
    <row r="68" spans="1:56" x14ac:dyDescent="0.25">
      <c r="A68" s="4">
        <v>63</v>
      </c>
      <c r="B68" s="2" t="str">
        <f>HYPERLINK("https://my.zakupki.prom.ua/remote/dispatcher/state_purchase_view/13103172", "UA-2019-10-08-002200-b")</f>
        <v>UA-2019-10-08-002200-b</v>
      </c>
      <c r="C68" s="2" t="s">
        <v>983</v>
      </c>
      <c r="D68" s="1" t="s">
        <v>934</v>
      </c>
      <c r="E68" s="1" t="s">
        <v>1082</v>
      </c>
      <c r="F68" s="1" t="s">
        <v>378</v>
      </c>
      <c r="G68" s="1" t="s">
        <v>702</v>
      </c>
      <c r="H68" s="1" t="s">
        <v>1202</v>
      </c>
      <c r="I68" s="1" t="s">
        <v>905</v>
      </c>
      <c r="J68" s="1" t="s">
        <v>158</v>
      </c>
      <c r="K68" s="1" t="s">
        <v>1103</v>
      </c>
      <c r="L68" s="1" t="s">
        <v>1103</v>
      </c>
      <c r="M68" s="1" t="s">
        <v>147</v>
      </c>
      <c r="N68" s="1" t="s">
        <v>147</v>
      </c>
      <c r="O68" s="1" t="s">
        <v>147</v>
      </c>
      <c r="P68" s="5">
        <v>43746</v>
      </c>
      <c r="Q68" s="5">
        <v>43746</v>
      </c>
      <c r="R68" s="5">
        <v>43751</v>
      </c>
      <c r="S68" s="5">
        <v>43746</v>
      </c>
      <c r="T68" s="5">
        <v>43761</v>
      </c>
      <c r="U68" s="7">
        <v>43762.618379629632</v>
      </c>
      <c r="V68" s="4">
        <v>2</v>
      </c>
      <c r="W68" s="6">
        <v>13120</v>
      </c>
      <c r="X68" s="1" t="s">
        <v>983</v>
      </c>
      <c r="Y68" s="1" t="s">
        <v>1298</v>
      </c>
      <c r="Z68" s="1" t="s">
        <v>1298</v>
      </c>
      <c r="AA68" s="1" t="s">
        <v>1298</v>
      </c>
      <c r="AB68" s="1" t="s">
        <v>540</v>
      </c>
      <c r="AC68" s="1" t="s">
        <v>1202</v>
      </c>
      <c r="AD68" s="1" t="s">
        <v>704</v>
      </c>
      <c r="AE68" s="1" t="s">
        <v>987</v>
      </c>
      <c r="AF68" s="6">
        <v>12400</v>
      </c>
      <c r="AG68" s="1" t="s">
        <v>1298</v>
      </c>
      <c r="AH68" s="1" t="s">
        <v>1249</v>
      </c>
      <c r="AI68" s="6">
        <v>720</v>
      </c>
      <c r="AJ68" s="6">
        <v>5.4878048780487805E-2</v>
      </c>
      <c r="AK68" s="1" t="s">
        <v>1249</v>
      </c>
      <c r="AL68" s="1" t="s">
        <v>313</v>
      </c>
      <c r="AM68" s="1" t="s">
        <v>545</v>
      </c>
      <c r="AN68" s="1" t="s">
        <v>85</v>
      </c>
      <c r="AO68" s="6">
        <v>720</v>
      </c>
      <c r="AP68" s="6">
        <v>5.4878048780487805E-2</v>
      </c>
      <c r="AQ68" s="2" t="str">
        <f>HYPERLINK("https://auction.openprocurement.org/tenders/55f105a1c2b94f8f9492323876261904")</f>
        <v>https://auction.openprocurement.org/tenders/55f105a1c2b94f8f9492323876261904</v>
      </c>
      <c r="AR68" s="7">
        <v>43763.744290846866</v>
      </c>
      <c r="AS68" s="5">
        <v>43774</v>
      </c>
      <c r="AT68" s="5">
        <v>43784</v>
      </c>
      <c r="AU68" s="1" t="s">
        <v>1287</v>
      </c>
      <c r="AV68" s="7">
        <v>43775.643980400251</v>
      </c>
      <c r="AW68" s="1" t="s">
        <v>495</v>
      </c>
      <c r="AX68" s="6">
        <v>12400</v>
      </c>
      <c r="AY68" s="1"/>
      <c r="AZ68" s="5">
        <v>43830</v>
      </c>
      <c r="BA68" s="7">
        <v>43830</v>
      </c>
      <c r="BB68" s="1" t="s">
        <v>1310</v>
      </c>
      <c r="BC68" s="1"/>
      <c r="BD68" s="1"/>
    </row>
    <row r="69" spans="1:56" hidden="1" x14ac:dyDescent="0.25">
      <c r="A69" s="4">
        <v>64</v>
      </c>
      <c r="B69" s="2" t="str">
        <f>HYPERLINK("https://my.zakupki.prom.ua/remote/dispatcher/state_purchase_view/13070575", "UA-2019-10-07-001525-b")</f>
        <v>UA-2019-10-07-001525-b</v>
      </c>
      <c r="C69" s="2" t="s">
        <v>983</v>
      </c>
      <c r="D69" s="1" t="s">
        <v>1044</v>
      </c>
      <c r="E69" s="1" t="s">
        <v>1033</v>
      </c>
      <c r="F69" s="1" t="s">
        <v>283</v>
      </c>
      <c r="G69" s="1" t="s">
        <v>883</v>
      </c>
      <c r="H69" s="1" t="s">
        <v>987</v>
      </c>
      <c r="I69" s="1" t="s">
        <v>905</v>
      </c>
      <c r="J69" s="1" t="s">
        <v>158</v>
      </c>
      <c r="K69" s="1" t="s">
        <v>1103</v>
      </c>
      <c r="L69" s="1" t="s">
        <v>1103</v>
      </c>
      <c r="M69" s="1" t="s">
        <v>147</v>
      </c>
      <c r="N69" s="1" t="s">
        <v>147</v>
      </c>
      <c r="O69" s="1" t="s">
        <v>147</v>
      </c>
      <c r="P69" s="5">
        <v>43745</v>
      </c>
      <c r="Q69" s="5">
        <v>43745</v>
      </c>
      <c r="R69" s="5">
        <v>43748</v>
      </c>
      <c r="S69" s="5">
        <v>43748</v>
      </c>
      <c r="T69" s="5">
        <v>43752</v>
      </c>
      <c r="U69" s="7">
        <v>43753.498622685183</v>
      </c>
      <c r="V69" s="4">
        <v>2</v>
      </c>
      <c r="W69" s="6">
        <v>28800</v>
      </c>
      <c r="X69" s="1" t="s">
        <v>983</v>
      </c>
      <c r="Y69" s="1" t="s">
        <v>1298</v>
      </c>
      <c r="Z69" s="1" t="s">
        <v>1298</v>
      </c>
      <c r="AA69" s="1" t="s">
        <v>1298</v>
      </c>
      <c r="AB69" s="1" t="s">
        <v>540</v>
      </c>
      <c r="AC69" s="1" t="s">
        <v>1202</v>
      </c>
      <c r="AD69" s="1" t="s">
        <v>704</v>
      </c>
      <c r="AE69" s="1" t="s">
        <v>987</v>
      </c>
      <c r="AF69" s="6">
        <v>23565.68</v>
      </c>
      <c r="AG69" s="1" t="s">
        <v>1298</v>
      </c>
      <c r="AH69" s="1" t="s">
        <v>1157</v>
      </c>
      <c r="AI69" s="6">
        <v>5234.32</v>
      </c>
      <c r="AJ69" s="6">
        <v>0.1817472222222222</v>
      </c>
      <c r="AK69" s="1" t="s">
        <v>1157</v>
      </c>
      <c r="AL69" s="1" t="s">
        <v>453</v>
      </c>
      <c r="AM69" s="1" t="s">
        <v>613</v>
      </c>
      <c r="AN69" s="1" t="s">
        <v>97</v>
      </c>
      <c r="AO69" s="6">
        <v>5234.32</v>
      </c>
      <c r="AP69" s="6">
        <v>0.1817472222222222</v>
      </c>
      <c r="AQ69" s="2" t="str">
        <f>HYPERLINK("https://auction.openprocurement.org/tenders/7d7f3bf869314823834b894910b11be8")</f>
        <v>https://auction.openprocurement.org/tenders/7d7f3bf869314823834b894910b11be8</v>
      </c>
      <c r="AR69" s="7">
        <v>43753.635601837203</v>
      </c>
      <c r="AS69" s="5">
        <v>43755</v>
      </c>
      <c r="AT69" s="5">
        <v>43778</v>
      </c>
      <c r="AU69" s="1" t="s">
        <v>1287</v>
      </c>
      <c r="AV69" s="7">
        <v>43760.686210324071</v>
      </c>
      <c r="AW69" s="1" t="s">
        <v>492</v>
      </c>
      <c r="AX69" s="6">
        <v>23565.68</v>
      </c>
      <c r="AY69" s="1"/>
      <c r="AZ69" s="5">
        <v>43830</v>
      </c>
      <c r="BA69" s="7">
        <v>43830</v>
      </c>
      <c r="BB69" s="1" t="s">
        <v>1310</v>
      </c>
      <c r="BC69" s="1"/>
      <c r="BD69" s="1"/>
    </row>
    <row r="70" spans="1:56" hidden="1" x14ac:dyDescent="0.25">
      <c r="A70" s="4">
        <v>65</v>
      </c>
      <c r="B70" s="2" t="str">
        <f>HYPERLINK("https://my.zakupki.prom.ua/remote/dispatcher/state_purchase_view/13055879", "UA-2019-10-07-001397-b")</f>
        <v>UA-2019-10-07-001397-b</v>
      </c>
      <c r="C70" s="2" t="s">
        <v>983</v>
      </c>
      <c r="D70" s="1" t="s">
        <v>1272</v>
      </c>
      <c r="E70" s="1" t="s">
        <v>1122</v>
      </c>
      <c r="F70" s="1" t="s">
        <v>375</v>
      </c>
      <c r="G70" s="1" t="s">
        <v>883</v>
      </c>
      <c r="H70" s="1" t="s">
        <v>987</v>
      </c>
      <c r="I70" s="1" t="s">
        <v>905</v>
      </c>
      <c r="J70" s="1" t="s">
        <v>158</v>
      </c>
      <c r="K70" s="1" t="s">
        <v>1103</v>
      </c>
      <c r="L70" s="1" t="s">
        <v>1103</v>
      </c>
      <c r="M70" s="1" t="s">
        <v>147</v>
      </c>
      <c r="N70" s="1" t="s">
        <v>147</v>
      </c>
      <c r="O70" s="1" t="s">
        <v>147</v>
      </c>
      <c r="P70" s="5">
        <v>43745</v>
      </c>
      <c r="Q70" s="5">
        <v>43745</v>
      </c>
      <c r="R70" s="5">
        <v>43748</v>
      </c>
      <c r="S70" s="5">
        <v>43748</v>
      </c>
      <c r="T70" s="5">
        <v>43752</v>
      </c>
      <c r="U70" s="1" t="s">
        <v>1285</v>
      </c>
      <c r="V70" s="4">
        <v>1</v>
      </c>
      <c r="W70" s="6">
        <v>11350</v>
      </c>
      <c r="X70" s="1" t="s">
        <v>983</v>
      </c>
      <c r="Y70" s="1" t="s">
        <v>1298</v>
      </c>
      <c r="Z70" s="1" t="s">
        <v>1298</v>
      </c>
      <c r="AA70" s="1" t="s">
        <v>1298</v>
      </c>
      <c r="AB70" s="1" t="s">
        <v>540</v>
      </c>
      <c r="AC70" s="1" t="s">
        <v>1202</v>
      </c>
      <c r="AD70" s="1" t="s">
        <v>704</v>
      </c>
      <c r="AE70" s="1" t="s">
        <v>987</v>
      </c>
      <c r="AF70" s="6">
        <v>10365.83</v>
      </c>
      <c r="AG70" s="1" t="s">
        <v>1298</v>
      </c>
      <c r="AH70" s="1" t="s">
        <v>1145</v>
      </c>
      <c r="AI70" s="6">
        <v>984.17000000000007</v>
      </c>
      <c r="AJ70" s="6">
        <v>8.6711013215859042E-2</v>
      </c>
      <c r="AK70" s="1" t="s">
        <v>1145</v>
      </c>
      <c r="AL70" s="1" t="s">
        <v>440</v>
      </c>
      <c r="AM70" s="1" t="s">
        <v>578</v>
      </c>
      <c r="AN70" s="1" t="s">
        <v>111</v>
      </c>
      <c r="AO70" s="6">
        <v>984.17000000000007</v>
      </c>
      <c r="AP70" s="6">
        <v>8.6711013215859042E-2</v>
      </c>
      <c r="AQ70" s="2"/>
      <c r="AR70" s="7">
        <v>43753.639056801367</v>
      </c>
      <c r="AS70" s="5">
        <v>43755</v>
      </c>
      <c r="AT70" s="5">
        <v>43778</v>
      </c>
      <c r="AU70" s="1" t="s">
        <v>1287</v>
      </c>
      <c r="AV70" s="7">
        <v>43756.373711304754</v>
      </c>
      <c r="AW70" s="1" t="s">
        <v>487</v>
      </c>
      <c r="AX70" s="6">
        <v>10365.83</v>
      </c>
      <c r="AY70" s="1"/>
      <c r="AZ70" s="5">
        <v>43830</v>
      </c>
      <c r="BA70" s="7">
        <v>43830</v>
      </c>
      <c r="BB70" s="1" t="s">
        <v>1310</v>
      </c>
      <c r="BC70" s="1"/>
      <c r="BD70" s="1"/>
    </row>
    <row r="71" spans="1:56" hidden="1" x14ac:dyDescent="0.25">
      <c r="A71" s="4">
        <v>66</v>
      </c>
      <c r="B71" s="2" t="str">
        <f>HYPERLINK("https://my.zakupki.prom.ua/remote/dispatcher/state_purchase_view/13028198", "UA-2019-10-01-001327-b")</f>
        <v>UA-2019-10-01-001327-b</v>
      </c>
      <c r="C71" s="2" t="s">
        <v>983</v>
      </c>
      <c r="D71" s="1" t="s">
        <v>682</v>
      </c>
      <c r="E71" s="1" t="s">
        <v>682</v>
      </c>
      <c r="F71" s="1" t="s">
        <v>375</v>
      </c>
      <c r="G71" s="1" t="s">
        <v>883</v>
      </c>
      <c r="H71" s="1" t="s">
        <v>987</v>
      </c>
      <c r="I71" s="1" t="s">
        <v>905</v>
      </c>
      <c r="J71" s="1" t="s">
        <v>158</v>
      </c>
      <c r="K71" s="1" t="s">
        <v>1103</v>
      </c>
      <c r="L71" s="1" t="s">
        <v>1103</v>
      </c>
      <c r="M71" s="1" t="s">
        <v>147</v>
      </c>
      <c r="N71" s="1" t="s">
        <v>147</v>
      </c>
      <c r="O71" s="1" t="s">
        <v>147</v>
      </c>
      <c r="P71" s="5">
        <v>43739</v>
      </c>
      <c r="Q71" s="5">
        <v>43739</v>
      </c>
      <c r="R71" s="5">
        <v>43742</v>
      </c>
      <c r="S71" s="5">
        <v>43742</v>
      </c>
      <c r="T71" s="5">
        <v>43747</v>
      </c>
      <c r="U71" s="1" t="s">
        <v>1285</v>
      </c>
      <c r="V71" s="4">
        <v>1</v>
      </c>
      <c r="W71" s="6">
        <v>5200</v>
      </c>
      <c r="X71" s="1" t="s">
        <v>983</v>
      </c>
      <c r="Y71" s="4">
        <v>20</v>
      </c>
      <c r="Z71" s="6">
        <v>260</v>
      </c>
      <c r="AA71" s="1" t="s">
        <v>1315</v>
      </c>
      <c r="AB71" s="1" t="s">
        <v>540</v>
      </c>
      <c r="AC71" s="1" t="s">
        <v>1202</v>
      </c>
      <c r="AD71" s="1" t="s">
        <v>704</v>
      </c>
      <c r="AE71" s="1" t="s">
        <v>987</v>
      </c>
      <c r="AF71" s="6">
        <v>4875.2</v>
      </c>
      <c r="AG71" s="6">
        <v>243.76</v>
      </c>
      <c r="AH71" s="1" t="s">
        <v>1145</v>
      </c>
      <c r="AI71" s="6">
        <v>324.80000000000018</v>
      </c>
      <c r="AJ71" s="6">
        <v>6.2461538461538499E-2</v>
      </c>
      <c r="AK71" s="1" t="s">
        <v>1145</v>
      </c>
      <c r="AL71" s="1" t="s">
        <v>440</v>
      </c>
      <c r="AM71" s="1" t="s">
        <v>578</v>
      </c>
      <c r="AN71" s="1" t="s">
        <v>111</v>
      </c>
      <c r="AO71" s="6">
        <v>324.80000000000018</v>
      </c>
      <c r="AP71" s="6">
        <v>6.2461538461538499E-2</v>
      </c>
      <c r="AQ71" s="2"/>
      <c r="AR71" s="7">
        <v>43748.657903142375</v>
      </c>
      <c r="AS71" s="5">
        <v>43753</v>
      </c>
      <c r="AT71" s="5">
        <v>43772</v>
      </c>
      <c r="AU71" s="1" t="s">
        <v>1287</v>
      </c>
      <c r="AV71" s="7">
        <v>43754.423373852951</v>
      </c>
      <c r="AW71" s="1" t="s">
        <v>486</v>
      </c>
      <c r="AX71" s="6">
        <v>4875.2</v>
      </c>
      <c r="AY71" s="1"/>
      <c r="AZ71" s="5">
        <v>43830</v>
      </c>
      <c r="BA71" s="7">
        <v>43830</v>
      </c>
      <c r="BB71" s="1" t="s">
        <v>1310</v>
      </c>
      <c r="BC71" s="1"/>
      <c r="BD71" s="1"/>
    </row>
    <row r="72" spans="1:56" x14ac:dyDescent="0.25">
      <c r="A72" s="4">
        <v>67</v>
      </c>
      <c r="B72" s="2" t="str">
        <f>HYPERLINK("https://my.zakupki.prom.ua/remote/dispatcher/state_purchase_view/12814487", "UA-2019-09-13-002463-b")</f>
        <v>UA-2019-09-13-002463-b</v>
      </c>
      <c r="C72" s="2" t="str">
        <f>HYPERLINK("https://my.zakupki.prom.ua/remote/dispatcher/state_purchase_lot_view/472651", "UA-2019-09-13-002463-b-L1")</f>
        <v>UA-2019-09-13-002463-b-L1</v>
      </c>
      <c r="D72" s="1" t="s">
        <v>641</v>
      </c>
      <c r="E72" s="1" t="s">
        <v>530</v>
      </c>
      <c r="F72" s="1" t="s">
        <v>378</v>
      </c>
      <c r="G72" s="1" t="s">
        <v>702</v>
      </c>
      <c r="H72" s="1" t="s">
        <v>1202</v>
      </c>
      <c r="I72" s="1" t="s">
        <v>905</v>
      </c>
      <c r="J72" s="1" t="s">
        <v>158</v>
      </c>
      <c r="K72" s="1" t="s">
        <v>1103</v>
      </c>
      <c r="L72" s="1" t="s">
        <v>1103</v>
      </c>
      <c r="M72" s="1" t="s">
        <v>149</v>
      </c>
      <c r="N72" s="1" t="s">
        <v>148</v>
      </c>
      <c r="O72" s="1" t="s">
        <v>150</v>
      </c>
      <c r="P72" s="5">
        <v>43721</v>
      </c>
      <c r="Q72" s="5">
        <v>43721</v>
      </c>
      <c r="R72" s="5">
        <v>43727</v>
      </c>
      <c r="S72" s="5">
        <v>43721</v>
      </c>
      <c r="T72" s="5">
        <v>43737</v>
      </c>
      <c r="U72" s="7">
        <v>43738.466134259259</v>
      </c>
      <c r="V72" s="4">
        <v>2</v>
      </c>
      <c r="W72" s="6">
        <v>110000</v>
      </c>
      <c r="X72" s="6">
        <v>41580</v>
      </c>
      <c r="Y72" s="1" t="s">
        <v>1298</v>
      </c>
      <c r="Z72" s="1" t="s">
        <v>1298</v>
      </c>
      <c r="AA72" s="1" t="s">
        <v>1298</v>
      </c>
      <c r="AB72" s="1" t="s">
        <v>540</v>
      </c>
      <c r="AC72" s="1" t="s">
        <v>1202</v>
      </c>
      <c r="AD72" s="1" t="s">
        <v>704</v>
      </c>
      <c r="AE72" s="1" t="s">
        <v>987</v>
      </c>
      <c r="AF72" s="6">
        <v>41199.279999999999</v>
      </c>
      <c r="AG72" s="1" t="s">
        <v>1298</v>
      </c>
      <c r="AH72" s="1" t="s">
        <v>1154</v>
      </c>
      <c r="AI72" s="6">
        <v>380.72000000000116</v>
      </c>
      <c r="AJ72" s="6">
        <v>9.1563251563251836E-3</v>
      </c>
      <c r="AK72" s="1" t="s">
        <v>1154</v>
      </c>
      <c r="AL72" s="1" t="s">
        <v>454</v>
      </c>
      <c r="AM72" s="1" t="s">
        <v>559</v>
      </c>
      <c r="AN72" s="1" t="s">
        <v>120</v>
      </c>
      <c r="AO72" s="6">
        <v>380.72000000000116</v>
      </c>
      <c r="AP72" s="6">
        <v>9.1563251563251836E-3</v>
      </c>
      <c r="AQ72" s="2" t="str">
        <f>HYPERLINK("https://auction.openprocurement.org/tenders/dae38d3baa6544ecac2f0d528e9ac4ea_78b141f5bc2549eda9d36749e765baf6")</f>
        <v>https://auction.openprocurement.org/tenders/dae38d3baa6544ecac2f0d528e9ac4ea_78b141f5bc2549eda9d36749e765baf6</v>
      </c>
      <c r="AR72" s="7">
        <v>43742.696938339119</v>
      </c>
      <c r="AS72" s="5">
        <v>43753</v>
      </c>
      <c r="AT72" s="5">
        <v>43763</v>
      </c>
      <c r="AU72" s="1" t="s">
        <v>1287</v>
      </c>
      <c r="AV72" s="7">
        <v>43755.762132045726</v>
      </c>
      <c r="AW72" s="1" t="s">
        <v>489</v>
      </c>
      <c r="AX72" s="6">
        <v>41199.279999999999</v>
      </c>
      <c r="AY72" s="1"/>
      <c r="AZ72" s="5">
        <v>43830</v>
      </c>
      <c r="BA72" s="7">
        <v>43830</v>
      </c>
      <c r="BB72" s="1" t="s">
        <v>1310</v>
      </c>
      <c r="BC72" s="1"/>
      <c r="BD72" s="1"/>
    </row>
    <row r="73" spans="1:56" x14ac:dyDescent="0.25">
      <c r="A73" s="4">
        <v>68</v>
      </c>
      <c r="B73" s="2" t="str">
        <f>HYPERLINK("https://my.zakupki.prom.ua/remote/dispatcher/state_purchase_view/12814487", "UA-2019-09-13-002463-b")</f>
        <v>UA-2019-09-13-002463-b</v>
      </c>
      <c r="C73" s="2" t="str">
        <f>HYPERLINK("https://my.zakupki.prom.ua/remote/dispatcher/state_purchase_lot_view/472652", "UA-2019-09-13-002463-b-L2")</f>
        <v>UA-2019-09-13-002463-b-L2</v>
      </c>
      <c r="D73" s="1" t="s">
        <v>642</v>
      </c>
      <c r="E73" s="1" t="s">
        <v>659</v>
      </c>
      <c r="F73" s="1" t="s">
        <v>378</v>
      </c>
      <c r="G73" s="1" t="s">
        <v>702</v>
      </c>
      <c r="H73" s="1" t="s">
        <v>1202</v>
      </c>
      <c r="I73" s="1" t="s">
        <v>905</v>
      </c>
      <c r="J73" s="1" t="s">
        <v>158</v>
      </c>
      <c r="K73" s="1" t="s">
        <v>1103</v>
      </c>
      <c r="L73" s="1" t="s">
        <v>1103</v>
      </c>
      <c r="M73" s="1" t="s">
        <v>175</v>
      </c>
      <c r="N73" s="1" t="s">
        <v>148</v>
      </c>
      <c r="O73" s="1" t="s">
        <v>150</v>
      </c>
      <c r="P73" s="5">
        <v>43721</v>
      </c>
      <c r="Q73" s="5">
        <v>43721</v>
      </c>
      <c r="R73" s="5">
        <v>43727</v>
      </c>
      <c r="S73" s="5">
        <v>43721</v>
      </c>
      <c r="T73" s="5">
        <v>43737</v>
      </c>
      <c r="U73" s="7">
        <v>43738.491122685184</v>
      </c>
      <c r="V73" s="4">
        <v>2</v>
      </c>
      <c r="W73" s="6">
        <v>110000</v>
      </c>
      <c r="X73" s="6">
        <v>55300</v>
      </c>
      <c r="Y73" s="1" t="s">
        <v>1298</v>
      </c>
      <c r="Z73" s="1" t="s">
        <v>1298</v>
      </c>
      <c r="AA73" s="1" t="s">
        <v>1298</v>
      </c>
      <c r="AB73" s="1" t="s">
        <v>540</v>
      </c>
      <c r="AC73" s="1" t="s">
        <v>1202</v>
      </c>
      <c r="AD73" s="1" t="s">
        <v>704</v>
      </c>
      <c r="AE73" s="1" t="s">
        <v>987</v>
      </c>
      <c r="AF73" s="6">
        <v>31764.15</v>
      </c>
      <c r="AG73" s="1" t="s">
        <v>1298</v>
      </c>
      <c r="AH73" s="1" t="s">
        <v>1186</v>
      </c>
      <c r="AI73" s="6">
        <v>23535.85</v>
      </c>
      <c r="AJ73" s="6">
        <v>0.42560307414104881</v>
      </c>
      <c r="AK73" s="1" t="s">
        <v>1186</v>
      </c>
      <c r="AL73" s="1" t="s">
        <v>281</v>
      </c>
      <c r="AM73" s="1" t="s">
        <v>562</v>
      </c>
      <c r="AN73" s="1" t="s">
        <v>73</v>
      </c>
      <c r="AO73" s="6">
        <v>23535.85</v>
      </c>
      <c r="AP73" s="6">
        <v>0.42560307414104881</v>
      </c>
      <c r="AQ73" s="2" t="str">
        <f>HYPERLINK("https://auction.openprocurement.org/tenders/dae38d3baa6544ecac2f0d528e9ac4ea_ebb310a712294d7b8da3e02e15b36fb9")</f>
        <v>https://auction.openprocurement.org/tenders/dae38d3baa6544ecac2f0d528e9ac4ea_ebb310a712294d7b8da3e02e15b36fb9</v>
      </c>
      <c r="AR73" s="7">
        <v>43742.696938339119</v>
      </c>
      <c r="AS73" s="5">
        <v>43750</v>
      </c>
      <c r="AT73" s="5">
        <v>43760</v>
      </c>
      <c r="AU73" s="1" t="s">
        <v>1287</v>
      </c>
      <c r="AV73" s="7">
        <v>43753.473875732918</v>
      </c>
      <c r="AW73" s="1" t="s">
        <v>485</v>
      </c>
      <c r="AX73" s="6">
        <v>31764.15</v>
      </c>
      <c r="AY73" s="1"/>
      <c r="AZ73" s="5">
        <v>43830</v>
      </c>
      <c r="BA73" s="7">
        <v>43830</v>
      </c>
      <c r="BB73" s="1" t="s">
        <v>1310</v>
      </c>
      <c r="BC73" s="1"/>
      <c r="BD73" s="1"/>
    </row>
    <row r="74" spans="1:56" x14ac:dyDescent="0.25">
      <c r="A74" s="4">
        <v>69</v>
      </c>
      <c r="B74" s="2" t="str">
        <f>HYPERLINK("https://my.zakupki.prom.ua/remote/dispatcher/state_purchase_view/12814487", "UA-2019-09-13-002463-b")</f>
        <v>UA-2019-09-13-002463-b</v>
      </c>
      <c r="C74" s="2" t="str">
        <f>HYPERLINK("https://my.zakupki.prom.ua/remote/dispatcher/state_purchase_lot_view/472653", "UA-2019-09-13-002463-b-L3")</f>
        <v>UA-2019-09-13-002463-b-L3</v>
      </c>
      <c r="D74" s="1" t="s">
        <v>643</v>
      </c>
      <c r="E74" s="1" t="s">
        <v>1081</v>
      </c>
      <c r="F74" s="1" t="s">
        <v>378</v>
      </c>
      <c r="G74" s="1" t="s">
        <v>702</v>
      </c>
      <c r="H74" s="1" t="s">
        <v>1202</v>
      </c>
      <c r="I74" s="1" t="s">
        <v>905</v>
      </c>
      <c r="J74" s="1" t="s">
        <v>158</v>
      </c>
      <c r="K74" s="1" t="s">
        <v>1103</v>
      </c>
      <c r="L74" s="1" t="s">
        <v>1103</v>
      </c>
      <c r="M74" s="1" t="s">
        <v>149</v>
      </c>
      <c r="N74" s="1" t="s">
        <v>148</v>
      </c>
      <c r="O74" s="1" t="s">
        <v>150</v>
      </c>
      <c r="P74" s="5">
        <v>43721</v>
      </c>
      <c r="Q74" s="5">
        <v>43721</v>
      </c>
      <c r="R74" s="5">
        <v>43727</v>
      </c>
      <c r="S74" s="5">
        <v>43721</v>
      </c>
      <c r="T74" s="5">
        <v>43737</v>
      </c>
      <c r="U74" s="1" t="s">
        <v>1285</v>
      </c>
      <c r="V74" s="4">
        <v>1</v>
      </c>
      <c r="W74" s="6">
        <v>110000</v>
      </c>
      <c r="X74" s="6">
        <v>13120</v>
      </c>
      <c r="Y74" s="1" t="s">
        <v>1298</v>
      </c>
      <c r="Z74" s="1" t="s">
        <v>1298</v>
      </c>
      <c r="AA74" s="1" t="s">
        <v>1298</v>
      </c>
      <c r="AB74" s="1" t="s">
        <v>540</v>
      </c>
      <c r="AC74" s="1" t="s">
        <v>1202</v>
      </c>
      <c r="AD74" s="1" t="s">
        <v>704</v>
      </c>
      <c r="AE74" s="1" t="s">
        <v>987</v>
      </c>
      <c r="AF74" s="1"/>
      <c r="AG74" s="1" t="s">
        <v>1298</v>
      </c>
      <c r="AH74" s="1"/>
      <c r="AI74" s="1"/>
      <c r="AJ74" s="1"/>
      <c r="AK74" s="1"/>
      <c r="AL74" s="1"/>
      <c r="AM74" s="1"/>
      <c r="AN74" s="1"/>
      <c r="AO74" s="1"/>
      <c r="AP74" s="1"/>
      <c r="AQ74" s="2"/>
      <c r="AR74" s="7">
        <v>43742.696938339119</v>
      </c>
      <c r="AS74" s="1"/>
      <c r="AT74" s="1"/>
      <c r="AU74" s="1" t="s">
        <v>1288</v>
      </c>
      <c r="AV74" s="7">
        <v>43737.751904312128</v>
      </c>
      <c r="AW74" s="1"/>
      <c r="AX74" s="1"/>
      <c r="AY74" s="1"/>
      <c r="AZ74" s="5">
        <v>43830</v>
      </c>
      <c r="BA74" s="1"/>
      <c r="BB74" s="1"/>
      <c r="BC74" s="1"/>
      <c r="BD74" s="1"/>
    </row>
    <row r="75" spans="1:56" hidden="1" x14ac:dyDescent="0.25">
      <c r="A75" s="4">
        <v>70</v>
      </c>
      <c r="B75" s="2" t="str">
        <f>HYPERLINK("https://my.zakupki.prom.ua/remote/dispatcher/state_purchase_view/12807064", "UA-2019-09-11-002333-b")</f>
        <v>UA-2019-09-11-002333-b</v>
      </c>
      <c r="C75" s="2" t="s">
        <v>983</v>
      </c>
      <c r="D75" s="1" t="s">
        <v>674</v>
      </c>
      <c r="E75" s="1" t="s">
        <v>892</v>
      </c>
      <c r="F75" s="1" t="s">
        <v>268</v>
      </c>
      <c r="G75" s="1" t="s">
        <v>883</v>
      </c>
      <c r="H75" s="1" t="s">
        <v>987</v>
      </c>
      <c r="I75" s="1" t="s">
        <v>905</v>
      </c>
      <c r="J75" s="1" t="s">
        <v>158</v>
      </c>
      <c r="K75" s="1" t="s">
        <v>1103</v>
      </c>
      <c r="L75" s="1" t="s">
        <v>1103</v>
      </c>
      <c r="M75" s="1" t="s">
        <v>176</v>
      </c>
      <c r="N75" s="1" t="s">
        <v>147</v>
      </c>
      <c r="O75" s="1" t="s">
        <v>147</v>
      </c>
      <c r="P75" s="5">
        <v>43719</v>
      </c>
      <c r="Q75" s="5">
        <v>43719</v>
      </c>
      <c r="R75" s="5">
        <v>43723</v>
      </c>
      <c r="S75" s="5">
        <v>43723</v>
      </c>
      <c r="T75" s="5">
        <v>43727</v>
      </c>
      <c r="U75" s="1" t="s">
        <v>1285</v>
      </c>
      <c r="V75" s="4">
        <v>1</v>
      </c>
      <c r="W75" s="6">
        <v>10000</v>
      </c>
      <c r="X75" s="1" t="s">
        <v>983</v>
      </c>
      <c r="Y75" s="1" t="s">
        <v>1298</v>
      </c>
      <c r="Z75" s="1" t="s">
        <v>1298</v>
      </c>
      <c r="AA75" s="1" t="s">
        <v>1298</v>
      </c>
      <c r="AB75" s="1" t="s">
        <v>540</v>
      </c>
      <c r="AC75" s="1" t="s">
        <v>1202</v>
      </c>
      <c r="AD75" s="1" t="s">
        <v>704</v>
      </c>
      <c r="AE75" s="1" t="s">
        <v>987</v>
      </c>
      <c r="AF75" s="6">
        <v>8155</v>
      </c>
      <c r="AG75" s="1" t="s">
        <v>1298</v>
      </c>
      <c r="AH75" s="1" t="s">
        <v>1267</v>
      </c>
      <c r="AI75" s="6">
        <v>1845</v>
      </c>
      <c r="AJ75" s="6">
        <v>0.1845</v>
      </c>
      <c r="AK75" s="1" t="s">
        <v>1267</v>
      </c>
      <c r="AL75" s="1" t="s">
        <v>312</v>
      </c>
      <c r="AM75" s="1" t="s">
        <v>549</v>
      </c>
      <c r="AN75" s="1" t="s">
        <v>119</v>
      </c>
      <c r="AO75" s="6">
        <v>1845</v>
      </c>
      <c r="AP75" s="6">
        <v>0.1845</v>
      </c>
      <c r="AQ75" s="2"/>
      <c r="AR75" s="7">
        <v>43728.701556017237</v>
      </c>
      <c r="AS75" s="5">
        <v>43732</v>
      </c>
      <c r="AT75" s="5">
        <v>43753</v>
      </c>
      <c r="AU75" s="1" t="s">
        <v>1287</v>
      </c>
      <c r="AV75" s="7">
        <v>43735.466207574005</v>
      </c>
      <c r="AW75" s="1" t="s">
        <v>481</v>
      </c>
      <c r="AX75" s="6">
        <v>8155</v>
      </c>
      <c r="AY75" s="1"/>
      <c r="AZ75" s="5">
        <v>43830</v>
      </c>
      <c r="BA75" s="7">
        <v>43830</v>
      </c>
      <c r="BB75" s="1" t="s">
        <v>1310</v>
      </c>
      <c r="BC75" s="1"/>
      <c r="BD75" s="1"/>
    </row>
    <row r="76" spans="1:56" x14ac:dyDescent="0.25">
      <c r="A76" s="4">
        <v>71</v>
      </c>
      <c r="B76" s="2" t="str">
        <f>HYPERLINK("https://my.zakupki.prom.ua/remote/dispatcher/state_purchase_view/12699265", "UA-2019-09-02-001758-a")</f>
        <v>UA-2019-09-02-001758-a</v>
      </c>
      <c r="C76" s="2" t="s">
        <v>983</v>
      </c>
      <c r="D76" s="1" t="s">
        <v>933</v>
      </c>
      <c r="E76" s="1" t="s">
        <v>711</v>
      </c>
      <c r="F76" s="1" t="s">
        <v>378</v>
      </c>
      <c r="G76" s="1" t="s">
        <v>702</v>
      </c>
      <c r="H76" s="1" t="s">
        <v>1202</v>
      </c>
      <c r="I76" s="1" t="s">
        <v>905</v>
      </c>
      <c r="J76" s="1" t="s">
        <v>158</v>
      </c>
      <c r="K76" s="1" t="s">
        <v>661</v>
      </c>
      <c r="L76" s="1" t="s">
        <v>661</v>
      </c>
      <c r="M76" s="1" t="s">
        <v>147</v>
      </c>
      <c r="N76" s="1" t="s">
        <v>147</v>
      </c>
      <c r="O76" s="1" t="s">
        <v>147</v>
      </c>
      <c r="P76" s="5">
        <v>43710</v>
      </c>
      <c r="Q76" s="5">
        <v>43710</v>
      </c>
      <c r="R76" s="5">
        <v>43716</v>
      </c>
      <c r="S76" s="5">
        <v>43710</v>
      </c>
      <c r="T76" s="5">
        <v>43726</v>
      </c>
      <c r="U76" s="7">
        <v>43727.648125</v>
      </c>
      <c r="V76" s="4">
        <v>2</v>
      </c>
      <c r="W76" s="6">
        <v>82000</v>
      </c>
      <c r="X76" s="1" t="s">
        <v>983</v>
      </c>
      <c r="Y76" s="1" t="s">
        <v>1298</v>
      </c>
      <c r="Z76" s="1" t="s">
        <v>1298</v>
      </c>
      <c r="AA76" s="1" t="s">
        <v>1298</v>
      </c>
      <c r="AB76" s="1" t="s">
        <v>540</v>
      </c>
      <c r="AC76" s="1" t="s">
        <v>1202</v>
      </c>
      <c r="AD76" s="1" t="s">
        <v>704</v>
      </c>
      <c r="AE76" s="1" t="s">
        <v>987</v>
      </c>
      <c r="AF76" s="6">
        <v>80256</v>
      </c>
      <c r="AG76" s="1" t="s">
        <v>1298</v>
      </c>
      <c r="AH76" s="1" t="s">
        <v>1241</v>
      </c>
      <c r="AI76" s="6">
        <v>1744</v>
      </c>
      <c r="AJ76" s="6">
        <v>2.1268292682926831E-2</v>
      </c>
      <c r="AK76" s="1" t="s">
        <v>1241</v>
      </c>
      <c r="AL76" s="1" t="s">
        <v>391</v>
      </c>
      <c r="AM76" s="1" t="s">
        <v>588</v>
      </c>
      <c r="AN76" s="1" t="s">
        <v>118</v>
      </c>
      <c r="AO76" s="6">
        <v>1744</v>
      </c>
      <c r="AP76" s="6">
        <v>2.1268292682926831E-2</v>
      </c>
      <c r="AQ76" s="2" t="str">
        <f>HYPERLINK("https://auction.openprocurement.org/tenders/668f3e711e9140ed8b7ffe9ba6b5a3a1")</f>
        <v>https://auction.openprocurement.org/tenders/668f3e711e9140ed8b7ffe9ba6b5a3a1</v>
      </c>
      <c r="AR76" s="7">
        <v>43728.700741336936</v>
      </c>
      <c r="AS76" s="5">
        <v>43739</v>
      </c>
      <c r="AT76" s="5">
        <v>43749</v>
      </c>
      <c r="AU76" s="1" t="s">
        <v>1287</v>
      </c>
      <c r="AV76" s="7">
        <v>43739.449879321459</v>
      </c>
      <c r="AW76" s="1" t="s">
        <v>484</v>
      </c>
      <c r="AX76" s="6">
        <v>80256</v>
      </c>
      <c r="AY76" s="1"/>
      <c r="AZ76" s="5">
        <v>43830</v>
      </c>
      <c r="BA76" s="7">
        <v>43830</v>
      </c>
      <c r="BB76" s="1" t="s">
        <v>1310</v>
      </c>
      <c r="BC76" s="1"/>
      <c r="BD76" s="1"/>
    </row>
    <row r="77" spans="1:56" x14ac:dyDescent="0.25">
      <c r="A77" s="4">
        <v>72</v>
      </c>
      <c r="B77" s="2" t="str">
        <f>HYPERLINK("https://my.zakupki.prom.ua/remote/dispatcher/state_purchase_view/12525853", "UA-2019-08-13-002136-a")</f>
        <v>UA-2019-08-13-002136-a</v>
      </c>
      <c r="C77" s="2" t="str">
        <f>HYPERLINK("https://my.zakupki.prom.ua/remote/dispatcher/state_purchase_lot_view/467961", "UA-2019-08-13-002136-a-L1")</f>
        <v>UA-2019-08-13-002136-a-L1</v>
      </c>
      <c r="D77" s="1" t="s">
        <v>777</v>
      </c>
      <c r="E77" s="1" t="s">
        <v>1129</v>
      </c>
      <c r="F77" s="1" t="s">
        <v>367</v>
      </c>
      <c r="G77" s="1" t="s">
        <v>702</v>
      </c>
      <c r="H77" s="1" t="s">
        <v>1202</v>
      </c>
      <c r="I77" s="1" t="s">
        <v>905</v>
      </c>
      <c r="J77" s="1" t="s">
        <v>158</v>
      </c>
      <c r="K77" s="1" t="s">
        <v>1103</v>
      </c>
      <c r="L77" s="1" t="s">
        <v>1103</v>
      </c>
      <c r="M77" s="1" t="s">
        <v>148</v>
      </c>
      <c r="N77" s="1" t="s">
        <v>148</v>
      </c>
      <c r="O77" s="1" t="s">
        <v>148</v>
      </c>
      <c r="P77" s="5">
        <v>43690</v>
      </c>
      <c r="Q77" s="5">
        <v>43690</v>
      </c>
      <c r="R77" s="5">
        <v>43695</v>
      </c>
      <c r="S77" s="5">
        <v>43690</v>
      </c>
      <c r="T77" s="5">
        <v>43705</v>
      </c>
      <c r="U77" s="1" t="s">
        <v>1285</v>
      </c>
      <c r="V77" s="4">
        <v>1</v>
      </c>
      <c r="W77" s="6">
        <v>43500</v>
      </c>
      <c r="X77" s="6">
        <v>3500</v>
      </c>
      <c r="Y77" s="4">
        <v>1</v>
      </c>
      <c r="Z77" s="6">
        <v>3500</v>
      </c>
      <c r="AA77" s="1" t="s">
        <v>1318</v>
      </c>
      <c r="AB77" s="1" t="s">
        <v>540</v>
      </c>
      <c r="AC77" s="1" t="s">
        <v>1202</v>
      </c>
      <c r="AD77" s="1" t="s">
        <v>704</v>
      </c>
      <c r="AE77" s="1" t="s">
        <v>987</v>
      </c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2"/>
      <c r="AR77" s="1"/>
      <c r="AS77" s="1"/>
      <c r="AT77" s="1"/>
      <c r="AU77" s="1" t="s">
        <v>1288</v>
      </c>
      <c r="AV77" s="7">
        <v>43705.751441280547</v>
      </c>
      <c r="AW77" s="1"/>
      <c r="AX77" s="1"/>
      <c r="AY77" s="1"/>
      <c r="AZ77" s="5">
        <v>43830</v>
      </c>
      <c r="BA77" s="1"/>
      <c r="BB77" s="1"/>
      <c r="BC77" s="1"/>
      <c r="BD77" s="1"/>
    </row>
    <row r="78" spans="1:56" x14ac:dyDescent="0.25">
      <c r="A78" s="4">
        <v>73</v>
      </c>
      <c r="B78" s="2" t="str">
        <f>HYPERLINK("https://my.zakupki.prom.ua/remote/dispatcher/state_purchase_view/12525853", "UA-2019-08-13-002136-a")</f>
        <v>UA-2019-08-13-002136-a</v>
      </c>
      <c r="C78" s="2" t="str">
        <f>HYPERLINK("https://my.zakupki.prom.ua/remote/dispatcher/state_purchase_lot_view/467962", "UA-2019-08-13-002136-a-L2")</f>
        <v>UA-2019-08-13-002136-a-L2</v>
      </c>
      <c r="D78" s="1" t="s">
        <v>775</v>
      </c>
      <c r="E78" s="1" t="s">
        <v>1020</v>
      </c>
      <c r="F78" s="1" t="s">
        <v>367</v>
      </c>
      <c r="G78" s="1" t="s">
        <v>702</v>
      </c>
      <c r="H78" s="1" t="s">
        <v>1202</v>
      </c>
      <c r="I78" s="1" t="s">
        <v>905</v>
      </c>
      <c r="J78" s="1" t="s">
        <v>158</v>
      </c>
      <c r="K78" s="1" t="s">
        <v>1103</v>
      </c>
      <c r="L78" s="1" t="s">
        <v>1103</v>
      </c>
      <c r="M78" s="1" t="s">
        <v>148</v>
      </c>
      <c r="N78" s="1" t="s">
        <v>148</v>
      </c>
      <c r="O78" s="1" t="s">
        <v>148</v>
      </c>
      <c r="P78" s="5">
        <v>43690</v>
      </c>
      <c r="Q78" s="5">
        <v>43690</v>
      </c>
      <c r="R78" s="5">
        <v>43695</v>
      </c>
      <c r="S78" s="5">
        <v>43690</v>
      </c>
      <c r="T78" s="5">
        <v>43705</v>
      </c>
      <c r="U78" s="1" t="s">
        <v>1285</v>
      </c>
      <c r="V78" s="4">
        <v>0</v>
      </c>
      <c r="W78" s="6">
        <v>43500</v>
      </c>
      <c r="X78" s="6">
        <v>7200</v>
      </c>
      <c r="Y78" s="4">
        <v>1</v>
      </c>
      <c r="Z78" s="6">
        <v>7200</v>
      </c>
      <c r="AA78" s="1" t="s">
        <v>1318</v>
      </c>
      <c r="AB78" s="1" t="s">
        <v>540</v>
      </c>
      <c r="AC78" s="1" t="s">
        <v>1202</v>
      </c>
      <c r="AD78" s="1" t="s">
        <v>704</v>
      </c>
      <c r="AE78" s="1" t="s">
        <v>987</v>
      </c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2"/>
      <c r="AR78" s="1"/>
      <c r="AS78" s="1"/>
      <c r="AT78" s="1"/>
      <c r="AU78" s="1" t="s">
        <v>1288</v>
      </c>
      <c r="AV78" s="7">
        <v>43705.751441280547</v>
      </c>
      <c r="AW78" s="1"/>
      <c r="AX78" s="1"/>
      <c r="AY78" s="1"/>
      <c r="AZ78" s="5">
        <v>43830</v>
      </c>
      <c r="BA78" s="1"/>
      <c r="BB78" s="1"/>
      <c r="BC78" s="1"/>
      <c r="BD78" s="1"/>
    </row>
    <row r="79" spans="1:56" x14ac:dyDescent="0.25">
      <c r="A79" s="4">
        <v>74</v>
      </c>
      <c r="B79" s="2" t="str">
        <f>HYPERLINK("https://my.zakupki.prom.ua/remote/dispatcher/state_purchase_view/12525853", "UA-2019-08-13-002136-a")</f>
        <v>UA-2019-08-13-002136-a</v>
      </c>
      <c r="C79" s="2" t="str">
        <f>HYPERLINK("https://my.zakupki.prom.ua/remote/dispatcher/state_purchase_lot_view/467963", "UA-2019-08-13-002136-a-L3")</f>
        <v>UA-2019-08-13-002136-a-L3</v>
      </c>
      <c r="D79" s="1" t="s">
        <v>776</v>
      </c>
      <c r="E79" s="1" t="s">
        <v>1282</v>
      </c>
      <c r="F79" s="1" t="s">
        <v>367</v>
      </c>
      <c r="G79" s="1" t="s">
        <v>702</v>
      </c>
      <c r="H79" s="1" t="s">
        <v>1202</v>
      </c>
      <c r="I79" s="1" t="s">
        <v>905</v>
      </c>
      <c r="J79" s="1" t="s">
        <v>158</v>
      </c>
      <c r="K79" s="1" t="s">
        <v>1103</v>
      </c>
      <c r="L79" s="1" t="s">
        <v>1103</v>
      </c>
      <c r="M79" s="1" t="s">
        <v>148</v>
      </c>
      <c r="N79" s="1" t="s">
        <v>148</v>
      </c>
      <c r="O79" s="1" t="s">
        <v>148</v>
      </c>
      <c r="P79" s="5">
        <v>43690</v>
      </c>
      <c r="Q79" s="5">
        <v>43690</v>
      </c>
      <c r="R79" s="5">
        <v>43695</v>
      </c>
      <c r="S79" s="5">
        <v>43690</v>
      </c>
      <c r="T79" s="5">
        <v>43705</v>
      </c>
      <c r="U79" s="1" t="s">
        <v>1285</v>
      </c>
      <c r="V79" s="4">
        <v>0</v>
      </c>
      <c r="W79" s="6">
        <v>43500</v>
      </c>
      <c r="X79" s="6">
        <v>32800</v>
      </c>
      <c r="Y79" s="4">
        <v>1</v>
      </c>
      <c r="Z79" s="6">
        <v>32800</v>
      </c>
      <c r="AA79" s="1" t="s">
        <v>1318</v>
      </c>
      <c r="AB79" s="1" t="s">
        <v>540</v>
      </c>
      <c r="AC79" s="1" t="s">
        <v>1202</v>
      </c>
      <c r="AD79" s="1" t="s">
        <v>704</v>
      </c>
      <c r="AE79" s="1" t="s">
        <v>987</v>
      </c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2"/>
      <c r="AR79" s="1"/>
      <c r="AS79" s="1"/>
      <c r="AT79" s="1"/>
      <c r="AU79" s="1" t="s">
        <v>1288</v>
      </c>
      <c r="AV79" s="7">
        <v>43705.751441280547</v>
      </c>
      <c r="AW79" s="1"/>
      <c r="AX79" s="1"/>
      <c r="AY79" s="1"/>
      <c r="AZ79" s="5">
        <v>43830</v>
      </c>
      <c r="BA79" s="1"/>
      <c r="BB79" s="1"/>
      <c r="BC79" s="1"/>
      <c r="BD79" s="1"/>
    </row>
    <row r="80" spans="1:56" hidden="1" x14ac:dyDescent="0.25">
      <c r="A80" s="4">
        <v>75</v>
      </c>
      <c r="B80" s="2" t="str">
        <f>HYPERLINK("https://my.zakupki.prom.ua/remote/dispatcher/state_purchase_view/12481026", "UA-2019-08-09-002196-a")</f>
        <v>UA-2019-08-09-002196-a</v>
      </c>
      <c r="C80" s="2" t="s">
        <v>983</v>
      </c>
      <c r="D80" s="1" t="s">
        <v>666</v>
      </c>
      <c r="E80" s="1" t="s">
        <v>666</v>
      </c>
      <c r="F80" s="1" t="s">
        <v>169</v>
      </c>
      <c r="G80" s="1" t="s">
        <v>883</v>
      </c>
      <c r="H80" s="1" t="s">
        <v>987</v>
      </c>
      <c r="I80" s="1" t="s">
        <v>905</v>
      </c>
      <c r="J80" s="1" t="s">
        <v>158</v>
      </c>
      <c r="K80" s="1" t="s">
        <v>1103</v>
      </c>
      <c r="L80" s="1" t="s">
        <v>1103</v>
      </c>
      <c r="M80" s="1" t="s">
        <v>147</v>
      </c>
      <c r="N80" s="1" t="s">
        <v>147</v>
      </c>
      <c r="O80" s="1" t="s">
        <v>147</v>
      </c>
      <c r="P80" s="5">
        <v>43686</v>
      </c>
      <c r="Q80" s="5">
        <v>43686</v>
      </c>
      <c r="R80" s="5">
        <v>43689</v>
      </c>
      <c r="S80" s="5">
        <v>43689</v>
      </c>
      <c r="T80" s="5">
        <v>43692</v>
      </c>
      <c r="U80" s="7">
        <v>43693.624074074076</v>
      </c>
      <c r="V80" s="4">
        <v>2</v>
      </c>
      <c r="W80" s="6">
        <v>8500</v>
      </c>
      <c r="X80" s="1" t="s">
        <v>983</v>
      </c>
      <c r="Y80" s="4">
        <v>300</v>
      </c>
      <c r="Z80" s="6">
        <v>28.33</v>
      </c>
      <c r="AA80" s="1" t="s">
        <v>1299</v>
      </c>
      <c r="AB80" s="1" t="s">
        <v>540</v>
      </c>
      <c r="AC80" s="1" t="s">
        <v>1202</v>
      </c>
      <c r="AD80" s="1" t="s">
        <v>704</v>
      </c>
      <c r="AE80" s="1" t="s">
        <v>987</v>
      </c>
      <c r="AF80" s="6">
        <v>7578</v>
      </c>
      <c r="AG80" s="6">
        <v>25.26</v>
      </c>
      <c r="AH80" s="1" t="s">
        <v>1152</v>
      </c>
      <c r="AI80" s="6">
        <v>922</v>
      </c>
      <c r="AJ80" s="6">
        <v>0.10847058823529412</v>
      </c>
      <c r="AK80" s="1" t="s">
        <v>1152</v>
      </c>
      <c r="AL80" s="1" t="s">
        <v>448</v>
      </c>
      <c r="AM80" s="1" t="s">
        <v>638</v>
      </c>
      <c r="AN80" s="1" t="s">
        <v>108</v>
      </c>
      <c r="AO80" s="6">
        <v>922</v>
      </c>
      <c r="AP80" s="6">
        <v>0.10847058823529412</v>
      </c>
      <c r="AQ80" s="2" t="str">
        <f>HYPERLINK("https://auction.openprocurement.org/tenders/72850217021640339d3a49391cdd402b")</f>
        <v>https://auction.openprocurement.org/tenders/72850217021640339d3a49391cdd402b</v>
      </c>
      <c r="AR80" s="7">
        <v>43696.667061560787</v>
      </c>
      <c r="AS80" s="5">
        <v>43698</v>
      </c>
      <c r="AT80" s="5">
        <v>43719</v>
      </c>
      <c r="AU80" s="1" t="s">
        <v>1287</v>
      </c>
      <c r="AV80" s="7">
        <v>43706.526908030559</v>
      </c>
      <c r="AW80" s="1" t="s">
        <v>466</v>
      </c>
      <c r="AX80" s="6">
        <v>7578</v>
      </c>
      <c r="AY80" s="1"/>
      <c r="AZ80" s="5">
        <v>43830</v>
      </c>
      <c r="BA80" s="7">
        <v>43830</v>
      </c>
      <c r="BB80" s="1" t="s">
        <v>1310</v>
      </c>
      <c r="BC80" s="1"/>
      <c r="BD80" s="1"/>
    </row>
    <row r="81" spans="1:56" hidden="1" x14ac:dyDescent="0.25">
      <c r="A81" s="4">
        <v>76</v>
      </c>
      <c r="B81" s="2" t="str">
        <f>HYPERLINK("https://my.zakupki.prom.ua/remote/dispatcher/state_purchase_view/12477955", "UA-2019-08-09-002190-a")</f>
        <v>UA-2019-08-09-002190-a</v>
      </c>
      <c r="C81" s="2" t="s">
        <v>983</v>
      </c>
      <c r="D81" s="1" t="s">
        <v>908</v>
      </c>
      <c r="E81" s="1" t="s">
        <v>1021</v>
      </c>
      <c r="F81" s="1" t="s">
        <v>321</v>
      </c>
      <c r="G81" s="1" t="s">
        <v>883</v>
      </c>
      <c r="H81" s="1" t="s">
        <v>987</v>
      </c>
      <c r="I81" s="1" t="s">
        <v>905</v>
      </c>
      <c r="J81" s="1" t="s">
        <v>158</v>
      </c>
      <c r="K81" s="1" t="s">
        <v>1103</v>
      </c>
      <c r="L81" s="1" t="s">
        <v>1103</v>
      </c>
      <c r="M81" s="1" t="s">
        <v>147</v>
      </c>
      <c r="N81" s="1" t="s">
        <v>147</v>
      </c>
      <c r="O81" s="1" t="s">
        <v>147</v>
      </c>
      <c r="P81" s="5">
        <v>43686</v>
      </c>
      <c r="Q81" s="5">
        <v>43686</v>
      </c>
      <c r="R81" s="5">
        <v>43689</v>
      </c>
      <c r="S81" s="5">
        <v>43689</v>
      </c>
      <c r="T81" s="5">
        <v>43692</v>
      </c>
      <c r="U81" s="7">
        <v>43693.551874999997</v>
      </c>
      <c r="V81" s="4">
        <v>3</v>
      </c>
      <c r="W81" s="6">
        <v>5000</v>
      </c>
      <c r="X81" s="1" t="s">
        <v>983</v>
      </c>
      <c r="Y81" s="1" t="s">
        <v>1298</v>
      </c>
      <c r="Z81" s="1" t="s">
        <v>1298</v>
      </c>
      <c r="AA81" s="1" t="s">
        <v>1298</v>
      </c>
      <c r="AB81" s="1" t="s">
        <v>540</v>
      </c>
      <c r="AC81" s="1" t="s">
        <v>1202</v>
      </c>
      <c r="AD81" s="1" t="s">
        <v>704</v>
      </c>
      <c r="AE81" s="1" t="s">
        <v>987</v>
      </c>
      <c r="AF81" s="6">
        <v>3692.88</v>
      </c>
      <c r="AG81" s="1" t="s">
        <v>1298</v>
      </c>
      <c r="AH81" s="1" t="s">
        <v>1142</v>
      </c>
      <c r="AI81" s="6">
        <v>1307.1199999999999</v>
      </c>
      <c r="AJ81" s="6">
        <v>0.26142399999999999</v>
      </c>
      <c r="AK81" s="1" t="s">
        <v>1142</v>
      </c>
      <c r="AL81" s="1" t="s">
        <v>441</v>
      </c>
      <c r="AM81" s="1" t="s">
        <v>550</v>
      </c>
      <c r="AN81" s="1" t="s">
        <v>91</v>
      </c>
      <c r="AO81" s="6">
        <v>1307.1199999999999</v>
      </c>
      <c r="AP81" s="6">
        <v>0.26142399999999999</v>
      </c>
      <c r="AQ81" s="2" t="str">
        <f>HYPERLINK("https://auction.openprocurement.org/tenders/2be5829bacc24d96b27cab57730c28c2")</f>
        <v>https://auction.openprocurement.org/tenders/2be5829bacc24d96b27cab57730c28c2</v>
      </c>
      <c r="AR81" s="7">
        <v>43696.668097628499</v>
      </c>
      <c r="AS81" s="5">
        <v>43698</v>
      </c>
      <c r="AT81" s="5">
        <v>43719</v>
      </c>
      <c r="AU81" s="1" t="s">
        <v>1287</v>
      </c>
      <c r="AV81" s="7">
        <v>43700.690487382708</v>
      </c>
      <c r="AW81" s="1" t="s">
        <v>462</v>
      </c>
      <c r="AX81" s="6">
        <v>3692.88</v>
      </c>
      <c r="AY81" s="1"/>
      <c r="AZ81" s="5">
        <v>43830</v>
      </c>
      <c r="BA81" s="7">
        <v>43830</v>
      </c>
      <c r="BB81" s="1" t="s">
        <v>1310</v>
      </c>
      <c r="BC81" s="1"/>
      <c r="BD81" s="1"/>
    </row>
    <row r="82" spans="1:56" x14ac:dyDescent="0.25">
      <c r="A82" s="4">
        <v>77</v>
      </c>
      <c r="B82" s="2" t="str">
        <f>HYPERLINK("https://my.zakupki.prom.ua/remote/dispatcher/state_purchase_view/12453926", "UA-2019-08-09-002176-a")</f>
        <v>UA-2019-08-09-002176-a</v>
      </c>
      <c r="C82" s="2" t="str">
        <f>HYPERLINK("https://my.zakupki.prom.ua/remote/dispatcher/state_purchase_lot_view/466937", "UA-2019-08-09-002176-a-L1")</f>
        <v>UA-2019-08-09-002176-a-L1</v>
      </c>
      <c r="D82" s="1" t="s">
        <v>773</v>
      </c>
      <c r="E82" s="1" t="s">
        <v>538</v>
      </c>
      <c r="F82" s="1" t="s">
        <v>367</v>
      </c>
      <c r="G82" s="1" t="s">
        <v>702</v>
      </c>
      <c r="H82" s="1" t="s">
        <v>1202</v>
      </c>
      <c r="I82" s="1" t="s">
        <v>905</v>
      </c>
      <c r="J82" s="1" t="s">
        <v>158</v>
      </c>
      <c r="K82" s="1" t="s">
        <v>1103</v>
      </c>
      <c r="L82" s="1" t="s">
        <v>1103</v>
      </c>
      <c r="M82" s="1" t="s">
        <v>149</v>
      </c>
      <c r="N82" s="1" t="s">
        <v>148</v>
      </c>
      <c r="O82" s="1" t="s">
        <v>148</v>
      </c>
      <c r="P82" s="5">
        <v>43686</v>
      </c>
      <c r="Q82" s="5">
        <v>43686</v>
      </c>
      <c r="R82" s="5">
        <v>43694</v>
      </c>
      <c r="S82" s="5">
        <v>43686</v>
      </c>
      <c r="T82" s="5">
        <v>43704</v>
      </c>
      <c r="U82" s="7">
        <v>43705.479120370372</v>
      </c>
      <c r="V82" s="4">
        <v>2</v>
      </c>
      <c r="W82" s="6">
        <v>29000</v>
      </c>
      <c r="X82" s="6">
        <v>23200</v>
      </c>
      <c r="Y82" s="1" t="s">
        <v>1298</v>
      </c>
      <c r="Z82" s="1" t="s">
        <v>1298</v>
      </c>
      <c r="AA82" s="1" t="s">
        <v>1298</v>
      </c>
      <c r="AB82" s="1" t="s">
        <v>540</v>
      </c>
      <c r="AC82" s="1" t="s">
        <v>1202</v>
      </c>
      <c r="AD82" s="1" t="s">
        <v>704</v>
      </c>
      <c r="AE82" s="1" t="s">
        <v>987</v>
      </c>
      <c r="AF82" s="6">
        <v>15943</v>
      </c>
      <c r="AG82" s="1" t="s">
        <v>1298</v>
      </c>
      <c r="AH82" s="1" t="s">
        <v>1159</v>
      </c>
      <c r="AI82" s="6">
        <v>7257</v>
      </c>
      <c r="AJ82" s="6">
        <v>0.31280172413793106</v>
      </c>
      <c r="AK82" s="1"/>
      <c r="AL82" s="1"/>
      <c r="AM82" s="1"/>
      <c r="AN82" s="1"/>
      <c r="AO82" s="1"/>
      <c r="AP82" s="1"/>
      <c r="AQ82" s="2" t="str">
        <f>HYPERLINK("https://auction.openprocurement.org/tenders/498f75cfc05c48fe8b92e2ea132292f4_58c15e6f6edb400a9ab5f2bd5b913ac1")</f>
        <v>https://auction.openprocurement.org/tenders/498f75cfc05c48fe8b92e2ea132292f4_58c15e6f6edb400a9ab5f2bd5b913ac1</v>
      </c>
      <c r="AR82" s="7">
        <v>43725.639836732313</v>
      </c>
      <c r="AS82" s="1"/>
      <c r="AT82" s="1"/>
      <c r="AU82" s="1" t="s">
        <v>1288</v>
      </c>
      <c r="AV82" s="7">
        <v>43736.001364978903</v>
      </c>
      <c r="AW82" s="1"/>
      <c r="AX82" s="1"/>
      <c r="AY82" s="1"/>
      <c r="AZ82" s="5">
        <v>43830</v>
      </c>
      <c r="BA82" s="1"/>
      <c r="BB82" s="1"/>
      <c r="BC82" s="1"/>
      <c r="BD82" s="1"/>
    </row>
    <row r="83" spans="1:56" x14ac:dyDescent="0.25">
      <c r="A83" s="4">
        <v>78</v>
      </c>
      <c r="B83" s="2" t="str">
        <f>HYPERLINK("https://my.zakupki.prom.ua/remote/dispatcher/state_purchase_view/12453926", "UA-2019-08-09-002176-a")</f>
        <v>UA-2019-08-09-002176-a</v>
      </c>
      <c r="C83" s="2" t="str">
        <f>HYPERLINK("https://my.zakupki.prom.ua/remote/dispatcher/state_purchase_lot_view/466938", "UA-2019-08-09-002176-a-L2")</f>
        <v>UA-2019-08-09-002176-a-L2</v>
      </c>
      <c r="D83" s="1" t="s">
        <v>774</v>
      </c>
      <c r="E83" s="1" t="s">
        <v>1014</v>
      </c>
      <c r="F83" s="1" t="s">
        <v>367</v>
      </c>
      <c r="G83" s="1" t="s">
        <v>702</v>
      </c>
      <c r="H83" s="1" t="s">
        <v>1202</v>
      </c>
      <c r="I83" s="1" t="s">
        <v>905</v>
      </c>
      <c r="J83" s="1" t="s">
        <v>158</v>
      </c>
      <c r="K83" s="1" t="s">
        <v>1103</v>
      </c>
      <c r="L83" s="1" t="s">
        <v>1103</v>
      </c>
      <c r="M83" s="1" t="s">
        <v>149</v>
      </c>
      <c r="N83" s="1" t="s">
        <v>148</v>
      </c>
      <c r="O83" s="1" t="s">
        <v>148</v>
      </c>
      <c r="P83" s="5">
        <v>43686</v>
      </c>
      <c r="Q83" s="5">
        <v>43686</v>
      </c>
      <c r="R83" s="5">
        <v>43694</v>
      </c>
      <c r="S83" s="5">
        <v>43686</v>
      </c>
      <c r="T83" s="5">
        <v>43704</v>
      </c>
      <c r="U83" s="1" t="s">
        <v>1285</v>
      </c>
      <c r="V83" s="4">
        <v>0</v>
      </c>
      <c r="W83" s="6">
        <v>29000</v>
      </c>
      <c r="X83" s="6">
        <v>5800</v>
      </c>
      <c r="Y83" s="1" t="s">
        <v>1298</v>
      </c>
      <c r="Z83" s="1" t="s">
        <v>1298</v>
      </c>
      <c r="AA83" s="1" t="s">
        <v>1298</v>
      </c>
      <c r="AB83" s="1" t="s">
        <v>540</v>
      </c>
      <c r="AC83" s="1" t="s">
        <v>1202</v>
      </c>
      <c r="AD83" s="1" t="s">
        <v>704</v>
      </c>
      <c r="AE83" s="1" t="s">
        <v>987</v>
      </c>
      <c r="AF83" s="1"/>
      <c r="AG83" s="1" t="s">
        <v>1298</v>
      </c>
      <c r="AH83" s="1"/>
      <c r="AI83" s="1"/>
      <c r="AJ83" s="1"/>
      <c r="AK83" s="1"/>
      <c r="AL83" s="1"/>
      <c r="AM83" s="1"/>
      <c r="AN83" s="1"/>
      <c r="AO83" s="1"/>
      <c r="AP83" s="1"/>
      <c r="AQ83" s="2"/>
      <c r="AR83" s="7">
        <v>43725.639836732313</v>
      </c>
      <c r="AS83" s="1"/>
      <c r="AT83" s="1"/>
      <c r="AU83" s="1" t="s">
        <v>1288</v>
      </c>
      <c r="AV83" s="7">
        <v>43704.778423081101</v>
      </c>
      <c r="AW83" s="1"/>
      <c r="AX83" s="1"/>
      <c r="AY83" s="1"/>
      <c r="AZ83" s="5">
        <v>43830</v>
      </c>
      <c r="BA83" s="1"/>
      <c r="BB83" s="1"/>
      <c r="BC83" s="1"/>
      <c r="BD83" s="1"/>
    </row>
    <row r="84" spans="1:56" hidden="1" x14ac:dyDescent="0.25">
      <c r="A84" s="4">
        <v>79</v>
      </c>
      <c r="B84" s="2" t="str">
        <f>HYPERLINK("https://my.zakupki.prom.ua/remote/dispatcher/state_purchase_view/12369990", "UA-2019-07-30-001170-b")</f>
        <v>UA-2019-07-30-001170-b</v>
      </c>
      <c r="C84" s="2" t="s">
        <v>983</v>
      </c>
      <c r="D84" s="1" t="s">
        <v>681</v>
      </c>
      <c r="E84" s="1" t="s">
        <v>886</v>
      </c>
      <c r="F84" s="1" t="s">
        <v>375</v>
      </c>
      <c r="G84" s="1" t="s">
        <v>883</v>
      </c>
      <c r="H84" s="1" t="s">
        <v>1202</v>
      </c>
      <c r="I84" s="1" t="s">
        <v>905</v>
      </c>
      <c r="J84" s="1" t="s">
        <v>158</v>
      </c>
      <c r="K84" s="1" t="s">
        <v>1103</v>
      </c>
      <c r="L84" s="1" t="s">
        <v>1103</v>
      </c>
      <c r="M84" s="1" t="s">
        <v>147</v>
      </c>
      <c r="N84" s="1" t="s">
        <v>147</v>
      </c>
      <c r="O84" s="1" t="s">
        <v>147</v>
      </c>
      <c r="P84" s="5">
        <v>43676</v>
      </c>
      <c r="Q84" s="5">
        <v>43676</v>
      </c>
      <c r="R84" s="5">
        <v>43677</v>
      </c>
      <c r="S84" s="5">
        <v>43678</v>
      </c>
      <c r="T84" s="5">
        <v>43680</v>
      </c>
      <c r="U84" s="1" t="s">
        <v>1285</v>
      </c>
      <c r="V84" s="4">
        <v>1</v>
      </c>
      <c r="W84" s="6">
        <v>9700</v>
      </c>
      <c r="X84" s="1" t="s">
        <v>983</v>
      </c>
      <c r="Y84" s="4">
        <v>5</v>
      </c>
      <c r="Z84" s="6">
        <v>1940</v>
      </c>
      <c r="AA84" s="1" t="s">
        <v>1315</v>
      </c>
      <c r="AB84" s="1" t="s">
        <v>540</v>
      </c>
      <c r="AC84" s="1" t="s">
        <v>1202</v>
      </c>
      <c r="AD84" s="1" t="s">
        <v>704</v>
      </c>
      <c r="AE84" s="1" t="s">
        <v>987</v>
      </c>
      <c r="AF84" s="6">
        <v>9045</v>
      </c>
      <c r="AG84" s="6">
        <v>1809</v>
      </c>
      <c r="AH84" s="1" t="s">
        <v>1145</v>
      </c>
      <c r="AI84" s="6">
        <v>655</v>
      </c>
      <c r="AJ84" s="6">
        <v>6.7525773195876285E-2</v>
      </c>
      <c r="AK84" s="1" t="s">
        <v>1145</v>
      </c>
      <c r="AL84" s="1" t="s">
        <v>440</v>
      </c>
      <c r="AM84" s="1" t="s">
        <v>578</v>
      </c>
      <c r="AN84" s="1" t="s">
        <v>111</v>
      </c>
      <c r="AO84" s="6">
        <v>655</v>
      </c>
      <c r="AP84" s="6">
        <v>6.7525773195876285E-2</v>
      </c>
      <c r="AQ84" s="2"/>
      <c r="AR84" s="7">
        <v>43682.685277535798</v>
      </c>
      <c r="AS84" s="5">
        <v>43684</v>
      </c>
      <c r="AT84" s="5">
        <v>43707</v>
      </c>
      <c r="AU84" s="1" t="s">
        <v>1287</v>
      </c>
      <c r="AV84" s="7">
        <v>43685.597273329666</v>
      </c>
      <c r="AW84" s="1" t="s">
        <v>459</v>
      </c>
      <c r="AX84" s="6">
        <v>9045</v>
      </c>
      <c r="AY84" s="1"/>
      <c r="AZ84" s="5">
        <v>43830</v>
      </c>
      <c r="BA84" s="7">
        <v>43830</v>
      </c>
      <c r="BB84" s="1" t="s">
        <v>1310</v>
      </c>
      <c r="BC84" s="1"/>
      <c r="BD84" s="1"/>
    </row>
    <row r="85" spans="1:56" x14ac:dyDescent="0.25">
      <c r="A85" s="4">
        <v>80</v>
      </c>
      <c r="B85" s="2" t="str">
        <f>HYPERLINK("https://my.zakupki.prom.ua/remote/dispatcher/state_purchase_view/12316160", "UA-2019-07-24-000635-b")</f>
        <v>UA-2019-07-24-000635-b</v>
      </c>
      <c r="C85" s="2" t="str">
        <f>HYPERLINK("https://my.zakupki.prom.ua/remote/dispatcher/state_purchase_lot_view/464412", "UA-2019-07-24-000635-b-L1")</f>
        <v>UA-2019-07-24-000635-b-L1</v>
      </c>
      <c r="D85" s="1" t="s">
        <v>953</v>
      </c>
      <c r="E85" s="1" t="s">
        <v>1128</v>
      </c>
      <c r="F85" s="1" t="s">
        <v>367</v>
      </c>
      <c r="G85" s="1" t="s">
        <v>702</v>
      </c>
      <c r="H85" s="1" t="s">
        <v>1202</v>
      </c>
      <c r="I85" s="1" t="s">
        <v>905</v>
      </c>
      <c r="J85" s="1" t="s">
        <v>158</v>
      </c>
      <c r="K85" s="1" t="s">
        <v>1103</v>
      </c>
      <c r="L85" s="1" t="s">
        <v>1103</v>
      </c>
      <c r="M85" s="1" t="s">
        <v>148</v>
      </c>
      <c r="N85" s="1" t="s">
        <v>148</v>
      </c>
      <c r="O85" s="1" t="s">
        <v>148</v>
      </c>
      <c r="P85" s="5">
        <v>43670</v>
      </c>
      <c r="Q85" s="5">
        <v>43670</v>
      </c>
      <c r="R85" s="5">
        <v>43675</v>
      </c>
      <c r="S85" s="5">
        <v>43670</v>
      </c>
      <c r="T85" s="5">
        <v>43685</v>
      </c>
      <c r="U85" s="1" t="s">
        <v>1285</v>
      </c>
      <c r="V85" s="4">
        <v>1</v>
      </c>
      <c r="W85" s="6">
        <v>43500</v>
      </c>
      <c r="X85" s="6">
        <v>3500</v>
      </c>
      <c r="Y85" s="4">
        <v>1</v>
      </c>
      <c r="Z85" s="6">
        <v>3500</v>
      </c>
      <c r="AA85" s="1" t="s">
        <v>1318</v>
      </c>
      <c r="AB85" s="1" t="s">
        <v>540</v>
      </c>
      <c r="AC85" s="1" t="s">
        <v>1202</v>
      </c>
      <c r="AD85" s="1" t="s">
        <v>704</v>
      </c>
      <c r="AE85" s="1" t="s">
        <v>987</v>
      </c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2"/>
      <c r="AR85" s="1"/>
      <c r="AS85" s="1"/>
      <c r="AT85" s="1"/>
      <c r="AU85" s="1" t="s">
        <v>1288</v>
      </c>
      <c r="AV85" s="7">
        <v>43685.753002003265</v>
      </c>
      <c r="AW85" s="1"/>
      <c r="AX85" s="1"/>
      <c r="AY85" s="1"/>
      <c r="AZ85" s="5">
        <v>43830</v>
      </c>
      <c r="BA85" s="1"/>
      <c r="BB85" s="1"/>
      <c r="BC85" s="1"/>
      <c r="BD85" s="1"/>
    </row>
    <row r="86" spans="1:56" x14ac:dyDescent="0.25">
      <c r="A86" s="4">
        <v>81</v>
      </c>
      <c r="B86" s="2" t="str">
        <f>HYPERLINK("https://my.zakupki.prom.ua/remote/dispatcher/state_purchase_view/12316160", "UA-2019-07-24-000635-b")</f>
        <v>UA-2019-07-24-000635-b</v>
      </c>
      <c r="C86" s="2" t="str">
        <f>HYPERLINK("https://my.zakupki.prom.ua/remote/dispatcher/state_purchase_lot_view/464413", "UA-2019-07-24-000635-b-L2")</f>
        <v>UA-2019-07-24-000635-b-L2</v>
      </c>
      <c r="D86" s="1" t="s">
        <v>951</v>
      </c>
      <c r="E86" s="1" t="s">
        <v>1019</v>
      </c>
      <c r="F86" s="1" t="s">
        <v>367</v>
      </c>
      <c r="G86" s="1" t="s">
        <v>702</v>
      </c>
      <c r="H86" s="1" t="s">
        <v>1202</v>
      </c>
      <c r="I86" s="1" t="s">
        <v>905</v>
      </c>
      <c r="J86" s="1" t="s">
        <v>158</v>
      </c>
      <c r="K86" s="1" t="s">
        <v>1103</v>
      </c>
      <c r="L86" s="1" t="s">
        <v>1103</v>
      </c>
      <c r="M86" s="1" t="s">
        <v>148</v>
      </c>
      <c r="N86" s="1" t="s">
        <v>148</v>
      </c>
      <c r="O86" s="1" t="s">
        <v>148</v>
      </c>
      <c r="P86" s="5">
        <v>43670</v>
      </c>
      <c r="Q86" s="5">
        <v>43670</v>
      </c>
      <c r="R86" s="5">
        <v>43675</v>
      </c>
      <c r="S86" s="5">
        <v>43670</v>
      </c>
      <c r="T86" s="5">
        <v>43685</v>
      </c>
      <c r="U86" s="1" t="s">
        <v>1285</v>
      </c>
      <c r="V86" s="4">
        <v>0</v>
      </c>
      <c r="W86" s="6">
        <v>43500</v>
      </c>
      <c r="X86" s="6">
        <v>7200</v>
      </c>
      <c r="Y86" s="4">
        <v>1</v>
      </c>
      <c r="Z86" s="6">
        <v>7200</v>
      </c>
      <c r="AA86" s="1" t="s">
        <v>1318</v>
      </c>
      <c r="AB86" s="1" t="s">
        <v>540</v>
      </c>
      <c r="AC86" s="1" t="s">
        <v>1202</v>
      </c>
      <c r="AD86" s="1" t="s">
        <v>704</v>
      </c>
      <c r="AE86" s="1" t="s">
        <v>987</v>
      </c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2"/>
      <c r="AR86" s="1"/>
      <c r="AS86" s="1"/>
      <c r="AT86" s="1"/>
      <c r="AU86" s="1" t="s">
        <v>1288</v>
      </c>
      <c r="AV86" s="7">
        <v>43685.753002003265</v>
      </c>
      <c r="AW86" s="1"/>
      <c r="AX86" s="1"/>
      <c r="AY86" s="1"/>
      <c r="AZ86" s="5">
        <v>43830</v>
      </c>
      <c r="BA86" s="1"/>
      <c r="BB86" s="1"/>
      <c r="BC86" s="1"/>
      <c r="BD86" s="1"/>
    </row>
    <row r="87" spans="1:56" x14ac:dyDescent="0.25">
      <c r="A87" s="4">
        <v>82</v>
      </c>
      <c r="B87" s="2" t="str">
        <f>HYPERLINK("https://my.zakupki.prom.ua/remote/dispatcher/state_purchase_view/12316160", "UA-2019-07-24-000635-b")</f>
        <v>UA-2019-07-24-000635-b</v>
      </c>
      <c r="C87" s="2" t="str">
        <f>HYPERLINK("https://my.zakupki.prom.ua/remote/dispatcher/state_purchase_lot_view/464414", "UA-2019-07-24-000635-b-L3")</f>
        <v>UA-2019-07-24-000635-b-L3</v>
      </c>
      <c r="D87" s="1" t="s">
        <v>952</v>
      </c>
      <c r="E87" s="1" t="s">
        <v>1281</v>
      </c>
      <c r="F87" s="1" t="s">
        <v>367</v>
      </c>
      <c r="G87" s="1" t="s">
        <v>702</v>
      </c>
      <c r="H87" s="1" t="s">
        <v>1202</v>
      </c>
      <c r="I87" s="1" t="s">
        <v>905</v>
      </c>
      <c r="J87" s="1" t="s">
        <v>158</v>
      </c>
      <c r="K87" s="1" t="s">
        <v>1103</v>
      </c>
      <c r="L87" s="1" t="s">
        <v>1103</v>
      </c>
      <c r="M87" s="1" t="s">
        <v>148</v>
      </c>
      <c r="N87" s="1" t="s">
        <v>148</v>
      </c>
      <c r="O87" s="1" t="s">
        <v>148</v>
      </c>
      <c r="P87" s="5">
        <v>43670</v>
      </c>
      <c r="Q87" s="5">
        <v>43670</v>
      </c>
      <c r="R87" s="5">
        <v>43675</v>
      </c>
      <c r="S87" s="5">
        <v>43670</v>
      </c>
      <c r="T87" s="5">
        <v>43685</v>
      </c>
      <c r="U87" s="1" t="s">
        <v>1285</v>
      </c>
      <c r="V87" s="4">
        <v>0</v>
      </c>
      <c r="W87" s="6">
        <v>43500</v>
      </c>
      <c r="X87" s="6">
        <v>32800</v>
      </c>
      <c r="Y87" s="4">
        <v>1</v>
      </c>
      <c r="Z87" s="6">
        <v>32800</v>
      </c>
      <c r="AA87" s="1" t="s">
        <v>1318</v>
      </c>
      <c r="AB87" s="1" t="s">
        <v>540</v>
      </c>
      <c r="AC87" s="1" t="s">
        <v>1202</v>
      </c>
      <c r="AD87" s="1" t="s">
        <v>704</v>
      </c>
      <c r="AE87" s="1" t="s">
        <v>987</v>
      </c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2"/>
      <c r="AR87" s="1"/>
      <c r="AS87" s="1"/>
      <c r="AT87" s="1"/>
      <c r="AU87" s="1" t="s">
        <v>1288</v>
      </c>
      <c r="AV87" s="7">
        <v>43685.753002003265</v>
      </c>
      <c r="AW87" s="1"/>
      <c r="AX87" s="1"/>
      <c r="AY87" s="1"/>
      <c r="AZ87" s="5">
        <v>43830</v>
      </c>
      <c r="BA87" s="1"/>
      <c r="BB87" s="1"/>
      <c r="BC87" s="1"/>
      <c r="BD87" s="1"/>
    </row>
    <row r="88" spans="1:56" x14ac:dyDescent="0.25">
      <c r="A88" s="4">
        <v>83</v>
      </c>
      <c r="B88" s="2" t="str">
        <f>HYPERLINK("https://my.zakupki.prom.ua/remote/dispatcher/state_purchase_view/12057254", "UA-2019-06-27-001078-b")</f>
        <v>UA-2019-06-27-001078-b</v>
      </c>
      <c r="C88" s="2" t="s">
        <v>983</v>
      </c>
      <c r="D88" s="1" t="s">
        <v>1000</v>
      </c>
      <c r="E88" s="1" t="s">
        <v>665</v>
      </c>
      <c r="F88" s="1" t="s">
        <v>437</v>
      </c>
      <c r="G88" s="1" t="s">
        <v>702</v>
      </c>
      <c r="H88" s="1" t="s">
        <v>1202</v>
      </c>
      <c r="I88" s="1" t="s">
        <v>905</v>
      </c>
      <c r="J88" s="1" t="s">
        <v>158</v>
      </c>
      <c r="K88" s="1" t="s">
        <v>1103</v>
      </c>
      <c r="L88" s="1" t="s">
        <v>1103</v>
      </c>
      <c r="M88" s="1" t="s">
        <v>147</v>
      </c>
      <c r="N88" s="1" t="s">
        <v>147</v>
      </c>
      <c r="O88" s="1" t="s">
        <v>147</v>
      </c>
      <c r="P88" s="5">
        <v>43643</v>
      </c>
      <c r="Q88" s="5">
        <v>43643</v>
      </c>
      <c r="R88" s="5">
        <v>43648</v>
      </c>
      <c r="S88" s="5">
        <v>43643</v>
      </c>
      <c r="T88" s="5">
        <v>43658</v>
      </c>
      <c r="U88" s="7">
        <v>43661.529120370367</v>
      </c>
      <c r="V88" s="4">
        <v>2</v>
      </c>
      <c r="W88" s="6">
        <v>1100000</v>
      </c>
      <c r="X88" s="1" t="s">
        <v>983</v>
      </c>
      <c r="Y88" s="1" t="s">
        <v>1298</v>
      </c>
      <c r="Z88" s="1" t="s">
        <v>1298</v>
      </c>
      <c r="AA88" s="1" t="s">
        <v>1298</v>
      </c>
      <c r="AB88" s="1" t="s">
        <v>540</v>
      </c>
      <c r="AC88" s="1" t="s">
        <v>1202</v>
      </c>
      <c r="AD88" s="1" t="s">
        <v>704</v>
      </c>
      <c r="AE88" s="1" t="s">
        <v>987</v>
      </c>
      <c r="AF88" s="6">
        <v>1099246.6000000001</v>
      </c>
      <c r="AG88" s="1" t="s">
        <v>1298</v>
      </c>
      <c r="AH88" s="1" t="s">
        <v>1253</v>
      </c>
      <c r="AI88" s="6">
        <v>753.39999999990687</v>
      </c>
      <c r="AJ88" s="6">
        <v>6.8490909090900627E-4</v>
      </c>
      <c r="AK88" s="1" t="s">
        <v>1253</v>
      </c>
      <c r="AL88" s="1" t="s">
        <v>399</v>
      </c>
      <c r="AM88" s="1" t="s">
        <v>586</v>
      </c>
      <c r="AN88" s="1" t="s">
        <v>133</v>
      </c>
      <c r="AO88" s="6">
        <v>753.39999999990687</v>
      </c>
      <c r="AP88" s="6">
        <v>6.8490909090900627E-4</v>
      </c>
      <c r="AQ88" s="2" t="str">
        <f>HYPERLINK("https://auction.openprocurement.org/tenders/25ba20ccdd344497ad28b963fee6d68e")</f>
        <v>https://auction.openprocurement.org/tenders/25ba20ccdd344497ad28b963fee6d68e</v>
      </c>
      <c r="AR88" s="7">
        <v>43662.566743493255</v>
      </c>
      <c r="AS88" s="5">
        <v>43673</v>
      </c>
      <c r="AT88" s="5">
        <v>43683</v>
      </c>
      <c r="AU88" s="1" t="s">
        <v>1287</v>
      </c>
      <c r="AV88" s="7">
        <v>43675.614274857937</v>
      </c>
      <c r="AW88" s="1" t="s">
        <v>459</v>
      </c>
      <c r="AX88" s="6">
        <v>1099246.6000000001</v>
      </c>
      <c r="AY88" s="1"/>
      <c r="AZ88" s="5">
        <v>43708</v>
      </c>
      <c r="BA88" s="7">
        <v>43830</v>
      </c>
      <c r="BB88" s="1" t="s">
        <v>1310</v>
      </c>
      <c r="BC88" s="1"/>
      <c r="BD88" s="1"/>
    </row>
    <row r="89" spans="1:56" x14ac:dyDescent="0.25">
      <c r="A89" s="4">
        <v>84</v>
      </c>
      <c r="B89" s="2" t="str">
        <f>HYPERLINK("https://my.zakupki.prom.ua/remote/dispatcher/state_purchase_view/11833307", "UA-2019-06-05-003504-b")</f>
        <v>UA-2019-06-05-003504-b</v>
      </c>
      <c r="C89" s="2" t="s">
        <v>983</v>
      </c>
      <c r="D89" s="1" t="s">
        <v>858</v>
      </c>
      <c r="E89" s="1" t="s">
        <v>858</v>
      </c>
      <c r="F89" s="1" t="s">
        <v>509</v>
      </c>
      <c r="G89" s="1" t="s">
        <v>702</v>
      </c>
      <c r="H89" s="1" t="s">
        <v>1202</v>
      </c>
      <c r="I89" s="1" t="s">
        <v>905</v>
      </c>
      <c r="J89" s="1" t="s">
        <v>158</v>
      </c>
      <c r="K89" s="1" t="s">
        <v>1103</v>
      </c>
      <c r="L89" s="1" t="s">
        <v>1104</v>
      </c>
      <c r="M89" s="1" t="s">
        <v>147</v>
      </c>
      <c r="N89" s="1" t="s">
        <v>147</v>
      </c>
      <c r="O89" s="1" t="s">
        <v>147</v>
      </c>
      <c r="P89" s="5">
        <v>43621</v>
      </c>
      <c r="Q89" s="5">
        <v>43621</v>
      </c>
      <c r="R89" s="5">
        <v>43626</v>
      </c>
      <c r="S89" s="5">
        <v>43621</v>
      </c>
      <c r="T89" s="5">
        <v>43636</v>
      </c>
      <c r="U89" s="7">
        <v>43637.500891203701</v>
      </c>
      <c r="V89" s="4">
        <v>2</v>
      </c>
      <c r="W89" s="6">
        <v>1800000</v>
      </c>
      <c r="X89" s="1" t="s">
        <v>983</v>
      </c>
      <c r="Y89" s="4">
        <v>1</v>
      </c>
      <c r="Z89" s="6">
        <v>1800000</v>
      </c>
      <c r="AA89" s="1" t="s">
        <v>1307</v>
      </c>
      <c r="AB89" s="1" t="s">
        <v>540</v>
      </c>
      <c r="AC89" s="1" t="s">
        <v>1202</v>
      </c>
      <c r="AD89" s="1" t="s">
        <v>704</v>
      </c>
      <c r="AE89" s="1" t="s">
        <v>987</v>
      </c>
      <c r="AF89" s="6">
        <v>1787205</v>
      </c>
      <c r="AG89" s="6">
        <v>1787205</v>
      </c>
      <c r="AH89" s="1" t="s">
        <v>1165</v>
      </c>
      <c r="AI89" s="6">
        <v>12795</v>
      </c>
      <c r="AJ89" s="6">
        <v>7.1083333333333337E-3</v>
      </c>
      <c r="AK89" s="1" t="s">
        <v>1165</v>
      </c>
      <c r="AL89" s="1" t="s">
        <v>442</v>
      </c>
      <c r="AM89" s="1" t="s">
        <v>601</v>
      </c>
      <c r="AN89" s="1"/>
      <c r="AO89" s="6">
        <v>12795</v>
      </c>
      <c r="AP89" s="6">
        <v>7.1083333333333337E-3</v>
      </c>
      <c r="AQ89" s="2" t="str">
        <f>HYPERLINK("https://auction.openprocurement.org/tenders/36b3c328467641cc9a28c391f1a53d9a")</f>
        <v>https://auction.openprocurement.org/tenders/36b3c328467641cc9a28c391f1a53d9a</v>
      </c>
      <c r="AR89" s="7">
        <v>43642.596081608921</v>
      </c>
      <c r="AS89" s="5">
        <v>43653</v>
      </c>
      <c r="AT89" s="5">
        <v>43663</v>
      </c>
      <c r="AU89" s="1" t="s">
        <v>1287</v>
      </c>
      <c r="AV89" s="7">
        <v>43655.65419199469</v>
      </c>
      <c r="AW89" s="1" t="s">
        <v>457</v>
      </c>
      <c r="AX89" s="6">
        <v>1787205</v>
      </c>
      <c r="AY89" s="5">
        <v>43647</v>
      </c>
      <c r="AZ89" s="5">
        <v>43830</v>
      </c>
      <c r="BA89" s="7">
        <v>43830</v>
      </c>
      <c r="BB89" s="1" t="s">
        <v>1310</v>
      </c>
      <c r="BC89" s="1"/>
      <c r="BD89" s="1"/>
    </row>
    <row r="90" spans="1:56" x14ac:dyDescent="0.25">
      <c r="A90" s="4">
        <v>85</v>
      </c>
      <c r="B90" s="2" t="str">
        <f>HYPERLINK("https://my.zakupki.prom.ua/remote/dispatcher/state_purchase_view/11568859", "UA-2019-05-14-000494-a")</f>
        <v>UA-2019-05-14-000494-a</v>
      </c>
      <c r="C90" s="2" t="s">
        <v>983</v>
      </c>
      <c r="D90" s="1" t="s">
        <v>850</v>
      </c>
      <c r="E90" s="1" t="s">
        <v>850</v>
      </c>
      <c r="F90" s="1" t="s">
        <v>437</v>
      </c>
      <c r="G90" s="1" t="s">
        <v>702</v>
      </c>
      <c r="H90" s="1" t="s">
        <v>1202</v>
      </c>
      <c r="I90" s="1" t="s">
        <v>905</v>
      </c>
      <c r="J90" s="1" t="s">
        <v>158</v>
      </c>
      <c r="K90" s="1" t="s">
        <v>662</v>
      </c>
      <c r="L90" s="1" t="s">
        <v>1207</v>
      </c>
      <c r="M90" s="1" t="s">
        <v>174</v>
      </c>
      <c r="N90" s="1" t="s">
        <v>147</v>
      </c>
      <c r="O90" s="1" t="s">
        <v>147</v>
      </c>
      <c r="P90" s="5">
        <v>43599</v>
      </c>
      <c r="Q90" s="5">
        <v>43599</v>
      </c>
      <c r="R90" s="5">
        <v>43611</v>
      </c>
      <c r="S90" s="5">
        <v>43599</v>
      </c>
      <c r="T90" s="5">
        <v>43621</v>
      </c>
      <c r="U90" s="7">
        <v>43622.624872685185</v>
      </c>
      <c r="V90" s="4">
        <v>2</v>
      </c>
      <c r="W90" s="6">
        <v>1080000</v>
      </c>
      <c r="X90" s="1" t="s">
        <v>983</v>
      </c>
      <c r="Y90" s="4">
        <v>515</v>
      </c>
      <c r="Z90" s="6">
        <v>2097.09</v>
      </c>
      <c r="AA90" s="1" t="s">
        <v>1318</v>
      </c>
      <c r="AB90" s="1" t="s">
        <v>540</v>
      </c>
      <c r="AC90" s="1" t="s">
        <v>1202</v>
      </c>
      <c r="AD90" s="1" t="s">
        <v>704</v>
      </c>
      <c r="AE90" s="1" t="s">
        <v>987</v>
      </c>
      <c r="AF90" s="6">
        <v>1079980</v>
      </c>
      <c r="AG90" s="6">
        <v>2097.0485436893205</v>
      </c>
      <c r="AH90" s="1" t="s">
        <v>1253</v>
      </c>
      <c r="AI90" s="6">
        <v>20</v>
      </c>
      <c r="AJ90" s="6">
        <v>1.8518518518518518E-5</v>
      </c>
      <c r="AK90" s="1"/>
      <c r="AL90" s="1"/>
      <c r="AM90" s="1"/>
      <c r="AN90" s="1"/>
      <c r="AO90" s="1"/>
      <c r="AP90" s="1"/>
      <c r="AQ90" s="2" t="str">
        <f>HYPERLINK("https://auction.openprocurement.org/tenders/684652de115443e5bc6de56960aa50b2")</f>
        <v>https://auction.openprocurement.org/tenders/684652de115443e5bc6de56960aa50b2</v>
      </c>
      <c r="AR90" s="7">
        <v>43628.532824496091</v>
      </c>
      <c r="AS90" s="1"/>
      <c r="AT90" s="1"/>
      <c r="AU90" s="1" t="s">
        <v>1288</v>
      </c>
      <c r="AV90" s="7">
        <v>43639.003073123822</v>
      </c>
      <c r="AW90" s="1"/>
      <c r="AX90" s="1"/>
      <c r="AY90" s="1"/>
      <c r="AZ90" s="5">
        <v>43830</v>
      </c>
      <c r="BA90" s="1"/>
      <c r="BB90" s="1"/>
      <c r="BC90" s="1"/>
      <c r="BD90" s="1"/>
    </row>
    <row r="91" spans="1:56" hidden="1" x14ac:dyDescent="0.25">
      <c r="A91" s="4">
        <v>86</v>
      </c>
      <c r="B91" s="2" t="str">
        <f>HYPERLINK("https://my.zakupki.prom.ua/remote/dispatcher/state_purchase_view/11514839", "UA-2019-05-08-000760-a")</f>
        <v>UA-2019-05-08-000760-a</v>
      </c>
      <c r="C91" s="2" t="s">
        <v>983</v>
      </c>
      <c r="D91" s="1" t="s">
        <v>743</v>
      </c>
      <c r="E91" s="1" t="s">
        <v>657</v>
      </c>
      <c r="F91" s="1" t="s">
        <v>377</v>
      </c>
      <c r="G91" s="1" t="s">
        <v>883</v>
      </c>
      <c r="H91" s="1" t="s">
        <v>987</v>
      </c>
      <c r="I91" s="1" t="s">
        <v>905</v>
      </c>
      <c r="J91" s="1" t="s">
        <v>158</v>
      </c>
      <c r="K91" s="1" t="s">
        <v>662</v>
      </c>
      <c r="L91" s="1" t="s">
        <v>1207</v>
      </c>
      <c r="M91" s="1" t="s">
        <v>147</v>
      </c>
      <c r="N91" s="1" t="s">
        <v>147</v>
      </c>
      <c r="O91" s="1" t="s">
        <v>147</v>
      </c>
      <c r="P91" s="5">
        <v>43593</v>
      </c>
      <c r="Q91" s="5">
        <v>43593</v>
      </c>
      <c r="R91" s="5">
        <v>43598</v>
      </c>
      <c r="S91" s="5">
        <v>43598</v>
      </c>
      <c r="T91" s="5">
        <v>43601</v>
      </c>
      <c r="U91" s="1" t="s">
        <v>1285</v>
      </c>
      <c r="V91" s="4">
        <v>1</v>
      </c>
      <c r="W91" s="6">
        <v>69787.23</v>
      </c>
      <c r="X91" s="1" t="s">
        <v>983</v>
      </c>
      <c r="Y91" s="4">
        <v>19</v>
      </c>
      <c r="Z91" s="6">
        <v>3673.01</v>
      </c>
      <c r="AA91" s="1" t="s">
        <v>1315</v>
      </c>
      <c r="AB91" s="1" t="s">
        <v>540</v>
      </c>
      <c r="AC91" s="1" t="s">
        <v>1202</v>
      </c>
      <c r="AD91" s="1" t="s">
        <v>704</v>
      </c>
      <c r="AE91" s="1" t="s">
        <v>987</v>
      </c>
      <c r="AF91" s="6">
        <v>69388.86</v>
      </c>
      <c r="AG91" s="6">
        <v>3652.0452631578946</v>
      </c>
      <c r="AH91" s="1" t="s">
        <v>1150</v>
      </c>
      <c r="AI91" s="6">
        <v>398.36999999999534</v>
      </c>
      <c r="AJ91" s="6">
        <v>5.7083509404227016E-3</v>
      </c>
      <c r="AK91" s="1" t="s">
        <v>1150</v>
      </c>
      <c r="AL91" s="1" t="s">
        <v>409</v>
      </c>
      <c r="AM91" s="1" t="s">
        <v>630</v>
      </c>
      <c r="AN91" s="1" t="s">
        <v>82</v>
      </c>
      <c r="AO91" s="6">
        <v>398.36999999999534</v>
      </c>
      <c r="AP91" s="6">
        <v>5.7083509404227016E-3</v>
      </c>
      <c r="AQ91" s="2"/>
      <c r="AR91" s="7">
        <v>43602.396976055868</v>
      </c>
      <c r="AS91" s="5">
        <v>43606</v>
      </c>
      <c r="AT91" s="5">
        <v>43628</v>
      </c>
      <c r="AU91" s="1" t="s">
        <v>1287</v>
      </c>
      <c r="AV91" s="7">
        <v>43626.749613510518</v>
      </c>
      <c r="AW91" s="1" t="s">
        <v>479</v>
      </c>
      <c r="AX91" s="6">
        <v>69388.86</v>
      </c>
      <c r="AY91" s="5">
        <v>43605</v>
      </c>
      <c r="AZ91" s="5">
        <v>43830</v>
      </c>
      <c r="BA91" s="7">
        <v>43830</v>
      </c>
      <c r="BB91" s="1" t="s">
        <v>1310</v>
      </c>
      <c r="BC91" s="1"/>
      <c r="BD91" s="1"/>
    </row>
    <row r="92" spans="1:56" hidden="1" x14ac:dyDescent="0.25">
      <c r="A92" s="4">
        <v>87</v>
      </c>
      <c r="B92" s="2" t="str">
        <f>HYPERLINK("https://my.zakupki.prom.ua/remote/dispatcher/state_purchase_view/11430745", "UA-2019-04-25-000747-b")</f>
        <v>UA-2019-04-25-000747-b</v>
      </c>
      <c r="C92" s="2" t="s">
        <v>983</v>
      </c>
      <c r="D92" s="1" t="s">
        <v>761</v>
      </c>
      <c r="E92" s="1" t="s">
        <v>761</v>
      </c>
      <c r="F92" s="1" t="s">
        <v>283</v>
      </c>
      <c r="G92" s="1" t="s">
        <v>883</v>
      </c>
      <c r="H92" s="1" t="s">
        <v>987</v>
      </c>
      <c r="I92" s="1" t="s">
        <v>905</v>
      </c>
      <c r="J92" s="1" t="s">
        <v>158</v>
      </c>
      <c r="K92" s="1" t="s">
        <v>662</v>
      </c>
      <c r="L92" s="1" t="s">
        <v>1207</v>
      </c>
      <c r="M92" s="1" t="s">
        <v>147</v>
      </c>
      <c r="N92" s="1" t="s">
        <v>147</v>
      </c>
      <c r="O92" s="1" t="s">
        <v>147</v>
      </c>
      <c r="P92" s="5">
        <v>43580</v>
      </c>
      <c r="Q92" s="5">
        <v>43580</v>
      </c>
      <c r="R92" s="5">
        <v>43588</v>
      </c>
      <c r="S92" s="5">
        <v>43588</v>
      </c>
      <c r="T92" s="5">
        <v>43592</v>
      </c>
      <c r="U92" s="7">
        <v>43593.469363425924</v>
      </c>
      <c r="V92" s="4">
        <v>2</v>
      </c>
      <c r="W92" s="6">
        <v>30140</v>
      </c>
      <c r="X92" s="1" t="s">
        <v>983</v>
      </c>
      <c r="Y92" s="4">
        <v>60</v>
      </c>
      <c r="Z92" s="6">
        <v>502.33</v>
      </c>
      <c r="AA92" s="1" t="s">
        <v>1318</v>
      </c>
      <c r="AB92" s="1" t="s">
        <v>540</v>
      </c>
      <c r="AC92" s="1" t="s">
        <v>1202</v>
      </c>
      <c r="AD92" s="1" t="s">
        <v>704</v>
      </c>
      <c r="AE92" s="1" t="s">
        <v>987</v>
      </c>
      <c r="AF92" s="6">
        <v>29018.400000000001</v>
      </c>
      <c r="AG92" s="6">
        <v>483.64000000000004</v>
      </c>
      <c r="AH92" s="1" t="s">
        <v>1157</v>
      </c>
      <c r="AI92" s="6">
        <v>1121.5999999999985</v>
      </c>
      <c r="AJ92" s="6">
        <v>3.7213005972130009E-2</v>
      </c>
      <c r="AK92" s="1" t="s">
        <v>1157</v>
      </c>
      <c r="AL92" s="1" t="s">
        <v>453</v>
      </c>
      <c r="AM92" s="1" t="s">
        <v>613</v>
      </c>
      <c r="AN92" s="1" t="s">
        <v>97</v>
      </c>
      <c r="AO92" s="6">
        <v>1121.5999999999985</v>
      </c>
      <c r="AP92" s="6">
        <v>3.7213005972130009E-2</v>
      </c>
      <c r="AQ92" s="2" t="str">
        <f>HYPERLINK("https://auction.openprocurement.org/tenders/6f510bf4abac4657a924b82e7e68e0d0")</f>
        <v>https://auction.openprocurement.org/tenders/6f510bf4abac4657a924b82e7e68e0d0</v>
      </c>
      <c r="AR92" s="7">
        <v>43593.616358739615</v>
      </c>
      <c r="AS92" s="5">
        <v>43598</v>
      </c>
      <c r="AT92" s="5">
        <v>43618</v>
      </c>
      <c r="AU92" s="1" t="s">
        <v>1287</v>
      </c>
      <c r="AV92" s="7">
        <v>43620.403734045081</v>
      </c>
      <c r="AW92" s="1" t="s">
        <v>417</v>
      </c>
      <c r="AX92" s="6">
        <v>29018.400000000001</v>
      </c>
      <c r="AY92" s="5">
        <v>43595</v>
      </c>
      <c r="AZ92" s="5">
        <v>43616</v>
      </c>
      <c r="BA92" s="7">
        <v>43830</v>
      </c>
      <c r="BB92" s="1" t="s">
        <v>1310</v>
      </c>
      <c r="BC92" s="1"/>
      <c r="BD92" s="1"/>
    </row>
    <row r="93" spans="1:56" hidden="1" x14ac:dyDescent="0.25">
      <c r="A93" s="4">
        <v>88</v>
      </c>
      <c r="B93" s="2" t="str">
        <f>HYPERLINK("https://my.zakupki.prom.ua/remote/dispatcher/state_purchase_view/11430121", "UA-2019-04-25-000557-b")</f>
        <v>UA-2019-04-25-000557-b</v>
      </c>
      <c r="C93" s="2" t="s">
        <v>983</v>
      </c>
      <c r="D93" s="1" t="s">
        <v>712</v>
      </c>
      <c r="E93" s="1" t="s">
        <v>712</v>
      </c>
      <c r="F93" s="1" t="s">
        <v>505</v>
      </c>
      <c r="G93" s="1" t="s">
        <v>883</v>
      </c>
      <c r="H93" s="1" t="s">
        <v>987</v>
      </c>
      <c r="I93" s="1" t="s">
        <v>905</v>
      </c>
      <c r="J93" s="1" t="s">
        <v>158</v>
      </c>
      <c r="K93" s="1" t="s">
        <v>662</v>
      </c>
      <c r="L93" s="1" t="s">
        <v>1207</v>
      </c>
      <c r="M93" s="1" t="s">
        <v>147</v>
      </c>
      <c r="N93" s="1" t="s">
        <v>147</v>
      </c>
      <c r="O93" s="1" t="s">
        <v>147</v>
      </c>
      <c r="P93" s="5">
        <v>43580</v>
      </c>
      <c r="Q93" s="5">
        <v>43580</v>
      </c>
      <c r="R93" s="5">
        <v>43588</v>
      </c>
      <c r="S93" s="5">
        <v>43588</v>
      </c>
      <c r="T93" s="5">
        <v>43592</v>
      </c>
      <c r="U93" s="1" t="s">
        <v>1285</v>
      </c>
      <c r="V93" s="4">
        <v>1</v>
      </c>
      <c r="W93" s="6">
        <v>9200</v>
      </c>
      <c r="X93" s="1" t="s">
        <v>983</v>
      </c>
      <c r="Y93" s="4">
        <v>2</v>
      </c>
      <c r="Z93" s="6">
        <v>4600</v>
      </c>
      <c r="AA93" s="1" t="s">
        <v>1307</v>
      </c>
      <c r="AB93" s="1" t="s">
        <v>540</v>
      </c>
      <c r="AC93" s="1" t="s">
        <v>1202</v>
      </c>
      <c r="AD93" s="1" t="s">
        <v>704</v>
      </c>
      <c r="AE93" s="1" t="s">
        <v>987</v>
      </c>
      <c r="AF93" s="6">
        <v>9183.1</v>
      </c>
      <c r="AG93" s="6">
        <v>4591.55</v>
      </c>
      <c r="AH93" s="1" t="s">
        <v>868</v>
      </c>
      <c r="AI93" s="6">
        <v>16.899999999999636</v>
      </c>
      <c r="AJ93" s="6">
        <v>1.836956521739091E-3</v>
      </c>
      <c r="AK93" s="1" t="s">
        <v>868</v>
      </c>
      <c r="AL93" s="1" t="s">
        <v>427</v>
      </c>
      <c r="AM93" s="1" t="s">
        <v>554</v>
      </c>
      <c r="AN93" s="1" t="s">
        <v>68</v>
      </c>
      <c r="AO93" s="6">
        <v>16.899999999999636</v>
      </c>
      <c r="AP93" s="6">
        <v>1.836956521739091E-3</v>
      </c>
      <c r="AQ93" s="2"/>
      <c r="AR93" s="7">
        <v>43593.512866481818</v>
      </c>
      <c r="AS93" s="5">
        <v>43598</v>
      </c>
      <c r="AT93" s="5">
        <v>43618</v>
      </c>
      <c r="AU93" s="1" t="s">
        <v>1287</v>
      </c>
      <c r="AV93" s="7">
        <v>43620.438516316019</v>
      </c>
      <c r="AW93" s="1" t="s">
        <v>374</v>
      </c>
      <c r="AX93" s="6">
        <v>9183.1</v>
      </c>
      <c r="AY93" s="5">
        <v>43595</v>
      </c>
      <c r="AZ93" s="5">
        <v>43616</v>
      </c>
      <c r="BA93" s="7">
        <v>43830</v>
      </c>
      <c r="BB93" s="1" t="s">
        <v>1310</v>
      </c>
      <c r="BC93" s="1"/>
      <c r="BD93" s="1"/>
    </row>
    <row r="94" spans="1:56" hidden="1" x14ac:dyDescent="0.25">
      <c r="A94" s="4">
        <v>89</v>
      </c>
      <c r="B94" s="2" t="str">
        <f>HYPERLINK("https://my.zakupki.prom.ua/remote/dispatcher/state_purchase_view/11425322", "UA-2019-04-24-002956-b")</f>
        <v>UA-2019-04-24-002956-b</v>
      </c>
      <c r="C94" s="2" t="s">
        <v>983</v>
      </c>
      <c r="D94" s="1" t="s">
        <v>740</v>
      </c>
      <c r="E94" s="1" t="s">
        <v>1116</v>
      </c>
      <c r="F94" s="1" t="s">
        <v>375</v>
      </c>
      <c r="G94" s="1" t="s">
        <v>883</v>
      </c>
      <c r="H94" s="1" t="s">
        <v>987</v>
      </c>
      <c r="I94" s="1" t="s">
        <v>905</v>
      </c>
      <c r="J94" s="1" t="s">
        <v>158</v>
      </c>
      <c r="K94" s="1" t="s">
        <v>662</v>
      </c>
      <c r="L94" s="1" t="s">
        <v>1207</v>
      </c>
      <c r="M94" s="1" t="s">
        <v>147</v>
      </c>
      <c r="N94" s="1" t="s">
        <v>147</v>
      </c>
      <c r="O94" s="1" t="s">
        <v>147</v>
      </c>
      <c r="P94" s="5">
        <v>43579</v>
      </c>
      <c r="Q94" s="5">
        <v>43579</v>
      </c>
      <c r="R94" s="5">
        <v>43581</v>
      </c>
      <c r="S94" s="5">
        <v>43581</v>
      </c>
      <c r="T94" s="5">
        <v>43588</v>
      </c>
      <c r="U94" s="7">
        <v>43591.531053240738</v>
      </c>
      <c r="V94" s="4">
        <v>3</v>
      </c>
      <c r="W94" s="6">
        <v>7813</v>
      </c>
      <c r="X94" s="1" t="s">
        <v>983</v>
      </c>
      <c r="Y94" s="4">
        <v>350</v>
      </c>
      <c r="Z94" s="6">
        <v>22.32</v>
      </c>
      <c r="AA94" s="1" t="s">
        <v>1318</v>
      </c>
      <c r="AB94" s="1" t="s">
        <v>540</v>
      </c>
      <c r="AC94" s="1" t="s">
        <v>1202</v>
      </c>
      <c r="AD94" s="1" t="s">
        <v>704</v>
      </c>
      <c r="AE94" s="1" t="s">
        <v>987</v>
      </c>
      <c r="AF94" s="6">
        <v>7215</v>
      </c>
      <c r="AG94" s="6">
        <v>20.614285714285714</v>
      </c>
      <c r="AH94" s="1" t="s">
        <v>1162</v>
      </c>
      <c r="AI94" s="6">
        <v>598</v>
      </c>
      <c r="AJ94" s="6">
        <v>7.6539101497504161E-2</v>
      </c>
      <c r="AK94" s="1" t="s">
        <v>1162</v>
      </c>
      <c r="AL94" s="1" t="s">
        <v>423</v>
      </c>
      <c r="AM94" s="1" t="s">
        <v>614</v>
      </c>
      <c r="AN94" s="1" t="s">
        <v>93</v>
      </c>
      <c r="AO94" s="6">
        <v>598</v>
      </c>
      <c r="AP94" s="6">
        <v>7.6539101497504161E-2</v>
      </c>
      <c r="AQ94" s="2" t="str">
        <f>HYPERLINK("https://auction.openprocurement.org/tenders/1cc7abb9329f474a9e12ef715d7f039d")</f>
        <v>https://auction.openprocurement.org/tenders/1cc7abb9329f474a9e12ef715d7f039d</v>
      </c>
      <c r="AR94" s="7">
        <v>43598.475133253654</v>
      </c>
      <c r="AS94" s="5">
        <v>43600</v>
      </c>
      <c r="AT94" s="5">
        <v>43611</v>
      </c>
      <c r="AU94" s="1" t="s">
        <v>1287</v>
      </c>
      <c r="AV94" s="7">
        <v>43620.441837955615</v>
      </c>
      <c r="AW94" s="1" t="s">
        <v>344</v>
      </c>
      <c r="AX94" s="6">
        <v>7215</v>
      </c>
      <c r="AY94" s="5">
        <v>43593</v>
      </c>
      <c r="AZ94" s="5">
        <v>43616</v>
      </c>
      <c r="BA94" s="7">
        <v>43830</v>
      </c>
      <c r="BB94" s="1" t="s">
        <v>1310</v>
      </c>
      <c r="BC94" s="1"/>
      <c r="BD94" s="1"/>
    </row>
    <row r="95" spans="1:56" x14ac:dyDescent="0.25">
      <c r="A95" s="4">
        <v>90</v>
      </c>
      <c r="B95" s="2" t="str">
        <f>HYPERLINK("https://my.zakupki.prom.ua/remote/dispatcher/state_purchase_view/11398838", "UA-2019-04-23-002380-b")</f>
        <v>UA-2019-04-23-002380-b</v>
      </c>
      <c r="C95" s="2" t="s">
        <v>983</v>
      </c>
      <c r="D95" s="1" t="s">
        <v>858</v>
      </c>
      <c r="E95" s="1" t="s">
        <v>858</v>
      </c>
      <c r="F95" s="1" t="s">
        <v>509</v>
      </c>
      <c r="G95" s="1" t="s">
        <v>702</v>
      </c>
      <c r="H95" s="1" t="s">
        <v>1202</v>
      </c>
      <c r="I95" s="1" t="s">
        <v>905</v>
      </c>
      <c r="J95" s="1" t="s">
        <v>158</v>
      </c>
      <c r="K95" s="1" t="s">
        <v>662</v>
      </c>
      <c r="L95" s="1" t="s">
        <v>1207</v>
      </c>
      <c r="M95" s="1" t="s">
        <v>147</v>
      </c>
      <c r="N95" s="1" t="s">
        <v>147</v>
      </c>
      <c r="O95" s="1" t="s">
        <v>147</v>
      </c>
      <c r="P95" s="5">
        <v>43578</v>
      </c>
      <c r="Q95" s="5">
        <v>43578</v>
      </c>
      <c r="R95" s="5">
        <v>43585</v>
      </c>
      <c r="S95" s="5">
        <v>43578</v>
      </c>
      <c r="T95" s="5">
        <v>43595</v>
      </c>
      <c r="U95" s="1" t="s">
        <v>1285</v>
      </c>
      <c r="V95" s="4">
        <v>2</v>
      </c>
      <c r="W95" s="6">
        <v>1800000</v>
      </c>
      <c r="X95" s="1" t="s">
        <v>983</v>
      </c>
      <c r="Y95" s="4">
        <v>1</v>
      </c>
      <c r="Z95" s="6">
        <v>1800000</v>
      </c>
      <c r="AA95" s="1" t="s">
        <v>1307</v>
      </c>
      <c r="AB95" s="1" t="s">
        <v>540</v>
      </c>
      <c r="AC95" s="1" t="s">
        <v>1202</v>
      </c>
      <c r="AD95" s="1" t="s">
        <v>704</v>
      </c>
      <c r="AE95" s="1" t="s">
        <v>987</v>
      </c>
      <c r="AF95" s="6">
        <v>1787205</v>
      </c>
      <c r="AG95" s="6">
        <v>1787205</v>
      </c>
      <c r="AH95" s="1" t="s">
        <v>1165</v>
      </c>
      <c r="AI95" s="6">
        <v>12795</v>
      </c>
      <c r="AJ95" s="6">
        <v>7.1083333333333337E-3</v>
      </c>
      <c r="AK95" s="1" t="s">
        <v>1165</v>
      </c>
      <c r="AL95" s="1" t="s">
        <v>442</v>
      </c>
      <c r="AM95" s="1" t="s">
        <v>601</v>
      </c>
      <c r="AN95" s="1"/>
      <c r="AO95" s="6">
        <v>12795</v>
      </c>
      <c r="AP95" s="6">
        <v>7.1083333333333337E-3</v>
      </c>
      <c r="AQ95" s="2" t="str">
        <f>HYPERLINK("https://auction.openprocurement.org/tenders/ffc7c64c08204070a851689d4c43ac9b")</f>
        <v>https://auction.openprocurement.org/tenders/ffc7c64c08204070a851689d4c43ac9b</v>
      </c>
      <c r="AR95" s="7">
        <v>43599.494037997058</v>
      </c>
      <c r="AS95" s="1"/>
      <c r="AT95" s="1"/>
      <c r="AU95" s="1" t="s">
        <v>1312</v>
      </c>
      <c r="AV95" s="7">
        <v>43608.71508377252</v>
      </c>
      <c r="AW95" s="1"/>
      <c r="AX95" s="6">
        <v>1787205</v>
      </c>
      <c r="AY95" s="5">
        <v>43612</v>
      </c>
      <c r="AZ95" s="5">
        <v>43830</v>
      </c>
      <c r="BA95" s="1"/>
      <c r="BB95" s="1" t="s">
        <v>1303</v>
      </c>
      <c r="BC95" s="1" t="s">
        <v>894</v>
      </c>
      <c r="BD95" s="1"/>
    </row>
    <row r="96" spans="1:56" hidden="1" x14ac:dyDescent="0.25">
      <c r="A96" s="4">
        <v>91</v>
      </c>
      <c r="B96" s="2" t="str">
        <f>HYPERLINK("https://my.zakupki.prom.ua/remote/dispatcher/state_purchase_view/11398310", "UA-2019-04-23-000712-b")</f>
        <v>UA-2019-04-23-000712-b</v>
      </c>
      <c r="C96" s="2" t="s">
        <v>983</v>
      </c>
      <c r="D96" s="1" t="s">
        <v>729</v>
      </c>
      <c r="E96" s="1" t="s">
        <v>974</v>
      </c>
      <c r="F96" s="1" t="s">
        <v>355</v>
      </c>
      <c r="G96" s="1" t="s">
        <v>883</v>
      </c>
      <c r="H96" s="1" t="s">
        <v>987</v>
      </c>
      <c r="I96" s="1" t="s">
        <v>905</v>
      </c>
      <c r="J96" s="1" t="s">
        <v>158</v>
      </c>
      <c r="K96" s="1" t="s">
        <v>662</v>
      </c>
      <c r="L96" s="1" t="s">
        <v>1207</v>
      </c>
      <c r="M96" s="1" t="s">
        <v>147</v>
      </c>
      <c r="N96" s="1" t="s">
        <v>147</v>
      </c>
      <c r="O96" s="1" t="s">
        <v>147</v>
      </c>
      <c r="P96" s="5">
        <v>43578</v>
      </c>
      <c r="Q96" s="5">
        <v>43578</v>
      </c>
      <c r="R96" s="5">
        <v>43581</v>
      </c>
      <c r="S96" s="5">
        <v>43581</v>
      </c>
      <c r="T96" s="5">
        <v>43588</v>
      </c>
      <c r="U96" s="7">
        <v>43591.636099537034</v>
      </c>
      <c r="V96" s="4">
        <v>4</v>
      </c>
      <c r="W96" s="6">
        <v>54568.85</v>
      </c>
      <c r="X96" s="1" t="s">
        <v>983</v>
      </c>
      <c r="Y96" s="4">
        <v>3600</v>
      </c>
      <c r="Z96" s="6">
        <v>15.16</v>
      </c>
      <c r="AA96" s="1" t="s">
        <v>1318</v>
      </c>
      <c r="AB96" s="1" t="s">
        <v>540</v>
      </c>
      <c r="AC96" s="1" t="s">
        <v>1202</v>
      </c>
      <c r="AD96" s="1" t="s">
        <v>704</v>
      </c>
      <c r="AE96" s="1" t="s">
        <v>987</v>
      </c>
      <c r="AF96" s="6">
        <v>48815</v>
      </c>
      <c r="AG96" s="6">
        <v>13.559722222222222</v>
      </c>
      <c r="AH96" s="1" t="s">
        <v>1168</v>
      </c>
      <c r="AI96" s="6">
        <v>5753.8499999999985</v>
      </c>
      <c r="AJ96" s="6">
        <v>0.10544202415847134</v>
      </c>
      <c r="AK96" s="1" t="s">
        <v>1168</v>
      </c>
      <c r="AL96" s="1" t="s">
        <v>413</v>
      </c>
      <c r="AM96" s="1" t="s">
        <v>574</v>
      </c>
      <c r="AN96" s="1" t="s">
        <v>141</v>
      </c>
      <c r="AO96" s="6">
        <v>5753.8499999999985</v>
      </c>
      <c r="AP96" s="6">
        <v>0.10544202415847134</v>
      </c>
      <c r="AQ96" s="2" t="str">
        <f>HYPERLINK("https://auction.openprocurement.org/tenders/8fd6f73ee1f74ebdb73997185f316bcc")</f>
        <v>https://auction.openprocurement.org/tenders/8fd6f73ee1f74ebdb73997185f316bcc</v>
      </c>
      <c r="AR96" s="7">
        <v>43593.619652369234</v>
      </c>
      <c r="AS96" s="5">
        <v>43598</v>
      </c>
      <c r="AT96" s="5">
        <v>43611</v>
      </c>
      <c r="AU96" s="1" t="s">
        <v>1287</v>
      </c>
      <c r="AV96" s="7">
        <v>43605.453126663342</v>
      </c>
      <c r="AW96" s="1" t="s">
        <v>241</v>
      </c>
      <c r="AX96" s="6">
        <v>48815</v>
      </c>
      <c r="AY96" s="5">
        <v>43593</v>
      </c>
      <c r="AZ96" s="5">
        <v>43616</v>
      </c>
      <c r="BA96" s="7">
        <v>43830</v>
      </c>
      <c r="BB96" s="1" t="s">
        <v>1310</v>
      </c>
      <c r="BC96" s="1"/>
      <c r="BD96" s="1"/>
    </row>
    <row r="97" spans="1:56" hidden="1" x14ac:dyDescent="0.25">
      <c r="A97" s="4">
        <v>92</v>
      </c>
      <c r="B97" s="2" t="str">
        <f>HYPERLINK("https://my.zakupki.prom.ua/remote/dispatcher/state_purchase_view/11398245", "UA-2019-04-23-000692-b")</f>
        <v>UA-2019-04-23-000692-b</v>
      </c>
      <c r="C97" s="2" t="s">
        <v>983</v>
      </c>
      <c r="D97" s="1" t="s">
        <v>726</v>
      </c>
      <c r="E97" s="1" t="s">
        <v>940</v>
      </c>
      <c r="F97" s="1" t="s">
        <v>355</v>
      </c>
      <c r="G97" s="1" t="s">
        <v>883</v>
      </c>
      <c r="H97" s="1" t="s">
        <v>987</v>
      </c>
      <c r="I97" s="1" t="s">
        <v>905</v>
      </c>
      <c r="J97" s="1" t="s">
        <v>158</v>
      </c>
      <c r="K97" s="1" t="s">
        <v>662</v>
      </c>
      <c r="L97" s="1" t="s">
        <v>1207</v>
      </c>
      <c r="M97" s="1" t="s">
        <v>147</v>
      </c>
      <c r="N97" s="1" t="s">
        <v>147</v>
      </c>
      <c r="O97" s="1" t="s">
        <v>147</v>
      </c>
      <c r="P97" s="5">
        <v>43578</v>
      </c>
      <c r="Q97" s="5">
        <v>43578</v>
      </c>
      <c r="R97" s="5">
        <v>43581</v>
      </c>
      <c r="S97" s="5">
        <v>43581</v>
      </c>
      <c r="T97" s="5">
        <v>43588</v>
      </c>
      <c r="U97" s="7">
        <v>43591.484548611108</v>
      </c>
      <c r="V97" s="4">
        <v>2</v>
      </c>
      <c r="W97" s="6">
        <v>24840.3</v>
      </c>
      <c r="X97" s="1" t="s">
        <v>983</v>
      </c>
      <c r="Y97" s="4">
        <v>6272</v>
      </c>
      <c r="Z97" s="6">
        <v>3.96</v>
      </c>
      <c r="AA97" s="1" t="s">
        <v>1318</v>
      </c>
      <c r="AB97" s="1" t="s">
        <v>540</v>
      </c>
      <c r="AC97" s="1" t="s">
        <v>1202</v>
      </c>
      <c r="AD97" s="1" t="s">
        <v>704</v>
      </c>
      <c r="AE97" s="1" t="s">
        <v>987</v>
      </c>
      <c r="AF97" s="6">
        <v>20641.52</v>
      </c>
      <c r="AG97" s="6">
        <v>3.2910586734693879</v>
      </c>
      <c r="AH97" s="1" t="s">
        <v>1146</v>
      </c>
      <c r="AI97" s="6">
        <v>4198.7799999999988</v>
      </c>
      <c r="AJ97" s="6">
        <v>0.16903096983530791</v>
      </c>
      <c r="AK97" s="1" t="s">
        <v>1146</v>
      </c>
      <c r="AL97" s="1" t="s">
        <v>438</v>
      </c>
      <c r="AM97" s="1" t="s">
        <v>558</v>
      </c>
      <c r="AN97" s="1" t="s">
        <v>139</v>
      </c>
      <c r="AO97" s="6">
        <v>4198.7799999999988</v>
      </c>
      <c r="AP97" s="6">
        <v>0.16903096983530791</v>
      </c>
      <c r="AQ97" s="2" t="str">
        <f>HYPERLINK("https://auction.openprocurement.org/tenders/dd210d55b49f4633a5d5c85dcaf6396d")</f>
        <v>https://auction.openprocurement.org/tenders/dd210d55b49f4633a5d5c85dcaf6396d</v>
      </c>
      <c r="AR97" s="7">
        <v>43595.418712940314</v>
      </c>
      <c r="AS97" s="5">
        <v>43599</v>
      </c>
      <c r="AT97" s="5">
        <v>43611</v>
      </c>
      <c r="AU97" s="1" t="s">
        <v>1287</v>
      </c>
      <c r="AV97" s="7">
        <v>43620.462333002492</v>
      </c>
      <c r="AW97" s="1" t="s">
        <v>433</v>
      </c>
      <c r="AX97" s="6">
        <v>20641.52</v>
      </c>
      <c r="AY97" s="5">
        <v>43591</v>
      </c>
      <c r="AZ97" s="5">
        <v>43616</v>
      </c>
      <c r="BA97" s="7">
        <v>43830</v>
      </c>
      <c r="BB97" s="1" t="s">
        <v>1310</v>
      </c>
      <c r="BC97" s="1"/>
      <c r="BD97" s="1"/>
    </row>
    <row r="98" spans="1:56" hidden="1" x14ac:dyDescent="0.25">
      <c r="A98" s="4">
        <v>93</v>
      </c>
      <c r="B98" s="2" t="str">
        <f>HYPERLINK("https://my.zakupki.prom.ua/remote/dispatcher/state_purchase_view/11398142", "UA-2019-04-23-000666-b")</f>
        <v>UA-2019-04-23-000666-b</v>
      </c>
      <c r="C98" s="2" t="s">
        <v>983</v>
      </c>
      <c r="D98" s="1" t="s">
        <v>11</v>
      </c>
      <c r="E98" s="1" t="s">
        <v>1289</v>
      </c>
      <c r="F98" s="1" t="s">
        <v>381</v>
      </c>
      <c r="G98" s="1" t="s">
        <v>883</v>
      </c>
      <c r="H98" s="1" t="s">
        <v>987</v>
      </c>
      <c r="I98" s="1" t="s">
        <v>905</v>
      </c>
      <c r="J98" s="1" t="s">
        <v>158</v>
      </c>
      <c r="K98" s="1" t="s">
        <v>662</v>
      </c>
      <c r="L98" s="1" t="s">
        <v>1207</v>
      </c>
      <c r="M98" s="1" t="s">
        <v>147</v>
      </c>
      <c r="N98" s="1" t="s">
        <v>147</v>
      </c>
      <c r="O98" s="1" t="s">
        <v>147</v>
      </c>
      <c r="P98" s="5">
        <v>43578</v>
      </c>
      <c r="Q98" s="5">
        <v>43578</v>
      </c>
      <c r="R98" s="5">
        <v>43581</v>
      </c>
      <c r="S98" s="5">
        <v>43581</v>
      </c>
      <c r="T98" s="5">
        <v>43588</v>
      </c>
      <c r="U98" s="1" t="s">
        <v>1285</v>
      </c>
      <c r="V98" s="4">
        <v>1</v>
      </c>
      <c r="W98" s="6">
        <v>4510</v>
      </c>
      <c r="X98" s="1" t="s">
        <v>983</v>
      </c>
      <c r="Y98" s="4">
        <v>3</v>
      </c>
      <c r="Z98" s="6">
        <v>1503.33</v>
      </c>
      <c r="AA98" s="1" t="s">
        <v>1301</v>
      </c>
      <c r="AB98" s="1" t="s">
        <v>540</v>
      </c>
      <c r="AC98" s="1" t="s">
        <v>1202</v>
      </c>
      <c r="AD98" s="1" t="s">
        <v>704</v>
      </c>
      <c r="AE98" s="1" t="s">
        <v>987</v>
      </c>
      <c r="AF98" s="6">
        <v>4510</v>
      </c>
      <c r="AG98" s="6">
        <v>1503.3333333333333</v>
      </c>
      <c r="AH98" s="1" t="s">
        <v>1255</v>
      </c>
      <c r="AI98" s="1"/>
      <c r="AJ98" s="1"/>
      <c r="AK98" s="1" t="s">
        <v>1255</v>
      </c>
      <c r="AL98" s="1" t="s">
        <v>300</v>
      </c>
      <c r="AM98" s="1" t="s">
        <v>576</v>
      </c>
      <c r="AN98" s="1" t="s">
        <v>102</v>
      </c>
      <c r="AO98" s="1"/>
      <c r="AP98" s="1"/>
      <c r="AQ98" s="2"/>
      <c r="AR98" s="7">
        <v>43591.397698681467</v>
      </c>
      <c r="AS98" s="5">
        <v>43593</v>
      </c>
      <c r="AT98" s="5">
        <v>43611</v>
      </c>
      <c r="AU98" s="1" t="s">
        <v>1287</v>
      </c>
      <c r="AV98" s="7">
        <v>43620.464013802281</v>
      </c>
      <c r="AW98" s="1" t="s">
        <v>400</v>
      </c>
      <c r="AX98" s="6">
        <v>4510</v>
      </c>
      <c r="AY98" s="5">
        <v>43591</v>
      </c>
      <c r="AZ98" s="5">
        <v>43616</v>
      </c>
      <c r="BA98" s="7">
        <v>43830</v>
      </c>
      <c r="BB98" s="1" t="s">
        <v>1310</v>
      </c>
      <c r="BC98" s="1"/>
      <c r="BD98" s="1"/>
    </row>
    <row r="99" spans="1:56" hidden="1" x14ac:dyDescent="0.25">
      <c r="A99" s="4">
        <v>94</v>
      </c>
      <c r="B99" s="2" t="str">
        <f>HYPERLINK("https://my.zakupki.prom.ua/remote/dispatcher/state_purchase_view/11397901", "UA-2019-04-23-000630-b")</f>
        <v>UA-2019-04-23-000630-b</v>
      </c>
      <c r="C99" s="2" t="s">
        <v>983</v>
      </c>
      <c r="D99" s="1" t="s">
        <v>15</v>
      </c>
      <c r="E99" s="1" t="s">
        <v>1293</v>
      </c>
      <c r="F99" s="1" t="s">
        <v>381</v>
      </c>
      <c r="G99" s="1" t="s">
        <v>883</v>
      </c>
      <c r="H99" s="1" t="s">
        <v>987</v>
      </c>
      <c r="I99" s="1" t="s">
        <v>905</v>
      </c>
      <c r="J99" s="1" t="s">
        <v>158</v>
      </c>
      <c r="K99" s="1" t="s">
        <v>662</v>
      </c>
      <c r="L99" s="1" t="s">
        <v>1207</v>
      </c>
      <c r="M99" s="1" t="s">
        <v>147</v>
      </c>
      <c r="N99" s="1" t="s">
        <v>147</v>
      </c>
      <c r="O99" s="1" t="s">
        <v>147</v>
      </c>
      <c r="P99" s="5">
        <v>43578</v>
      </c>
      <c r="Q99" s="5">
        <v>43578</v>
      </c>
      <c r="R99" s="5">
        <v>43581</v>
      </c>
      <c r="S99" s="5">
        <v>43581</v>
      </c>
      <c r="T99" s="5">
        <v>43588</v>
      </c>
      <c r="U99" s="7">
        <v>43591.520312499997</v>
      </c>
      <c r="V99" s="4">
        <v>2</v>
      </c>
      <c r="W99" s="6">
        <v>6431.75</v>
      </c>
      <c r="X99" s="1" t="s">
        <v>983</v>
      </c>
      <c r="Y99" s="4">
        <v>48</v>
      </c>
      <c r="Z99" s="6">
        <v>133.99</v>
      </c>
      <c r="AA99" s="1" t="s">
        <v>1318</v>
      </c>
      <c r="AB99" s="1" t="s">
        <v>540</v>
      </c>
      <c r="AC99" s="1" t="s">
        <v>1202</v>
      </c>
      <c r="AD99" s="1" t="s">
        <v>704</v>
      </c>
      <c r="AE99" s="1" t="s">
        <v>987</v>
      </c>
      <c r="AF99" s="6">
        <v>6260</v>
      </c>
      <c r="AG99" s="6">
        <v>130.41666666666666</v>
      </c>
      <c r="AH99" s="1" t="s">
        <v>1265</v>
      </c>
      <c r="AI99" s="6">
        <v>171.75</v>
      </c>
      <c r="AJ99" s="6">
        <v>2.670346328759669E-2</v>
      </c>
      <c r="AK99" s="1" t="s">
        <v>1265</v>
      </c>
      <c r="AL99" s="1" t="s">
        <v>392</v>
      </c>
      <c r="AM99" s="1" t="s">
        <v>611</v>
      </c>
      <c r="AN99" s="1" t="s">
        <v>118</v>
      </c>
      <c r="AO99" s="6">
        <v>171.75</v>
      </c>
      <c r="AP99" s="6">
        <v>2.670346328759669E-2</v>
      </c>
      <c r="AQ99" s="2" t="str">
        <f>HYPERLINK("https://auction.openprocurement.org/tenders/b87e09c3d0a0484288f504e0153a5acb")</f>
        <v>https://auction.openprocurement.org/tenders/b87e09c3d0a0484288f504e0153a5acb</v>
      </c>
      <c r="AR99" s="7">
        <v>43593.515946943684</v>
      </c>
      <c r="AS99" s="5">
        <v>43598</v>
      </c>
      <c r="AT99" s="5">
        <v>43611</v>
      </c>
      <c r="AU99" s="1" t="s">
        <v>1287</v>
      </c>
      <c r="AV99" s="7">
        <v>43599.674593321688</v>
      </c>
      <c r="AW99" s="1" t="s">
        <v>310</v>
      </c>
      <c r="AX99" s="6">
        <v>6260</v>
      </c>
      <c r="AY99" s="5">
        <v>43591</v>
      </c>
      <c r="AZ99" s="5">
        <v>43616</v>
      </c>
      <c r="BA99" s="7">
        <v>43830</v>
      </c>
      <c r="BB99" s="1" t="s">
        <v>1310</v>
      </c>
      <c r="BC99" s="1"/>
      <c r="BD99" s="1"/>
    </row>
    <row r="100" spans="1:56" hidden="1" x14ac:dyDescent="0.25">
      <c r="A100" s="4">
        <v>95</v>
      </c>
      <c r="B100" s="2" t="str">
        <f>HYPERLINK("https://my.zakupki.prom.ua/remote/dispatcher/state_purchase_view/11397072", "UA-2019-04-23-000440-b")</f>
        <v>UA-2019-04-23-000440-b</v>
      </c>
      <c r="C100" s="2" t="s">
        <v>983</v>
      </c>
      <c r="D100" s="1" t="s">
        <v>735</v>
      </c>
      <c r="E100" s="1" t="s">
        <v>0</v>
      </c>
      <c r="F100" s="1" t="s">
        <v>355</v>
      </c>
      <c r="G100" s="1" t="s">
        <v>883</v>
      </c>
      <c r="H100" s="1" t="s">
        <v>987</v>
      </c>
      <c r="I100" s="1" t="s">
        <v>905</v>
      </c>
      <c r="J100" s="1" t="s">
        <v>158</v>
      </c>
      <c r="K100" s="1" t="s">
        <v>662</v>
      </c>
      <c r="L100" s="1" t="s">
        <v>1207</v>
      </c>
      <c r="M100" s="1" t="s">
        <v>147</v>
      </c>
      <c r="N100" s="1" t="s">
        <v>147</v>
      </c>
      <c r="O100" s="1" t="s">
        <v>147</v>
      </c>
      <c r="P100" s="5">
        <v>43578</v>
      </c>
      <c r="Q100" s="5">
        <v>43578</v>
      </c>
      <c r="R100" s="5">
        <v>43581</v>
      </c>
      <c r="S100" s="5">
        <v>43581</v>
      </c>
      <c r="T100" s="5">
        <v>43588</v>
      </c>
      <c r="U100" s="1" t="s">
        <v>1285</v>
      </c>
      <c r="V100" s="4">
        <v>0</v>
      </c>
      <c r="W100" s="6">
        <v>4680</v>
      </c>
      <c r="X100" s="1" t="s">
        <v>983</v>
      </c>
      <c r="Y100" s="4">
        <v>20</v>
      </c>
      <c r="Z100" s="6">
        <v>234</v>
      </c>
      <c r="AA100" s="1" t="s">
        <v>1315</v>
      </c>
      <c r="AB100" s="1" t="s">
        <v>540</v>
      </c>
      <c r="AC100" s="1" t="s">
        <v>1202</v>
      </c>
      <c r="AD100" s="1" t="s">
        <v>704</v>
      </c>
      <c r="AE100" s="1" t="s">
        <v>987</v>
      </c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2"/>
      <c r="AR100" s="1"/>
      <c r="AS100" s="1"/>
      <c r="AT100" s="1"/>
      <c r="AU100" s="1" t="s">
        <v>1288</v>
      </c>
      <c r="AV100" s="7">
        <v>43588.4186129472</v>
      </c>
      <c r="AW100" s="1"/>
      <c r="AX100" s="1"/>
      <c r="AY100" s="5">
        <v>43591</v>
      </c>
      <c r="AZ100" s="5">
        <v>43616</v>
      </c>
      <c r="BA100" s="1"/>
      <c r="BB100" s="1"/>
      <c r="BC100" s="1"/>
      <c r="BD100" s="1"/>
    </row>
    <row r="101" spans="1:56" hidden="1" x14ac:dyDescent="0.25">
      <c r="A101" s="4">
        <v>96</v>
      </c>
      <c r="B101" s="2" t="str">
        <f>HYPERLINK("https://my.zakupki.prom.ua/remote/dispatcher/state_purchase_view/11208881", "UA-2019-04-05-002628-a")</f>
        <v>UA-2019-04-05-002628-a</v>
      </c>
      <c r="C101" s="2" t="s">
        <v>983</v>
      </c>
      <c r="D101" s="1" t="s">
        <v>18</v>
      </c>
      <c r="E101" s="1" t="s">
        <v>17</v>
      </c>
      <c r="F101" s="1" t="s">
        <v>367</v>
      </c>
      <c r="G101" s="1" t="s">
        <v>883</v>
      </c>
      <c r="H101" s="1" t="s">
        <v>987</v>
      </c>
      <c r="I101" s="1" t="s">
        <v>905</v>
      </c>
      <c r="J101" s="1" t="s">
        <v>158</v>
      </c>
      <c r="K101" s="1" t="s">
        <v>662</v>
      </c>
      <c r="L101" s="1" t="s">
        <v>1207</v>
      </c>
      <c r="M101" s="1" t="s">
        <v>147</v>
      </c>
      <c r="N101" s="1" t="s">
        <v>147</v>
      </c>
      <c r="O101" s="1" t="s">
        <v>147</v>
      </c>
      <c r="P101" s="5">
        <v>43560</v>
      </c>
      <c r="Q101" s="5">
        <v>43560</v>
      </c>
      <c r="R101" s="5">
        <v>43565</v>
      </c>
      <c r="S101" s="5">
        <v>43565</v>
      </c>
      <c r="T101" s="5">
        <v>43567</v>
      </c>
      <c r="U101" s="1" t="s">
        <v>1285</v>
      </c>
      <c r="V101" s="4">
        <v>1</v>
      </c>
      <c r="W101" s="6">
        <v>7200</v>
      </c>
      <c r="X101" s="1" t="s">
        <v>983</v>
      </c>
      <c r="Y101" s="4">
        <v>60</v>
      </c>
      <c r="Z101" s="6">
        <v>120</v>
      </c>
      <c r="AA101" s="1" t="s">
        <v>1318</v>
      </c>
      <c r="AB101" s="1" t="s">
        <v>540</v>
      </c>
      <c r="AC101" s="1" t="s">
        <v>1202</v>
      </c>
      <c r="AD101" s="1" t="s">
        <v>704</v>
      </c>
      <c r="AE101" s="1" t="s">
        <v>987</v>
      </c>
      <c r="AF101" s="6">
        <v>5000.3999999999996</v>
      </c>
      <c r="AG101" s="6">
        <v>83.339999999999989</v>
      </c>
      <c r="AH101" s="1" t="s">
        <v>1005</v>
      </c>
      <c r="AI101" s="6">
        <v>2199.6000000000004</v>
      </c>
      <c r="AJ101" s="6">
        <v>0.30550000000000005</v>
      </c>
      <c r="AK101" s="1" t="s">
        <v>1005</v>
      </c>
      <c r="AL101" s="1" t="s">
        <v>327</v>
      </c>
      <c r="AM101" s="1" t="s">
        <v>607</v>
      </c>
      <c r="AN101" s="1" t="s">
        <v>46</v>
      </c>
      <c r="AO101" s="6">
        <v>2199.6000000000004</v>
      </c>
      <c r="AP101" s="6">
        <v>0.30550000000000005</v>
      </c>
      <c r="AQ101" s="2"/>
      <c r="AR101" s="7">
        <v>43573.621234791288</v>
      </c>
      <c r="AS101" s="5">
        <v>43577</v>
      </c>
      <c r="AT101" s="5">
        <v>43595</v>
      </c>
      <c r="AU101" s="1" t="s">
        <v>1287</v>
      </c>
      <c r="AV101" s="7">
        <v>43592.764103550115</v>
      </c>
      <c r="AW101" s="1" t="s">
        <v>457</v>
      </c>
      <c r="AX101" s="6">
        <v>5000.3999999999996</v>
      </c>
      <c r="AY101" s="5">
        <v>43570</v>
      </c>
      <c r="AZ101" s="5">
        <v>43600</v>
      </c>
      <c r="BA101" s="7">
        <v>43830</v>
      </c>
      <c r="BB101" s="1" t="s">
        <v>1310</v>
      </c>
      <c r="BC101" s="1"/>
      <c r="BD101" s="1"/>
    </row>
    <row r="102" spans="1:56" hidden="1" x14ac:dyDescent="0.25">
      <c r="A102" s="4">
        <v>97</v>
      </c>
      <c r="B102" s="2" t="str">
        <f>HYPERLINK("https://my.zakupki.prom.ua/remote/dispatcher/state_purchase_view/11208816", "UA-2019-04-05-002620-a")</f>
        <v>UA-2019-04-05-002620-a</v>
      </c>
      <c r="C102" s="2" t="s">
        <v>983</v>
      </c>
      <c r="D102" s="1" t="s">
        <v>13</v>
      </c>
      <c r="E102" s="1" t="s">
        <v>1291</v>
      </c>
      <c r="F102" s="1" t="s">
        <v>381</v>
      </c>
      <c r="G102" s="1" t="s">
        <v>883</v>
      </c>
      <c r="H102" s="1" t="s">
        <v>987</v>
      </c>
      <c r="I102" s="1" t="s">
        <v>905</v>
      </c>
      <c r="J102" s="1" t="s">
        <v>158</v>
      </c>
      <c r="K102" s="1" t="s">
        <v>662</v>
      </c>
      <c r="L102" s="1" t="s">
        <v>1207</v>
      </c>
      <c r="M102" s="1" t="s">
        <v>147</v>
      </c>
      <c r="N102" s="1" t="s">
        <v>147</v>
      </c>
      <c r="O102" s="1" t="s">
        <v>147</v>
      </c>
      <c r="P102" s="5">
        <v>43560</v>
      </c>
      <c r="Q102" s="5">
        <v>43560</v>
      </c>
      <c r="R102" s="5">
        <v>43565</v>
      </c>
      <c r="S102" s="5">
        <v>43565</v>
      </c>
      <c r="T102" s="5">
        <v>43567</v>
      </c>
      <c r="U102" s="7">
        <v>43570.504942129628</v>
      </c>
      <c r="V102" s="4">
        <v>3</v>
      </c>
      <c r="W102" s="6">
        <v>3144.7</v>
      </c>
      <c r="X102" s="1" t="s">
        <v>983</v>
      </c>
      <c r="Y102" s="4">
        <v>5015</v>
      </c>
      <c r="Z102" s="6">
        <v>0.63</v>
      </c>
      <c r="AA102" s="1" t="s">
        <v>1318</v>
      </c>
      <c r="AB102" s="1" t="s">
        <v>540</v>
      </c>
      <c r="AC102" s="1" t="s">
        <v>1202</v>
      </c>
      <c r="AD102" s="1" t="s">
        <v>704</v>
      </c>
      <c r="AE102" s="1" t="s">
        <v>987</v>
      </c>
      <c r="AF102" s="6">
        <v>2459</v>
      </c>
      <c r="AG102" s="6">
        <v>0.49032901296111664</v>
      </c>
      <c r="AH102" s="1" t="s">
        <v>1010</v>
      </c>
      <c r="AI102" s="6">
        <v>685.69999999999982</v>
      </c>
      <c r="AJ102" s="6">
        <v>0.21804941647851936</v>
      </c>
      <c r="AK102" s="1" t="s">
        <v>1010</v>
      </c>
      <c r="AL102" s="1" t="s">
        <v>274</v>
      </c>
      <c r="AM102" s="1" t="s">
        <v>626</v>
      </c>
      <c r="AN102" s="1" t="s">
        <v>138</v>
      </c>
      <c r="AO102" s="6">
        <v>685.69999999999982</v>
      </c>
      <c r="AP102" s="6">
        <v>0.21804941647851936</v>
      </c>
      <c r="AQ102" s="2" t="str">
        <f>HYPERLINK("https://auction.openprocurement.org/tenders/09bb733a01774f79a1aa0dea0a40d5fa")</f>
        <v>https://auction.openprocurement.org/tenders/09bb733a01774f79a1aa0dea0a40d5fa</v>
      </c>
      <c r="AR102" s="7">
        <v>43573.664943854943</v>
      </c>
      <c r="AS102" s="5">
        <v>43577</v>
      </c>
      <c r="AT102" s="5">
        <v>43595</v>
      </c>
      <c r="AU102" s="1" t="s">
        <v>1287</v>
      </c>
      <c r="AV102" s="7">
        <v>43599.675586522571</v>
      </c>
      <c r="AW102" s="1" t="s">
        <v>275</v>
      </c>
      <c r="AX102" s="6">
        <v>2459</v>
      </c>
      <c r="AY102" s="5">
        <v>43570</v>
      </c>
      <c r="AZ102" s="5">
        <v>43585</v>
      </c>
      <c r="BA102" s="7">
        <v>43830</v>
      </c>
      <c r="BB102" s="1" t="s">
        <v>1310</v>
      </c>
      <c r="BC102" s="1"/>
      <c r="BD102" s="1"/>
    </row>
    <row r="103" spans="1:56" hidden="1" x14ac:dyDescent="0.25">
      <c r="A103" s="4">
        <v>98</v>
      </c>
      <c r="B103" s="2" t="str">
        <f>HYPERLINK("https://my.zakupki.prom.ua/remote/dispatcher/state_purchase_view/11208806", "UA-2019-04-05-002615-a")</f>
        <v>UA-2019-04-05-002615-a</v>
      </c>
      <c r="C103" s="2" t="s">
        <v>983</v>
      </c>
      <c r="D103" s="1" t="s">
        <v>12</v>
      </c>
      <c r="E103" s="1" t="s">
        <v>1290</v>
      </c>
      <c r="F103" s="1" t="s">
        <v>381</v>
      </c>
      <c r="G103" s="1" t="s">
        <v>883</v>
      </c>
      <c r="H103" s="1" t="s">
        <v>987</v>
      </c>
      <c r="I103" s="1" t="s">
        <v>905</v>
      </c>
      <c r="J103" s="1" t="s">
        <v>158</v>
      </c>
      <c r="K103" s="1" t="s">
        <v>662</v>
      </c>
      <c r="L103" s="1" t="s">
        <v>1207</v>
      </c>
      <c r="M103" s="1" t="s">
        <v>147</v>
      </c>
      <c r="N103" s="1" t="s">
        <v>147</v>
      </c>
      <c r="O103" s="1" t="s">
        <v>147</v>
      </c>
      <c r="P103" s="5">
        <v>43560</v>
      </c>
      <c r="Q103" s="5">
        <v>43560</v>
      </c>
      <c r="R103" s="5">
        <v>43565</v>
      </c>
      <c r="S103" s="5">
        <v>43565</v>
      </c>
      <c r="T103" s="5">
        <v>43567</v>
      </c>
      <c r="U103" s="1" t="s">
        <v>1285</v>
      </c>
      <c r="V103" s="4">
        <v>1</v>
      </c>
      <c r="W103" s="6">
        <v>22624.6</v>
      </c>
      <c r="X103" s="1" t="s">
        <v>983</v>
      </c>
      <c r="Y103" s="4">
        <v>14</v>
      </c>
      <c r="Z103" s="6">
        <v>1616.04</v>
      </c>
      <c r="AA103" s="1" t="s">
        <v>1301</v>
      </c>
      <c r="AB103" s="1" t="s">
        <v>540</v>
      </c>
      <c r="AC103" s="1" t="s">
        <v>1202</v>
      </c>
      <c r="AD103" s="1" t="s">
        <v>704</v>
      </c>
      <c r="AE103" s="1" t="s">
        <v>987</v>
      </c>
      <c r="AF103" s="6">
        <v>18709.93</v>
      </c>
      <c r="AG103" s="6">
        <v>1336.4235714285714</v>
      </c>
      <c r="AH103" s="1" t="s">
        <v>1177</v>
      </c>
      <c r="AI103" s="6">
        <v>3914.6699999999983</v>
      </c>
      <c r="AJ103" s="6">
        <v>0.17302714744128067</v>
      </c>
      <c r="AK103" s="1" t="s">
        <v>1177</v>
      </c>
      <c r="AL103" s="1" t="s">
        <v>432</v>
      </c>
      <c r="AM103" s="1" t="s">
        <v>552</v>
      </c>
      <c r="AN103" s="1" t="s">
        <v>95</v>
      </c>
      <c r="AO103" s="6">
        <v>3914.6699999999983</v>
      </c>
      <c r="AP103" s="6">
        <v>0.17302714744128067</v>
      </c>
      <c r="AQ103" s="2"/>
      <c r="AR103" s="7">
        <v>43573.622449088427</v>
      </c>
      <c r="AS103" s="5">
        <v>43577</v>
      </c>
      <c r="AT103" s="5">
        <v>43595</v>
      </c>
      <c r="AU103" s="1" t="s">
        <v>1287</v>
      </c>
      <c r="AV103" s="7">
        <v>43599.676426109771</v>
      </c>
      <c r="AW103" s="1" t="s">
        <v>282</v>
      </c>
      <c r="AX103" s="6">
        <v>18709.93</v>
      </c>
      <c r="AY103" s="5">
        <v>43570</v>
      </c>
      <c r="AZ103" s="5">
        <v>43585</v>
      </c>
      <c r="BA103" s="7">
        <v>43830</v>
      </c>
      <c r="BB103" s="1" t="s">
        <v>1310</v>
      </c>
      <c r="BC103" s="1"/>
      <c r="BD103" s="1"/>
    </row>
    <row r="104" spans="1:56" hidden="1" x14ac:dyDescent="0.25">
      <c r="A104" s="4">
        <v>99</v>
      </c>
      <c r="B104" s="2" t="str">
        <f>HYPERLINK("https://my.zakupki.prom.ua/remote/dispatcher/state_purchase_view/11208768", "UA-2019-04-05-002610-a")</f>
        <v>UA-2019-04-05-002610-a</v>
      </c>
      <c r="C104" s="2" t="s">
        <v>983</v>
      </c>
      <c r="D104" s="1" t="s">
        <v>11</v>
      </c>
      <c r="E104" s="1" t="s">
        <v>1289</v>
      </c>
      <c r="F104" s="1" t="s">
        <v>381</v>
      </c>
      <c r="G104" s="1" t="s">
        <v>883</v>
      </c>
      <c r="H104" s="1" t="s">
        <v>987</v>
      </c>
      <c r="I104" s="1" t="s">
        <v>905</v>
      </c>
      <c r="J104" s="1" t="s">
        <v>158</v>
      </c>
      <c r="K104" s="1" t="s">
        <v>662</v>
      </c>
      <c r="L104" s="1" t="s">
        <v>1207</v>
      </c>
      <c r="M104" s="1" t="s">
        <v>147</v>
      </c>
      <c r="N104" s="1" t="s">
        <v>147</v>
      </c>
      <c r="O104" s="1" t="s">
        <v>147</v>
      </c>
      <c r="P104" s="5">
        <v>43560</v>
      </c>
      <c r="Q104" s="5">
        <v>43560</v>
      </c>
      <c r="R104" s="5">
        <v>43565</v>
      </c>
      <c r="S104" s="5">
        <v>43565</v>
      </c>
      <c r="T104" s="5">
        <v>43567</v>
      </c>
      <c r="U104" s="1" t="s">
        <v>1285</v>
      </c>
      <c r="V104" s="4">
        <v>0</v>
      </c>
      <c r="W104" s="6">
        <v>4510</v>
      </c>
      <c r="X104" s="1" t="s">
        <v>983</v>
      </c>
      <c r="Y104" s="4">
        <v>3</v>
      </c>
      <c r="Z104" s="6">
        <v>1503.33</v>
      </c>
      <c r="AA104" s="1" t="s">
        <v>1301</v>
      </c>
      <c r="AB104" s="1" t="s">
        <v>540</v>
      </c>
      <c r="AC104" s="1" t="s">
        <v>1202</v>
      </c>
      <c r="AD104" s="1" t="s">
        <v>704</v>
      </c>
      <c r="AE104" s="1" t="s">
        <v>987</v>
      </c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2"/>
      <c r="AR104" s="1"/>
      <c r="AS104" s="1"/>
      <c r="AT104" s="1"/>
      <c r="AU104" s="1" t="s">
        <v>1288</v>
      </c>
      <c r="AV104" s="7">
        <v>43567.789458057057</v>
      </c>
      <c r="AW104" s="1"/>
      <c r="AX104" s="1"/>
      <c r="AY104" s="5">
        <v>43570</v>
      </c>
      <c r="AZ104" s="5">
        <v>43585</v>
      </c>
      <c r="BA104" s="1"/>
      <c r="BB104" s="1"/>
      <c r="BC104" s="1"/>
      <c r="BD104" s="1"/>
    </row>
    <row r="105" spans="1:56" hidden="1" x14ac:dyDescent="0.25">
      <c r="A105" s="4">
        <v>100</v>
      </c>
      <c r="B105" s="2" t="str">
        <f>HYPERLINK("https://my.zakupki.prom.ua/remote/dispatcher/state_purchase_view/11208735", "UA-2019-04-05-002604-a")</f>
        <v>UA-2019-04-05-002604-a</v>
      </c>
      <c r="C105" s="2" t="s">
        <v>983</v>
      </c>
      <c r="D105" s="1" t="s">
        <v>14</v>
      </c>
      <c r="E105" s="1" t="s">
        <v>1292</v>
      </c>
      <c r="F105" s="1" t="s">
        <v>381</v>
      </c>
      <c r="G105" s="1" t="s">
        <v>883</v>
      </c>
      <c r="H105" s="1" t="s">
        <v>987</v>
      </c>
      <c r="I105" s="1" t="s">
        <v>905</v>
      </c>
      <c r="J105" s="1" t="s">
        <v>158</v>
      </c>
      <c r="K105" s="1" t="s">
        <v>662</v>
      </c>
      <c r="L105" s="1" t="s">
        <v>1207</v>
      </c>
      <c r="M105" s="1" t="s">
        <v>174</v>
      </c>
      <c r="N105" s="1" t="s">
        <v>147</v>
      </c>
      <c r="O105" s="1" t="s">
        <v>147</v>
      </c>
      <c r="P105" s="5">
        <v>43560</v>
      </c>
      <c r="Q105" s="5">
        <v>43560</v>
      </c>
      <c r="R105" s="5">
        <v>43565</v>
      </c>
      <c r="S105" s="5">
        <v>43565</v>
      </c>
      <c r="T105" s="5">
        <v>43567</v>
      </c>
      <c r="U105" s="1" t="s">
        <v>1285</v>
      </c>
      <c r="V105" s="4">
        <v>0</v>
      </c>
      <c r="W105" s="6">
        <v>4757.75</v>
      </c>
      <c r="X105" s="1" t="s">
        <v>983</v>
      </c>
      <c r="Y105" s="4">
        <v>41</v>
      </c>
      <c r="Z105" s="6">
        <v>116.04</v>
      </c>
      <c r="AA105" s="1" t="s">
        <v>1318</v>
      </c>
      <c r="AB105" s="1" t="s">
        <v>540</v>
      </c>
      <c r="AC105" s="1" t="s">
        <v>1202</v>
      </c>
      <c r="AD105" s="1" t="s">
        <v>704</v>
      </c>
      <c r="AE105" s="1" t="s">
        <v>987</v>
      </c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2"/>
      <c r="AR105" s="1"/>
      <c r="AS105" s="1"/>
      <c r="AT105" s="1"/>
      <c r="AU105" s="1" t="s">
        <v>1288</v>
      </c>
      <c r="AV105" s="7">
        <v>43567.78386736977</v>
      </c>
      <c r="AW105" s="1"/>
      <c r="AX105" s="1"/>
      <c r="AY105" s="5">
        <v>43570</v>
      </c>
      <c r="AZ105" s="5">
        <v>43585</v>
      </c>
      <c r="BA105" s="1"/>
      <c r="BB105" s="1"/>
      <c r="BC105" s="1"/>
      <c r="BD105" s="1"/>
    </row>
    <row r="106" spans="1:56" hidden="1" x14ac:dyDescent="0.25">
      <c r="A106" s="4">
        <v>101</v>
      </c>
      <c r="B106" s="2" t="str">
        <f>HYPERLINK("https://my.zakupki.prom.ua/remote/dispatcher/state_purchase_view/11208636", "UA-2019-04-05-002593-a")</f>
        <v>UA-2019-04-05-002593-a</v>
      </c>
      <c r="C106" s="2" t="s">
        <v>983</v>
      </c>
      <c r="D106" s="1" t="s">
        <v>796</v>
      </c>
      <c r="E106" s="1" t="s">
        <v>1023</v>
      </c>
      <c r="F106" s="1" t="s">
        <v>379</v>
      </c>
      <c r="G106" s="1" t="s">
        <v>883</v>
      </c>
      <c r="H106" s="1" t="s">
        <v>987</v>
      </c>
      <c r="I106" s="1" t="s">
        <v>905</v>
      </c>
      <c r="J106" s="1" t="s">
        <v>158</v>
      </c>
      <c r="K106" s="1" t="s">
        <v>662</v>
      </c>
      <c r="L106" s="1" t="s">
        <v>1207</v>
      </c>
      <c r="M106" s="1" t="s">
        <v>147</v>
      </c>
      <c r="N106" s="1" t="s">
        <v>147</v>
      </c>
      <c r="O106" s="1" t="s">
        <v>147</v>
      </c>
      <c r="P106" s="5">
        <v>43560</v>
      </c>
      <c r="Q106" s="5">
        <v>43560</v>
      </c>
      <c r="R106" s="5">
        <v>43565</v>
      </c>
      <c r="S106" s="5">
        <v>43565</v>
      </c>
      <c r="T106" s="5">
        <v>43567</v>
      </c>
      <c r="U106" s="1" t="s">
        <v>1285</v>
      </c>
      <c r="V106" s="4">
        <v>1</v>
      </c>
      <c r="W106" s="6">
        <v>3500</v>
      </c>
      <c r="X106" s="1" t="s">
        <v>983</v>
      </c>
      <c r="Y106" s="4">
        <v>10</v>
      </c>
      <c r="Z106" s="6">
        <v>350</v>
      </c>
      <c r="AA106" s="1" t="s">
        <v>1311</v>
      </c>
      <c r="AB106" s="1" t="s">
        <v>540</v>
      </c>
      <c r="AC106" s="1" t="s">
        <v>1202</v>
      </c>
      <c r="AD106" s="1" t="s">
        <v>704</v>
      </c>
      <c r="AE106" s="1" t="s">
        <v>987</v>
      </c>
      <c r="AF106" s="6">
        <v>2700</v>
      </c>
      <c r="AG106" s="6">
        <v>270</v>
      </c>
      <c r="AH106" s="1" t="s">
        <v>988</v>
      </c>
      <c r="AI106" s="6">
        <v>800</v>
      </c>
      <c r="AJ106" s="6">
        <v>0.22857142857142856</v>
      </c>
      <c r="AK106" s="1" t="s">
        <v>988</v>
      </c>
      <c r="AL106" s="1" t="s">
        <v>301</v>
      </c>
      <c r="AM106" s="1" t="s">
        <v>598</v>
      </c>
      <c r="AN106" s="1" t="s">
        <v>83</v>
      </c>
      <c r="AO106" s="6">
        <v>800</v>
      </c>
      <c r="AP106" s="6">
        <v>0.22857142857142856</v>
      </c>
      <c r="AQ106" s="2"/>
      <c r="AR106" s="7">
        <v>43574.372433730998</v>
      </c>
      <c r="AS106" s="5">
        <v>43578</v>
      </c>
      <c r="AT106" s="5">
        <v>43595</v>
      </c>
      <c r="AU106" s="1" t="s">
        <v>1287</v>
      </c>
      <c r="AV106" s="7">
        <v>43599.677236090582</v>
      </c>
      <c r="AW106" s="1" t="s">
        <v>318</v>
      </c>
      <c r="AX106" s="6">
        <v>2700</v>
      </c>
      <c r="AY106" s="5">
        <v>43570</v>
      </c>
      <c r="AZ106" s="5">
        <v>43585</v>
      </c>
      <c r="BA106" s="7">
        <v>43830</v>
      </c>
      <c r="BB106" s="1" t="s">
        <v>1310</v>
      </c>
      <c r="BC106" s="1"/>
      <c r="BD106" s="1"/>
    </row>
    <row r="107" spans="1:56" hidden="1" x14ac:dyDescent="0.25">
      <c r="A107" s="4">
        <v>102</v>
      </c>
      <c r="B107" s="2" t="str">
        <f>HYPERLINK("https://my.zakupki.prom.ua/remote/dispatcher/state_purchase_view/11208541", "UA-2019-04-05-002581-a")</f>
        <v>UA-2019-04-05-002581-a</v>
      </c>
      <c r="C107" s="2" t="s">
        <v>983</v>
      </c>
      <c r="D107" s="1" t="s">
        <v>727</v>
      </c>
      <c r="E107" s="1" t="s">
        <v>941</v>
      </c>
      <c r="F107" s="1" t="s">
        <v>355</v>
      </c>
      <c r="G107" s="1" t="s">
        <v>883</v>
      </c>
      <c r="H107" s="1" t="s">
        <v>987</v>
      </c>
      <c r="I107" s="1" t="s">
        <v>905</v>
      </c>
      <c r="J107" s="1" t="s">
        <v>158</v>
      </c>
      <c r="K107" s="1" t="s">
        <v>662</v>
      </c>
      <c r="L107" s="1" t="s">
        <v>1207</v>
      </c>
      <c r="M107" s="1" t="s">
        <v>147</v>
      </c>
      <c r="N107" s="1" t="s">
        <v>147</v>
      </c>
      <c r="O107" s="1" t="s">
        <v>147</v>
      </c>
      <c r="P107" s="5">
        <v>43560</v>
      </c>
      <c r="Q107" s="5">
        <v>43560</v>
      </c>
      <c r="R107" s="5">
        <v>43565</v>
      </c>
      <c r="S107" s="5">
        <v>43565</v>
      </c>
      <c r="T107" s="5">
        <v>43567</v>
      </c>
      <c r="U107" s="1" t="s">
        <v>1285</v>
      </c>
      <c r="V107" s="4">
        <v>0</v>
      </c>
      <c r="W107" s="6">
        <v>27344.6</v>
      </c>
      <c r="X107" s="1" t="s">
        <v>983</v>
      </c>
      <c r="Y107" s="4">
        <v>5856</v>
      </c>
      <c r="Z107" s="6">
        <v>4.67</v>
      </c>
      <c r="AA107" s="1" t="s">
        <v>1318</v>
      </c>
      <c r="AB107" s="1" t="s">
        <v>540</v>
      </c>
      <c r="AC107" s="1" t="s">
        <v>1202</v>
      </c>
      <c r="AD107" s="1" t="s">
        <v>704</v>
      </c>
      <c r="AE107" s="1" t="s">
        <v>987</v>
      </c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2"/>
      <c r="AR107" s="1"/>
      <c r="AS107" s="1"/>
      <c r="AT107" s="1"/>
      <c r="AU107" s="1" t="s">
        <v>1312</v>
      </c>
      <c r="AV107" s="7">
        <v>43567.402458318509</v>
      </c>
      <c r="AW107" s="1"/>
      <c r="AX107" s="1"/>
      <c r="AY107" s="5">
        <v>43570</v>
      </c>
      <c r="AZ107" s="5">
        <v>43585</v>
      </c>
      <c r="BA107" s="1"/>
      <c r="BB107" s="1"/>
      <c r="BC107" s="1" t="s">
        <v>1026</v>
      </c>
      <c r="BD107" s="1"/>
    </row>
    <row r="108" spans="1:56" hidden="1" x14ac:dyDescent="0.25">
      <c r="A108" s="4">
        <v>103</v>
      </c>
      <c r="B108" s="2" t="str">
        <f>HYPERLINK("https://my.zakupki.prom.ua/remote/dispatcher/state_purchase_view/11208458", "UA-2019-04-05-002570-a")</f>
        <v>UA-2019-04-05-002570-a</v>
      </c>
      <c r="C108" s="2" t="s">
        <v>983</v>
      </c>
      <c r="D108" s="1" t="s">
        <v>730</v>
      </c>
      <c r="E108" s="1" t="s">
        <v>976</v>
      </c>
      <c r="F108" s="1" t="s">
        <v>355</v>
      </c>
      <c r="G108" s="1" t="s">
        <v>883</v>
      </c>
      <c r="H108" s="1" t="s">
        <v>987</v>
      </c>
      <c r="I108" s="1" t="s">
        <v>905</v>
      </c>
      <c r="J108" s="1" t="s">
        <v>158</v>
      </c>
      <c r="K108" s="1" t="s">
        <v>662</v>
      </c>
      <c r="L108" s="1" t="s">
        <v>1207</v>
      </c>
      <c r="M108" s="1" t="s">
        <v>147</v>
      </c>
      <c r="N108" s="1" t="s">
        <v>147</v>
      </c>
      <c r="O108" s="1" t="s">
        <v>147</v>
      </c>
      <c r="P108" s="5">
        <v>43560</v>
      </c>
      <c r="Q108" s="5">
        <v>43560</v>
      </c>
      <c r="R108" s="5">
        <v>43565</v>
      </c>
      <c r="S108" s="5">
        <v>43565</v>
      </c>
      <c r="T108" s="5">
        <v>43567</v>
      </c>
      <c r="U108" s="1" t="s">
        <v>1285</v>
      </c>
      <c r="V108" s="4">
        <v>0</v>
      </c>
      <c r="W108" s="6">
        <v>54568.85</v>
      </c>
      <c r="X108" s="1" t="s">
        <v>983</v>
      </c>
      <c r="Y108" s="4">
        <v>3600</v>
      </c>
      <c r="Z108" s="6">
        <v>15.16</v>
      </c>
      <c r="AA108" s="1" t="s">
        <v>1318</v>
      </c>
      <c r="AB108" s="1" t="s">
        <v>540</v>
      </c>
      <c r="AC108" s="1" t="s">
        <v>1202</v>
      </c>
      <c r="AD108" s="1" t="s">
        <v>704</v>
      </c>
      <c r="AE108" s="1" t="s">
        <v>987</v>
      </c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2"/>
      <c r="AR108" s="1"/>
      <c r="AS108" s="1"/>
      <c r="AT108" s="1"/>
      <c r="AU108" s="1" t="s">
        <v>1312</v>
      </c>
      <c r="AV108" s="7">
        <v>43567.404738227531</v>
      </c>
      <c r="AW108" s="1"/>
      <c r="AX108" s="1"/>
      <c r="AY108" s="5">
        <v>43570</v>
      </c>
      <c r="AZ108" s="5">
        <v>43630</v>
      </c>
      <c r="BA108" s="1"/>
      <c r="BB108" s="1"/>
      <c r="BC108" s="1" t="s">
        <v>1026</v>
      </c>
      <c r="BD108" s="1"/>
    </row>
    <row r="109" spans="1:56" hidden="1" x14ac:dyDescent="0.25">
      <c r="A109" s="4">
        <v>104</v>
      </c>
      <c r="B109" s="2" t="str">
        <f>HYPERLINK("https://my.zakupki.prom.ua/remote/dispatcher/state_purchase_view/11086070", "UA-2019-03-27-001968-b")</f>
        <v>UA-2019-03-27-001968-b</v>
      </c>
      <c r="C109" s="2" t="s">
        <v>983</v>
      </c>
      <c r="D109" s="1" t="s">
        <v>918</v>
      </c>
      <c r="E109" s="1" t="s">
        <v>918</v>
      </c>
      <c r="F109" s="1" t="s">
        <v>515</v>
      </c>
      <c r="G109" s="1" t="s">
        <v>883</v>
      </c>
      <c r="H109" s="1" t="s">
        <v>987</v>
      </c>
      <c r="I109" s="1" t="s">
        <v>905</v>
      </c>
      <c r="J109" s="1" t="s">
        <v>158</v>
      </c>
      <c r="K109" s="1" t="s">
        <v>662</v>
      </c>
      <c r="L109" s="1" t="s">
        <v>1207</v>
      </c>
      <c r="M109" s="1" t="s">
        <v>147</v>
      </c>
      <c r="N109" s="1" t="s">
        <v>147</v>
      </c>
      <c r="O109" s="1" t="s">
        <v>147</v>
      </c>
      <c r="P109" s="5">
        <v>43551</v>
      </c>
      <c r="Q109" s="5">
        <v>43551</v>
      </c>
      <c r="R109" s="5">
        <v>43556</v>
      </c>
      <c r="S109" s="5">
        <v>43556</v>
      </c>
      <c r="T109" s="5">
        <v>43558</v>
      </c>
      <c r="U109" s="1" t="s">
        <v>1285</v>
      </c>
      <c r="V109" s="4">
        <v>1</v>
      </c>
      <c r="W109" s="6">
        <v>9500</v>
      </c>
      <c r="X109" s="1" t="s">
        <v>983</v>
      </c>
      <c r="Y109" s="4">
        <v>5</v>
      </c>
      <c r="Z109" s="6">
        <v>1900</v>
      </c>
      <c r="AA109" s="1" t="s">
        <v>1317</v>
      </c>
      <c r="AB109" s="1" t="s">
        <v>540</v>
      </c>
      <c r="AC109" s="1" t="s">
        <v>1202</v>
      </c>
      <c r="AD109" s="1" t="s">
        <v>704</v>
      </c>
      <c r="AE109" s="1" t="s">
        <v>987</v>
      </c>
      <c r="AF109" s="6">
        <v>9500</v>
      </c>
      <c r="AG109" s="6">
        <v>1900</v>
      </c>
      <c r="AH109" s="1" t="s">
        <v>906</v>
      </c>
      <c r="AI109" s="1"/>
      <c r="AJ109" s="1"/>
      <c r="AK109" s="1" t="s">
        <v>906</v>
      </c>
      <c r="AL109" s="1" t="s">
        <v>236</v>
      </c>
      <c r="AM109" s="1" t="s">
        <v>582</v>
      </c>
      <c r="AN109" s="1" t="s">
        <v>74</v>
      </c>
      <c r="AO109" s="1"/>
      <c r="AP109" s="1"/>
      <c r="AQ109" s="2"/>
      <c r="AR109" s="7">
        <v>43559.364356697362</v>
      </c>
      <c r="AS109" s="5">
        <v>43563</v>
      </c>
      <c r="AT109" s="5">
        <v>43586</v>
      </c>
      <c r="AU109" s="1" t="s">
        <v>1287</v>
      </c>
      <c r="AV109" s="7">
        <v>43591.34426901579</v>
      </c>
      <c r="AW109" s="1" t="s">
        <v>498</v>
      </c>
      <c r="AX109" s="6">
        <v>9500</v>
      </c>
      <c r="AY109" s="1"/>
      <c r="AZ109" s="5">
        <v>43830</v>
      </c>
      <c r="BA109" s="7">
        <v>43830</v>
      </c>
      <c r="BB109" s="1" t="s">
        <v>1310</v>
      </c>
      <c r="BC109" s="1"/>
      <c r="BD109" s="1"/>
    </row>
    <row r="110" spans="1:56" x14ac:dyDescent="0.25">
      <c r="A110" s="4">
        <v>105</v>
      </c>
      <c r="B110" s="2" t="str">
        <f>HYPERLINK("https://my.zakupki.prom.ua/remote/dispatcher/state_purchase_view/10977457", "UA-2019-03-19-001206-a")</f>
        <v>UA-2019-03-19-001206-a</v>
      </c>
      <c r="C110" s="2" t="s">
        <v>983</v>
      </c>
      <c r="D110" s="1" t="s">
        <v>848</v>
      </c>
      <c r="E110" s="1" t="s">
        <v>640</v>
      </c>
      <c r="F110" s="1" t="s">
        <v>367</v>
      </c>
      <c r="G110" s="1" t="s">
        <v>702</v>
      </c>
      <c r="H110" s="1" t="s">
        <v>987</v>
      </c>
      <c r="I110" s="1" t="s">
        <v>905</v>
      </c>
      <c r="J110" s="1" t="s">
        <v>158</v>
      </c>
      <c r="K110" s="1" t="s">
        <v>662</v>
      </c>
      <c r="L110" s="1" t="s">
        <v>1207</v>
      </c>
      <c r="M110" s="1" t="s">
        <v>147</v>
      </c>
      <c r="N110" s="1" t="s">
        <v>147</v>
      </c>
      <c r="O110" s="1" t="s">
        <v>147</v>
      </c>
      <c r="P110" s="5">
        <v>43543</v>
      </c>
      <c r="Q110" s="5">
        <v>43543</v>
      </c>
      <c r="R110" s="5">
        <v>43548</v>
      </c>
      <c r="S110" s="5">
        <v>43543</v>
      </c>
      <c r="T110" s="5">
        <v>43558</v>
      </c>
      <c r="U110" s="7">
        <v>43559.550902777781</v>
      </c>
      <c r="V110" s="4">
        <v>2</v>
      </c>
      <c r="W110" s="6">
        <v>17970</v>
      </c>
      <c r="X110" s="1" t="s">
        <v>983</v>
      </c>
      <c r="Y110" s="4">
        <v>2</v>
      </c>
      <c r="Z110" s="6">
        <v>8985</v>
      </c>
      <c r="AA110" s="1" t="s">
        <v>1318</v>
      </c>
      <c r="AB110" s="1" t="s">
        <v>540</v>
      </c>
      <c r="AC110" s="1" t="s">
        <v>1202</v>
      </c>
      <c r="AD110" s="1" t="s">
        <v>704</v>
      </c>
      <c r="AE110" s="1" t="s">
        <v>987</v>
      </c>
      <c r="AF110" s="6">
        <v>17969.21</v>
      </c>
      <c r="AG110" s="6">
        <v>8984.6049999999996</v>
      </c>
      <c r="AH110" s="1" t="s">
        <v>1179</v>
      </c>
      <c r="AI110" s="6">
        <v>0.79000000000087311</v>
      </c>
      <c r="AJ110" s="6">
        <v>4.3962159154194384E-5</v>
      </c>
      <c r="AK110" s="1" t="s">
        <v>1179</v>
      </c>
      <c r="AL110" s="1" t="s">
        <v>430</v>
      </c>
      <c r="AM110" s="1" t="s">
        <v>556</v>
      </c>
      <c r="AN110" s="1" t="s">
        <v>64</v>
      </c>
      <c r="AO110" s="6">
        <v>0.79000000000087311</v>
      </c>
      <c r="AP110" s="6">
        <v>4.3962159154194384E-5</v>
      </c>
      <c r="AQ110" s="2" t="str">
        <f>HYPERLINK("https://auction.openprocurement.org/tenders/00cece14b5f541a6b99e55b2095922f0")</f>
        <v>https://auction.openprocurement.org/tenders/00cece14b5f541a6b99e55b2095922f0</v>
      </c>
      <c r="AR110" s="7">
        <v>43567.541810133233</v>
      </c>
      <c r="AS110" s="5">
        <v>43578</v>
      </c>
      <c r="AT110" s="5">
        <v>43588</v>
      </c>
      <c r="AU110" s="1" t="s">
        <v>1287</v>
      </c>
      <c r="AV110" s="7">
        <v>43598.616159317658</v>
      </c>
      <c r="AW110" s="1" t="s">
        <v>289</v>
      </c>
      <c r="AX110" s="6">
        <v>17969.21</v>
      </c>
      <c r="AY110" s="5">
        <v>43577</v>
      </c>
      <c r="AZ110" s="5">
        <v>43616</v>
      </c>
      <c r="BA110" s="7">
        <v>43830</v>
      </c>
      <c r="BB110" s="1" t="s">
        <v>1310</v>
      </c>
      <c r="BC110" s="1"/>
      <c r="BD110" s="1"/>
    </row>
    <row r="111" spans="1:56" hidden="1" x14ac:dyDescent="0.25">
      <c r="A111" s="4">
        <v>106</v>
      </c>
      <c r="B111" s="2" t="str">
        <f>HYPERLINK("https://my.zakupki.prom.ua/remote/dispatcher/state_purchase_view/10976385", "UA-2019-03-19-001051-a")</f>
        <v>UA-2019-03-19-001051-a</v>
      </c>
      <c r="C111" s="2" t="s">
        <v>983</v>
      </c>
      <c r="D111" s="1" t="s">
        <v>864</v>
      </c>
      <c r="E111" s="1" t="s">
        <v>179</v>
      </c>
      <c r="F111" s="1" t="s">
        <v>267</v>
      </c>
      <c r="G111" s="1" t="s">
        <v>883</v>
      </c>
      <c r="H111" s="1" t="s">
        <v>987</v>
      </c>
      <c r="I111" s="1" t="s">
        <v>905</v>
      </c>
      <c r="J111" s="1" t="s">
        <v>158</v>
      </c>
      <c r="K111" s="1" t="s">
        <v>662</v>
      </c>
      <c r="L111" s="1" t="s">
        <v>1207</v>
      </c>
      <c r="M111" s="1" t="s">
        <v>147</v>
      </c>
      <c r="N111" s="1" t="s">
        <v>147</v>
      </c>
      <c r="O111" s="1" t="s">
        <v>147</v>
      </c>
      <c r="P111" s="5">
        <v>43543</v>
      </c>
      <c r="Q111" s="5">
        <v>43543</v>
      </c>
      <c r="R111" s="5">
        <v>43546</v>
      </c>
      <c r="S111" s="5">
        <v>43546</v>
      </c>
      <c r="T111" s="5">
        <v>43552</v>
      </c>
      <c r="U111" s="1" t="s">
        <v>1285</v>
      </c>
      <c r="V111" s="4">
        <v>1</v>
      </c>
      <c r="W111" s="6">
        <v>9131</v>
      </c>
      <c r="X111" s="1" t="s">
        <v>983</v>
      </c>
      <c r="Y111" s="4">
        <v>25839</v>
      </c>
      <c r="Z111" s="6">
        <v>0.35</v>
      </c>
      <c r="AA111" s="1" t="s">
        <v>1318</v>
      </c>
      <c r="AB111" s="1" t="s">
        <v>540</v>
      </c>
      <c r="AC111" s="1" t="s">
        <v>1202</v>
      </c>
      <c r="AD111" s="1" t="s">
        <v>704</v>
      </c>
      <c r="AE111" s="1" t="s">
        <v>987</v>
      </c>
      <c r="AF111" s="6">
        <v>9125</v>
      </c>
      <c r="AG111" s="6">
        <v>0.35314834165408876</v>
      </c>
      <c r="AH111" s="1" t="s">
        <v>1267</v>
      </c>
      <c r="AI111" s="6">
        <v>6</v>
      </c>
      <c r="AJ111" s="6">
        <v>6.5710217938889503E-4</v>
      </c>
      <c r="AK111" s="1" t="s">
        <v>1267</v>
      </c>
      <c r="AL111" s="1" t="s">
        <v>312</v>
      </c>
      <c r="AM111" s="1" t="s">
        <v>549</v>
      </c>
      <c r="AN111" s="1" t="s">
        <v>119</v>
      </c>
      <c r="AO111" s="6">
        <v>6</v>
      </c>
      <c r="AP111" s="6">
        <v>6.5710217938889503E-4</v>
      </c>
      <c r="AQ111" s="2"/>
      <c r="AR111" s="7">
        <v>43553.607271991074</v>
      </c>
      <c r="AS111" s="5">
        <v>43557</v>
      </c>
      <c r="AT111" s="5">
        <v>43576</v>
      </c>
      <c r="AU111" s="1" t="s">
        <v>1287</v>
      </c>
      <c r="AV111" s="7">
        <v>43572.430243417788</v>
      </c>
      <c r="AW111" s="1" t="s">
        <v>232</v>
      </c>
      <c r="AX111" s="6">
        <v>9125</v>
      </c>
      <c r="AY111" s="5">
        <v>43556</v>
      </c>
      <c r="AZ111" s="5">
        <v>43585</v>
      </c>
      <c r="BA111" s="7">
        <v>43830</v>
      </c>
      <c r="BB111" s="1" t="s">
        <v>1310</v>
      </c>
      <c r="BC111" s="1"/>
      <c r="BD111" s="1"/>
    </row>
    <row r="112" spans="1:56" hidden="1" x14ac:dyDescent="0.25">
      <c r="A112" s="4">
        <v>107</v>
      </c>
      <c r="B112" s="2" t="str">
        <f>HYPERLINK("https://my.zakupki.prom.ua/remote/dispatcher/state_purchase_view/10959797", "UA-2019-03-18-001109-a")</f>
        <v>UA-2019-03-18-001109-a</v>
      </c>
      <c r="C112" s="2" t="s">
        <v>983</v>
      </c>
      <c r="D112" s="1" t="s">
        <v>747</v>
      </c>
      <c r="E112" s="1" t="s">
        <v>885</v>
      </c>
      <c r="F112" s="1" t="s">
        <v>377</v>
      </c>
      <c r="G112" s="1" t="s">
        <v>883</v>
      </c>
      <c r="H112" s="1" t="s">
        <v>987</v>
      </c>
      <c r="I112" s="1" t="s">
        <v>905</v>
      </c>
      <c r="J112" s="1" t="s">
        <v>158</v>
      </c>
      <c r="K112" s="1" t="s">
        <v>662</v>
      </c>
      <c r="L112" s="1" t="s">
        <v>1207</v>
      </c>
      <c r="M112" s="1" t="s">
        <v>147</v>
      </c>
      <c r="N112" s="1" t="s">
        <v>147</v>
      </c>
      <c r="O112" s="1" t="s">
        <v>147</v>
      </c>
      <c r="P112" s="5">
        <v>43542</v>
      </c>
      <c r="Q112" s="5">
        <v>43542</v>
      </c>
      <c r="R112" s="5">
        <v>43543</v>
      </c>
      <c r="S112" s="5">
        <v>43543</v>
      </c>
      <c r="T112" s="5">
        <v>43545</v>
      </c>
      <c r="U112" s="1" t="s">
        <v>1285</v>
      </c>
      <c r="V112" s="4">
        <v>0</v>
      </c>
      <c r="W112" s="6">
        <v>8112</v>
      </c>
      <c r="X112" s="1" t="s">
        <v>983</v>
      </c>
      <c r="Y112" s="4">
        <v>6</v>
      </c>
      <c r="Z112" s="6">
        <v>1352</v>
      </c>
      <c r="AA112" s="1" t="s">
        <v>1315</v>
      </c>
      <c r="AB112" s="1" t="s">
        <v>540</v>
      </c>
      <c r="AC112" s="1" t="s">
        <v>1202</v>
      </c>
      <c r="AD112" s="1" t="s">
        <v>704</v>
      </c>
      <c r="AE112" s="1" t="s">
        <v>987</v>
      </c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2"/>
      <c r="AR112" s="1"/>
      <c r="AS112" s="1"/>
      <c r="AT112" s="1"/>
      <c r="AU112" s="1" t="s">
        <v>1288</v>
      </c>
      <c r="AV112" s="7">
        <v>43545.667710300535</v>
      </c>
      <c r="AW112" s="1"/>
      <c r="AX112" s="1"/>
      <c r="AY112" s="5">
        <v>43556</v>
      </c>
      <c r="AZ112" s="5">
        <v>43585</v>
      </c>
      <c r="BA112" s="1"/>
      <c r="BB112" s="1"/>
      <c r="BC112" s="1"/>
      <c r="BD112" s="1"/>
    </row>
    <row r="113" spans="1:56" hidden="1" x14ac:dyDescent="0.25">
      <c r="A113" s="4">
        <v>108</v>
      </c>
      <c r="B113" s="2" t="str">
        <f>HYPERLINK("https://my.zakupki.prom.ua/remote/dispatcher/state_purchase_view/10959606", "UA-2019-03-18-001093-a")</f>
        <v>UA-2019-03-18-001093-a</v>
      </c>
      <c r="C113" s="2" t="s">
        <v>983</v>
      </c>
      <c r="D113" s="1" t="s">
        <v>16</v>
      </c>
      <c r="E113" s="1" t="s">
        <v>1294</v>
      </c>
      <c r="F113" s="1" t="s">
        <v>381</v>
      </c>
      <c r="G113" s="1" t="s">
        <v>883</v>
      </c>
      <c r="H113" s="1" t="s">
        <v>987</v>
      </c>
      <c r="I113" s="1" t="s">
        <v>905</v>
      </c>
      <c r="J113" s="1" t="s">
        <v>158</v>
      </c>
      <c r="K113" s="1" t="s">
        <v>662</v>
      </c>
      <c r="L113" s="1" t="s">
        <v>1207</v>
      </c>
      <c r="M113" s="1" t="s">
        <v>147</v>
      </c>
      <c r="N113" s="1" t="s">
        <v>147</v>
      </c>
      <c r="O113" s="1" t="s">
        <v>147</v>
      </c>
      <c r="P113" s="5">
        <v>43542</v>
      </c>
      <c r="Q113" s="5">
        <v>43542</v>
      </c>
      <c r="R113" s="5">
        <v>43543</v>
      </c>
      <c r="S113" s="5">
        <v>43543</v>
      </c>
      <c r="T113" s="5">
        <v>43545</v>
      </c>
      <c r="U113" s="1" t="s">
        <v>1285</v>
      </c>
      <c r="V113" s="4">
        <v>1</v>
      </c>
      <c r="W113" s="6">
        <v>3460</v>
      </c>
      <c r="X113" s="1" t="s">
        <v>983</v>
      </c>
      <c r="Y113" s="4">
        <v>3</v>
      </c>
      <c r="Z113" s="6">
        <v>1153.33</v>
      </c>
      <c r="AA113" s="1" t="s">
        <v>1301</v>
      </c>
      <c r="AB113" s="1" t="s">
        <v>540</v>
      </c>
      <c r="AC113" s="1" t="s">
        <v>1202</v>
      </c>
      <c r="AD113" s="1" t="s">
        <v>704</v>
      </c>
      <c r="AE113" s="1" t="s">
        <v>987</v>
      </c>
      <c r="AF113" s="6">
        <v>3460</v>
      </c>
      <c r="AG113" s="6">
        <v>1153.3333333333333</v>
      </c>
      <c r="AH113" s="1" t="s">
        <v>1256</v>
      </c>
      <c r="AI113" s="1"/>
      <c r="AJ113" s="1"/>
      <c r="AK113" s="1" t="s">
        <v>1256</v>
      </c>
      <c r="AL113" s="1" t="s">
        <v>230</v>
      </c>
      <c r="AM113" s="1" t="s">
        <v>583</v>
      </c>
      <c r="AN113" s="1" t="s">
        <v>113</v>
      </c>
      <c r="AO113" s="1"/>
      <c r="AP113" s="1"/>
      <c r="AQ113" s="2"/>
      <c r="AR113" s="7">
        <v>43549.58206935889</v>
      </c>
      <c r="AS113" s="5">
        <v>43551</v>
      </c>
      <c r="AT113" s="5">
        <v>43573</v>
      </c>
      <c r="AU113" s="1" t="s">
        <v>1287</v>
      </c>
      <c r="AV113" s="7">
        <v>43599.678392233254</v>
      </c>
      <c r="AW113" s="1" t="s">
        <v>252</v>
      </c>
      <c r="AX113" s="6">
        <v>3460</v>
      </c>
      <c r="AY113" s="5">
        <v>43556</v>
      </c>
      <c r="AZ113" s="5">
        <v>43585</v>
      </c>
      <c r="BA113" s="7">
        <v>43830</v>
      </c>
      <c r="BB113" s="1" t="s">
        <v>1310</v>
      </c>
      <c r="BC113" s="1"/>
      <c r="BD113" s="1"/>
    </row>
    <row r="114" spans="1:56" x14ac:dyDescent="0.25">
      <c r="A114" s="4">
        <v>109</v>
      </c>
      <c r="B114" s="2" t="str">
        <f>HYPERLINK("https://my.zakupki.prom.ua/remote/dispatcher/state_purchase_view/10942919", "UA-2019-03-15-001756-a")</f>
        <v>UA-2019-03-15-001756-a</v>
      </c>
      <c r="C114" s="2" t="s">
        <v>983</v>
      </c>
      <c r="D114" s="1" t="s">
        <v>715</v>
      </c>
      <c r="E114" s="1" t="s">
        <v>714</v>
      </c>
      <c r="F114" s="1" t="s">
        <v>426</v>
      </c>
      <c r="G114" s="1" t="s">
        <v>702</v>
      </c>
      <c r="H114" s="1" t="s">
        <v>987</v>
      </c>
      <c r="I114" s="1" t="s">
        <v>905</v>
      </c>
      <c r="J114" s="1" t="s">
        <v>158</v>
      </c>
      <c r="K114" s="1" t="s">
        <v>662</v>
      </c>
      <c r="L114" s="1" t="s">
        <v>1207</v>
      </c>
      <c r="M114" s="1" t="s">
        <v>147</v>
      </c>
      <c r="N114" s="1" t="s">
        <v>147</v>
      </c>
      <c r="O114" s="1" t="s">
        <v>147</v>
      </c>
      <c r="P114" s="5">
        <v>43539</v>
      </c>
      <c r="Q114" s="5">
        <v>43539</v>
      </c>
      <c r="R114" s="5">
        <v>43547</v>
      </c>
      <c r="S114" s="5">
        <v>43539</v>
      </c>
      <c r="T114" s="5">
        <v>43557</v>
      </c>
      <c r="U114" s="7">
        <v>43558.645833333336</v>
      </c>
      <c r="V114" s="4">
        <v>2</v>
      </c>
      <c r="W114" s="6">
        <v>350000</v>
      </c>
      <c r="X114" s="1" t="s">
        <v>983</v>
      </c>
      <c r="Y114" s="4">
        <v>3</v>
      </c>
      <c r="Z114" s="6">
        <v>116666.67</v>
      </c>
      <c r="AA114" s="1" t="s">
        <v>1318</v>
      </c>
      <c r="AB114" s="1" t="s">
        <v>540</v>
      </c>
      <c r="AC114" s="1" t="s">
        <v>1202</v>
      </c>
      <c r="AD114" s="1" t="s">
        <v>704</v>
      </c>
      <c r="AE114" s="1" t="s">
        <v>987</v>
      </c>
      <c r="AF114" s="6">
        <v>349802.26</v>
      </c>
      <c r="AG114" s="6">
        <v>116600.75333333334</v>
      </c>
      <c r="AH114" s="1" t="s">
        <v>1179</v>
      </c>
      <c r="AI114" s="6">
        <v>197.73999999999069</v>
      </c>
      <c r="AJ114" s="6">
        <v>5.6497142857140194E-4</v>
      </c>
      <c r="AK114" s="1" t="s">
        <v>1179</v>
      </c>
      <c r="AL114" s="1" t="s">
        <v>430</v>
      </c>
      <c r="AM114" s="1" t="s">
        <v>556</v>
      </c>
      <c r="AN114" s="1" t="s">
        <v>64</v>
      </c>
      <c r="AO114" s="6">
        <v>197.73999999999069</v>
      </c>
      <c r="AP114" s="6">
        <v>5.6497142857140194E-4</v>
      </c>
      <c r="AQ114" s="2" t="str">
        <f>HYPERLINK("https://auction.openprocurement.org/tenders/7bf27df1cc6e45b69f8cb16e8647d8bf")</f>
        <v>https://auction.openprocurement.org/tenders/7bf27df1cc6e45b69f8cb16e8647d8bf</v>
      </c>
      <c r="AR114" s="7">
        <v>43591.401563110761</v>
      </c>
      <c r="AS114" s="5">
        <v>43602</v>
      </c>
      <c r="AT114" s="5">
        <v>43612</v>
      </c>
      <c r="AU114" s="1" t="s">
        <v>1287</v>
      </c>
      <c r="AV114" s="7">
        <v>43605.471426165255</v>
      </c>
      <c r="AW114" s="1" t="s">
        <v>386</v>
      </c>
      <c r="AX114" s="6">
        <v>349802.26</v>
      </c>
      <c r="AY114" s="5">
        <v>43563</v>
      </c>
      <c r="AZ114" s="5">
        <v>43585</v>
      </c>
      <c r="BA114" s="7">
        <v>43830</v>
      </c>
      <c r="BB114" s="1" t="s">
        <v>1310</v>
      </c>
      <c r="BC114" s="1"/>
      <c r="BD114" s="1"/>
    </row>
    <row r="115" spans="1:56" x14ac:dyDescent="0.25">
      <c r="A115" s="4">
        <v>110</v>
      </c>
      <c r="B115" s="2" t="str">
        <f>HYPERLINK("https://my.zakupki.prom.ua/remote/dispatcher/state_purchase_view/10942884", "UA-2019-03-15-001745-a")</f>
        <v>UA-2019-03-15-001745-a</v>
      </c>
      <c r="C115" s="2" t="s">
        <v>983</v>
      </c>
      <c r="D115" s="1" t="s">
        <v>713</v>
      </c>
      <c r="E115" s="1" t="s">
        <v>713</v>
      </c>
      <c r="F115" s="1" t="s">
        <v>353</v>
      </c>
      <c r="G115" s="1" t="s">
        <v>702</v>
      </c>
      <c r="H115" s="1" t="s">
        <v>987</v>
      </c>
      <c r="I115" s="1" t="s">
        <v>905</v>
      </c>
      <c r="J115" s="1" t="s">
        <v>158</v>
      </c>
      <c r="K115" s="1" t="s">
        <v>662</v>
      </c>
      <c r="L115" s="1" t="s">
        <v>1207</v>
      </c>
      <c r="M115" s="1" t="s">
        <v>147</v>
      </c>
      <c r="N115" s="1" t="s">
        <v>147</v>
      </c>
      <c r="O115" s="1" t="s">
        <v>147</v>
      </c>
      <c r="P115" s="5">
        <v>43539</v>
      </c>
      <c r="Q115" s="5">
        <v>43539</v>
      </c>
      <c r="R115" s="5">
        <v>43547</v>
      </c>
      <c r="S115" s="5">
        <v>43539</v>
      </c>
      <c r="T115" s="5">
        <v>43557</v>
      </c>
      <c r="U115" s="7">
        <v>43558.632534722223</v>
      </c>
      <c r="V115" s="4">
        <v>2</v>
      </c>
      <c r="W115" s="6">
        <v>1300000</v>
      </c>
      <c r="X115" s="1" t="s">
        <v>983</v>
      </c>
      <c r="Y115" s="4">
        <v>1</v>
      </c>
      <c r="Z115" s="6">
        <v>1300000</v>
      </c>
      <c r="AA115" s="1" t="s">
        <v>1318</v>
      </c>
      <c r="AB115" s="1" t="s">
        <v>540</v>
      </c>
      <c r="AC115" s="1" t="s">
        <v>1202</v>
      </c>
      <c r="AD115" s="1" t="s">
        <v>704</v>
      </c>
      <c r="AE115" s="1" t="s">
        <v>987</v>
      </c>
      <c r="AF115" s="6">
        <v>1268640</v>
      </c>
      <c r="AG115" s="6">
        <v>1268640</v>
      </c>
      <c r="AH115" s="1" t="s">
        <v>1155</v>
      </c>
      <c r="AI115" s="6">
        <v>31360</v>
      </c>
      <c r="AJ115" s="6">
        <v>2.4123076923076924E-2</v>
      </c>
      <c r="AK115" s="1" t="s">
        <v>1155</v>
      </c>
      <c r="AL115" s="1" t="s">
        <v>436</v>
      </c>
      <c r="AM115" s="1" t="s">
        <v>612</v>
      </c>
      <c r="AN115" s="1" t="s">
        <v>79</v>
      </c>
      <c r="AO115" s="6">
        <v>31360</v>
      </c>
      <c r="AP115" s="6">
        <v>2.4123076923076924E-2</v>
      </c>
      <c r="AQ115" s="2" t="str">
        <f>HYPERLINK("https://auction.openprocurement.org/tenders/7aa507cb34664005ae9880385f70b270")</f>
        <v>https://auction.openprocurement.org/tenders/7aa507cb34664005ae9880385f70b270</v>
      </c>
      <c r="AR115" s="7">
        <v>43591.403392900778</v>
      </c>
      <c r="AS115" s="5">
        <v>43602</v>
      </c>
      <c r="AT115" s="5">
        <v>43612</v>
      </c>
      <c r="AU115" s="1" t="s">
        <v>1287</v>
      </c>
      <c r="AV115" s="7">
        <v>43605.634551093273</v>
      </c>
      <c r="AW115" s="1" t="s">
        <v>395</v>
      </c>
      <c r="AX115" s="6">
        <v>1268640</v>
      </c>
      <c r="AY115" s="5">
        <v>43563</v>
      </c>
      <c r="AZ115" s="5">
        <v>43585</v>
      </c>
      <c r="BA115" s="7">
        <v>43830</v>
      </c>
      <c r="BB115" s="1" t="s">
        <v>1310</v>
      </c>
      <c r="BC115" s="1"/>
      <c r="BD115" s="1"/>
    </row>
    <row r="116" spans="1:56" x14ac:dyDescent="0.25">
      <c r="A116" s="4">
        <v>111</v>
      </c>
      <c r="B116" s="2" t="str">
        <f>HYPERLINK("https://my.zakupki.prom.ua/remote/dispatcher/state_purchase_view/10940900", "UA-2019-03-15-001436-a")</f>
        <v>UA-2019-03-15-001436-a</v>
      </c>
      <c r="C116" s="2" t="s">
        <v>983</v>
      </c>
      <c r="D116" s="1" t="s">
        <v>847</v>
      </c>
      <c r="E116" s="1" t="s">
        <v>639</v>
      </c>
      <c r="F116" s="1" t="s">
        <v>367</v>
      </c>
      <c r="G116" s="1" t="s">
        <v>702</v>
      </c>
      <c r="H116" s="1" t="s">
        <v>987</v>
      </c>
      <c r="I116" s="1" t="s">
        <v>905</v>
      </c>
      <c r="J116" s="1" t="s">
        <v>158</v>
      </c>
      <c r="K116" s="1" t="s">
        <v>662</v>
      </c>
      <c r="L116" s="1" t="s">
        <v>1207</v>
      </c>
      <c r="M116" s="1" t="s">
        <v>147</v>
      </c>
      <c r="N116" s="1" t="s">
        <v>147</v>
      </c>
      <c r="O116" s="1" t="s">
        <v>147</v>
      </c>
      <c r="P116" s="5">
        <v>43539</v>
      </c>
      <c r="Q116" s="5">
        <v>43539</v>
      </c>
      <c r="R116" s="5">
        <v>43553</v>
      </c>
      <c r="S116" s="5">
        <v>43539</v>
      </c>
      <c r="T116" s="5">
        <v>43563</v>
      </c>
      <c r="U116" s="7">
        <v>43566.609479166669</v>
      </c>
      <c r="V116" s="4">
        <v>2</v>
      </c>
      <c r="W116" s="6">
        <v>100000</v>
      </c>
      <c r="X116" s="1" t="s">
        <v>983</v>
      </c>
      <c r="Y116" s="4">
        <v>22</v>
      </c>
      <c r="Z116" s="6">
        <v>4545.45</v>
      </c>
      <c r="AA116" s="1" t="s">
        <v>1318</v>
      </c>
      <c r="AB116" s="1" t="s">
        <v>540</v>
      </c>
      <c r="AC116" s="1" t="s">
        <v>1202</v>
      </c>
      <c r="AD116" s="1" t="s">
        <v>704</v>
      </c>
      <c r="AE116" s="1" t="s">
        <v>987</v>
      </c>
      <c r="AF116" s="6">
        <v>99007.2</v>
      </c>
      <c r="AG116" s="6">
        <v>4500.3272727272724</v>
      </c>
      <c r="AH116" s="1" t="s">
        <v>1191</v>
      </c>
      <c r="AI116" s="6">
        <v>992.80000000000291</v>
      </c>
      <c r="AJ116" s="6">
        <v>9.9280000000000288E-3</v>
      </c>
      <c r="AK116" s="1" t="s">
        <v>1191</v>
      </c>
      <c r="AL116" s="1" t="s">
        <v>454</v>
      </c>
      <c r="AM116" s="1" t="s">
        <v>559</v>
      </c>
      <c r="AN116" s="1" t="s">
        <v>120</v>
      </c>
      <c r="AO116" s="6">
        <v>992.80000000000291</v>
      </c>
      <c r="AP116" s="6">
        <v>9.9280000000000288E-3</v>
      </c>
      <c r="AQ116" s="2" t="str">
        <f>HYPERLINK("https://auction.openprocurement.org/tenders/802ad15f286d47238bce7a3648c832ea")</f>
        <v>https://auction.openprocurement.org/tenders/802ad15f286d47238bce7a3648c832ea</v>
      </c>
      <c r="AR116" s="7">
        <v>43574.616238709488</v>
      </c>
      <c r="AS116" s="5">
        <v>43585</v>
      </c>
      <c r="AT116" s="5">
        <v>43595</v>
      </c>
      <c r="AU116" s="1" t="s">
        <v>1287</v>
      </c>
      <c r="AV116" s="7">
        <v>43593.640931580543</v>
      </c>
      <c r="AW116" s="1" t="s">
        <v>302</v>
      </c>
      <c r="AX116" s="6">
        <v>99007.2</v>
      </c>
      <c r="AY116" s="5">
        <v>43563</v>
      </c>
      <c r="AZ116" s="5">
        <v>43585</v>
      </c>
      <c r="BA116" s="7">
        <v>43830</v>
      </c>
      <c r="BB116" s="1" t="s">
        <v>1310</v>
      </c>
      <c r="BC116" s="1"/>
      <c r="BD116" s="1"/>
    </row>
    <row r="117" spans="1:56" hidden="1" x14ac:dyDescent="0.25">
      <c r="A117" s="4">
        <v>112</v>
      </c>
      <c r="B117" s="2" t="str">
        <f>HYPERLINK("https://my.zakupki.prom.ua/remote/dispatcher/state_purchase_view/10930087", "UA-2019-03-14-004218-a")</f>
        <v>UA-2019-03-14-004218-a</v>
      </c>
      <c r="C117" s="2" t="s">
        <v>983</v>
      </c>
      <c r="D117" s="1" t="s">
        <v>849</v>
      </c>
      <c r="E117" s="1" t="s">
        <v>178</v>
      </c>
      <c r="F117" s="1" t="s">
        <v>367</v>
      </c>
      <c r="G117" s="1" t="s">
        <v>883</v>
      </c>
      <c r="H117" s="1" t="s">
        <v>987</v>
      </c>
      <c r="I117" s="1" t="s">
        <v>905</v>
      </c>
      <c r="J117" s="1" t="s">
        <v>158</v>
      </c>
      <c r="K117" s="1" t="s">
        <v>662</v>
      </c>
      <c r="L117" s="1" t="s">
        <v>1207</v>
      </c>
      <c r="M117" s="1" t="s">
        <v>147</v>
      </c>
      <c r="N117" s="1" t="s">
        <v>147</v>
      </c>
      <c r="O117" s="1" t="s">
        <v>147</v>
      </c>
      <c r="P117" s="5">
        <v>43538</v>
      </c>
      <c r="Q117" s="5">
        <v>43538</v>
      </c>
      <c r="R117" s="5">
        <v>43544</v>
      </c>
      <c r="S117" s="5">
        <v>43544</v>
      </c>
      <c r="T117" s="5">
        <v>43546</v>
      </c>
      <c r="U117" s="1" t="s">
        <v>1285</v>
      </c>
      <c r="V117" s="4">
        <v>0</v>
      </c>
      <c r="W117" s="6">
        <v>100000</v>
      </c>
      <c r="X117" s="1" t="s">
        <v>983</v>
      </c>
      <c r="Y117" s="4">
        <v>22</v>
      </c>
      <c r="Z117" s="6">
        <v>4545.45</v>
      </c>
      <c r="AA117" s="1" t="s">
        <v>1318</v>
      </c>
      <c r="AB117" s="1" t="s">
        <v>540</v>
      </c>
      <c r="AC117" s="1" t="s">
        <v>1202</v>
      </c>
      <c r="AD117" s="1" t="s">
        <v>704</v>
      </c>
      <c r="AE117" s="1" t="s">
        <v>987</v>
      </c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2"/>
      <c r="AR117" s="1"/>
      <c r="AS117" s="1"/>
      <c r="AT117" s="1"/>
      <c r="AU117" s="1" t="s">
        <v>1312</v>
      </c>
      <c r="AV117" s="7">
        <v>43539.551795730717</v>
      </c>
      <c r="AW117" s="1"/>
      <c r="AX117" s="1"/>
      <c r="AY117" s="5">
        <v>43556</v>
      </c>
      <c r="AZ117" s="5">
        <v>43585</v>
      </c>
      <c r="BA117" s="1"/>
      <c r="BB117" s="1"/>
      <c r="BC117" s="1" t="s">
        <v>902</v>
      </c>
      <c r="BD117" s="1"/>
    </row>
    <row r="118" spans="1:56" hidden="1" x14ac:dyDescent="0.25">
      <c r="A118" s="4">
        <v>113</v>
      </c>
      <c r="B118" s="2" t="str">
        <f>HYPERLINK("https://my.zakupki.prom.ua/remote/dispatcher/state_purchase_view/10873099", "UA-2019-03-11-002533-a")</f>
        <v>UA-2019-03-11-002533-a</v>
      </c>
      <c r="C118" s="2" t="s">
        <v>983</v>
      </c>
      <c r="D118" s="1" t="s">
        <v>760</v>
      </c>
      <c r="E118" s="1" t="s">
        <v>760</v>
      </c>
      <c r="F118" s="1" t="s">
        <v>283</v>
      </c>
      <c r="G118" s="1" t="s">
        <v>883</v>
      </c>
      <c r="H118" s="1" t="s">
        <v>987</v>
      </c>
      <c r="I118" s="1" t="s">
        <v>905</v>
      </c>
      <c r="J118" s="1" t="s">
        <v>158</v>
      </c>
      <c r="K118" s="1" t="s">
        <v>662</v>
      </c>
      <c r="L118" s="1" t="s">
        <v>1207</v>
      </c>
      <c r="M118" s="1" t="s">
        <v>147</v>
      </c>
      <c r="N118" s="1" t="s">
        <v>147</v>
      </c>
      <c r="O118" s="1" t="s">
        <v>147</v>
      </c>
      <c r="P118" s="5">
        <v>43535</v>
      </c>
      <c r="Q118" s="5">
        <v>43535</v>
      </c>
      <c r="R118" s="5">
        <v>43537</v>
      </c>
      <c r="S118" s="5">
        <v>43537</v>
      </c>
      <c r="T118" s="5">
        <v>43539</v>
      </c>
      <c r="U118" s="1" t="s">
        <v>1285</v>
      </c>
      <c r="V118" s="4">
        <v>1</v>
      </c>
      <c r="W118" s="6">
        <v>3862</v>
      </c>
      <c r="X118" s="1" t="s">
        <v>983</v>
      </c>
      <c r="Y118" s="4">
        <v>14</v>
      </c>
      <c r="Z118" s="6">
        <v>275.86</v>
      </c>
      <c r="AA118" s="1" t="s">
        <v>1318</v>
      </c>
      <c r="AB118" s="1" t="s">
        <v>540</v>
      </c>
      <c r="AC118" s="1" t="s">
        <v>1202</v>
      </c>
      <c r="AD118" s="1" t="s">
        <v>704</v>
      </c>
      <c r="AE118" s="1" t="s">
        <v>987</v>
      </c>
      <c r="AF118" s="6">
        <v>3862</v>
      </c>
      <c r="AG118" s="6">
        <v>275.85714285714283</v>
      </c>
      <c r="AH118" s="1" t="s">
        <v>706</v>
      </c>
      <c r="AI118" s="1"/>
      <c r="AJ118" s="1"/>
      <c r="AK118" s="1" t="s">
        <v>706</v>
      </c>
      <c r="AL118" s="1" t="s">
        <v>224</v>
      </c>
      <c r="AM118" s="1" t="s">
        <v>547</v>
      </c>
      <c r="AN118" s="1" t="s">
        <v>104</v>
      </c>
      <c r="AO118" s="1"/>
      <c r="AP118" s="1"/>
      <c r="AQ118" s="2"/>
      <c r="AR118" s="7">
        <v>43542.461920409871</v>
      </c>
      <c r="AS118" s="5">
        <v>43544</v>
      </c>
      <c r="AT118" s="5">
        <v>43567</v>
      </c>
      <c r="AU118" s="1" t="s">
        <v>1287</v>
      </c>
      <c r="AV118" s="7">
        <v>43557.69537465059</v>
      </c>
      <c r="AW118" s="1" t="s">
        <v>206</v>
      </c>
      <c r="AX118" s="6">
        <v>3862</v>
      </c>
      <c r="AY118" s="5">
        <v>43543</v>
      </c>
      <c r="AZ118" s="5">
        <v>43553</v>
      </c>
      <c r="BA118" s="7">
        <v>43830</v>
      </c>
      <c r="BB118" s="1" t="s">
        <v>1310</v>
      </c>
      <c r="BC118" s="1"/>
      <c r="BD118" s="1"/>
    </row>
    <row r="119" spans="1:56" hidden="1" x14ac:dyDescent="0.25">
      <c r="A119" s="4">
        <v>114</v>
      </c>
      <c r="B119" s="2" t="str">
        <f>HYPERLINK("https://my.zakupki.prom.ua/remote/dispatcher/state_purchase_view/10873072", "UA-2019-03-11-002531-a")</f>
        <v>UA-2019-03-11-002531-a</v>
      </c>
      <c r="C119" s="2" t="s">
        <v>983</v>
      </c>
      <c r="D119" s="1" t="s">
        <v>863</v>
      </c>
      <c r="E119" s="1" t="s">
        <v>710</v>
      </c>
      <c r="F119" s="1" t="s">
        <v>379</v>
      </c>
      <c r="G119" s="1" t="s">
        <v>883</v>
      </c>
      <c r="H119" s="1" t="s">
        <v>987</v>
      </c>
      <c r="I119" s="1" t="s">
        <v>905</v>
      </c>
      <c r="J119" s="1" t="s">
        <v>158</v>
      </c>
      <c r="K119" s="1" t="s">
        <v>662</v>
      </c>
      <c r="L119" s="1" t="s">
        <v>1207</v>
      </c>
      <c r="M119" s="1" t="s">
        <v>147</v>
      </c>
      <c r="N119" s="1" t="s">
        <v>147</v>
      </c>
      <c r="O119" s="1" t="s">
        <v>147</v>
      </c>
      <c r="P119" s="5">
        <v>43535</v>
      </c>
      <c r="Q119" s="5">
        <v>43535</v>
      </c>
      <c r="R119" s="5">
        <v>43537</v>
      </c>
      <c r="S119" s="5">
        <v>43537</v>
      </c>
      <c r="T119" s="5">
        <v>43539</v>
      </c>
      <c r="U119" s="1" t="s">
        <v>1285</v>
      </c>
      <c r="V119" s="4">
        <v>1</v>
      </c>
      <c r="W119" s="6">
        <v>6480</v>
      </c>
      <c r="X119" s="1" t="s">
        <v>983</v>
      </c>
      <c r="Y119" s="4">
        <v>306</v>
      </c>
      <c r="Z119" s="6">
        <v>21.18</v>
      </c>
      <c r="AA119" s="1" t="s">
        <v>1318</v>
      </c>
      <c r="AB119" s="1" t="s">
        <v>540</v>
      </c>
      <c r="AC119" s="1" t="s">
        <v>1202</v>
      </c>
      <c r="AD119" s="1" t="s">
        <v>704</v>
      </c>
      <c r="AE119" s="1" t="s">
        <v>987</v>
      </c>
      <c r="AF119" s="6">
        <v>5835</v>
      </c>
      <c r="AG119" s="6">
        <v>19.068627450980394</v>
      </c>
      <c r="AH119" s="1" t="s">
        <v>1238</v>
      </c>
      <c r="AI119" s="6">
        <v>645</v>
      </c>
      <c r="AJ119" s="6">
        <v>9.9537037037037035E-2</v>
      </c>
      <c r="AK119" s="1" t="s">
        <v>1238</v>
      </c>
      <c r="AL119" s="1" t="s">
        <v>294</v>
      </c>
      <c r="AM119" s="1" t="s">
        <v>591</v>
      </c>
      <c r="AN119" s="1" t="s">
        <v>99</v>
      </c>
      <c r="AO119" s="6">
        <v>645</v>
      </c>
      <c r="AP119" s="6">
        <v>9.9537037037037035E-2</v>
      </c>
      <c r="AQ119" s="2"/>
      <c r="AR119" s="7">
        <v>43542.464131646608</v>
      </c>
      <c r="AS119" s="5">
        <v>43544</v>
      </c>
      <c r="AT119" s="5">
        <v>43567</v>
      </c>
      <c r="AU119" s="1" t="s">
        <v>1287</v>
      </c>
      <c r="AV119" s="7">
        <v>43558.525714871575</v>
      </c>
      <c r="AW119" s="1" t="s">
        <v>222</v>
      </c>
      <c r="AX119" s="6">
        <v>5835</v>
      </c>
      <c r="AY119" s="5">
        <v>43543</v>
      </c>
      <c r="AZ119" s="5">
        <v>43553</v>
      </c>
      <c r="BA119" s="7">
        <v>43830</v>
      </c>
      <c r="BB119" s="1" t="s">
        <v>1310</v>
      </c>
      <c r="BC119" s="1"/>
      <c r="BD119" s="1"/>
    </row>
    <row r="120" spans="1:56" hidden="1" x14ac:dyDescent="0.25">
      <c r="A120" s="4">
        <v>115</v>
      </c>
      <c r="B120" s="2" t="str">
        <f>HYPERLINK("https://my.zakupki.prom.ua/remote/dispatcher/state_purchase_view/10873055", "UA-2019-03-11-002530-a")</f>
        <v>UA-2019-03-11-002530-a</v>
      </c>
      <c r="C120" s="2" t="s">
        <v>983</v>
      </c>
      <c r="D120" s="1" t="s">
        <v>731</v>
      </c>
      <c r="E120" s="1" t="s">
        <v>976</v>
      </c>
      <c r="F120" s="1" t="s">
        <v>355</v>
      </c>
      <c r="G120" s="1" t="s">
        <v>883</v>
      </c>
      <c r="H120" s="1" t="s">
        <v>987</v>
      </c>
      <c r="I120" s="1" t="s">
        <v>905</v>
      </c>
      <c r="J120" s="1" t="s">
        <v>158</v>
      </c>
      <c r="K120" s="1" t="s">
        <v>662</v>
      </c>
      <c r="L120" s="1" t="s">
        <v>1207</v>
      </c>
      <c r="M120" s="1" t="s">
        <v>147</v>
      </c>
      <c r="N120" s="1" t="s">
        <v>147</v>
      </c>
      <c r="O120" s="1" t="s">
        <v>147</v>
      </c>
      <c r="P120" s="5">
        <v>43535</v>
      </c>
      <c r="Q120" s="5">
        <v>43535</v>
      </c>
      <c r="R120" s="5">
        <v>43537</v>
      </c>
      <c r="S120" s="5">
        <v>43537</v>
      </c>
      <c r="T120" s="5">
        <v>43539</v>
      </c>
      <c r="U120" s="1" t="s">
        <v>1285</v>
      </c>
      <c r="V120" s="4">
        <v>1</v>
      </c>
      <c r="W120" s="6">
        <v>9587</v>
      </c>
      <c r="X120" s="1" t="s">
        <v>983</v>
      </c>
      <c r="Y120" s="4">
        <v>500</v>
      </c>
      <c r="Z120" s="6">
        <v>19.170000000000002</v>
      </c>
      <c r="AA120" s="1" t="s">
        <v>1318</v>
      </c>
      <c r="AB120" s="1" t="s">
        <v>540</v>
      </c>
      <c r="AC120" s="1" t="s">
        <v>1202</v>
      </c>
      <c r="AD120" s="1" t="s">
        <v>704</v>
      </c>
      <c r="AE120" s="1" t="s">
        <v>987</v>
      </c>
      <c r="AF120" s="6">
        <v>7431.15</v>
      </c>
      <c r="AG120" s="6">
        <v>14.862299999999999</v>
      </c>
      <c r="AH120" s="1" t="s">
        <v>1175</v>
      </c>
      <c r="AI120" s="6">
        <v>2155.8500000000004</v>
      </c>
      <c r="AJ120" s="6">
        <v>0.22487222280171068</v>
      </c>
      <c r="AK120" s="1" t="s">
        <v>1175</v>
      </c>
      <c r="AL120" s="1" t="s">
        <v>235</v>
      </c>
      <c r="AM120" s="1" t="s">
        <v>592</v>
      </c>
      <c r="AN120" s="1" t="s">
        <v>38</v>
      </c>
      <c r="AO120" s="6">
        <v>2155.8500000000004</v>
      </c>
      <c r="AP120" s="6">
        <v>0.22487222280171068</v>
      </c>
      <c r="AQ120" s="2"/>
      <c r="AR120" s="7">
        <v>43542.474644682487</v>
      </c>
      <c r="AS120" s="5">
        <v>43544</v>
      </c>
      <c r="AT120" s="5">
        <v>43567</v>
      </c>
      <c r="AU120" s="1" t="s">
        <v>1287</v>
      </c>
      <c r="AV120" s="7">
        <v>43544.522293760325</v>
      </c>
      <c r="AW120" s="1" t="s">
        <v>204</v>
      </c>
      <c r="AX120" s="6">
        <v>7431.15</v>
      </c>
      <c r="AY120" s="5">
        <v>43543</v>
      </c>
      <c r="AZ120" s="5">
        <v>43553</v>
      </c>
      <c r="BA120" s="7">
        <v>43830</v>
      </c>
      <c r="BB120" s="1" t="s">
        <v>1310</v>
      </c>
      <c r="BC120" s="1"/>
      <c r="BD120" s="1"/>
    </row>
    <row r="121" spans="1:56" hidden="1" x14ac:dyDescent="0.25">
      <c r="A121" s="4">
        <v>116</v>
      </c>
      <c r="B121" s="2" t="str">
        <f>HYPERLINK("https://my.zakupki.prom.ua/remote/dispatcher/state_purchase_view/10873041", "UA-2019-03-11-002529-a")</f>
        <v>UA-2019-03-11-002529-a</v>
      </c>
      <c r="C121" s="2" t="s">
        <v>983</v>
      </c>
      <c r="D121" s="1" t="s">
        <v>728</v>
      </c>
      <c r="E121" s="1" t="s">
        <v>1278</v>
      </c>
      <c r="F121" s="1" t="s">
        <v>355</v>
      </c>
      <c r="G121" s="1" t="s">
        <v>883</v>
      </c>
      <c r="H121" s="1" t="s">
        <v>987</v>
      </c>
      <c r="I121" s="1" t="s">
        <v>905</v>
      </c>
      <c r="J121" s="1" t="s">
        <v>158</v>
      </c>
      <c r="K121" s="1" t="s">
        <v>662</v>
      </c>
      <c r="L121" s="1" t="s">
        <v>1207</v>
      </c>
      <c r="M121" s="1" t="s">
        <v>147</v>
      </c>
      <c r="N121" s="1" t="s">
        <v>147</v>
      </c>
      <c r="O121" s="1" t="s">
        <v>147</v>
      </c>
      <c r="P121" s="5">
        <v>43535</v>
      </c>
      <c r="Q121" s="5">
        <v>43535</v>
      </c>
      <c r="R121" s="5">
        <v>43537</v>
      </c>
      <c r="S121" s="5">
        <v>43537</v>
      </c>
      <c r="T121" s="5">
        <v>43539</v>
      </c>
      <c r="U121" s="1" t="s">
        <v>1285</v>
      </c>
      <c r="V121" s="4">
        <v>1</v>
      </c>
      <c r="W121" s="6">
        <v>33526</v>
      </c>
      <c r="X121" s="1" t="s">
        <v>983</v>
      </c>
      <c r="Y121" s="4">
        <v>10710</v>
      </c>
      <c r="Z121" s="6">
        <v>3.13</v>
      </c>
      <c r="AA121" s="1" t="s">
        <v>1318</v>
      </c>
      <c r="AB121" s="1" t="s">
        <v>540</v>
      </c>
      <c r="AC121" s="1" t="s">
        <v>1202</v>
      </c>
      <c r="AD121" s="1" t="s">
        <v>704</v>
      </c>
      <c r="AE121" s="1" t="s">
        <v>987</v>
      </c>
      <c r="AF121" s="6">
        <v>20358.349999999999</v>
      </c>
      <c r="AG121" s="6">
        <v>1.9008730158730158</v>
      </c>
      <c r="AH121" s="1" t="s">
        <v>1146</v>
      </c>
      <c r="AI121" s="6">
        <v>13167.650000000001</v>
      </c>
      <c r="AJ121" s="6">
        <v>0.39275935095150039</v>
      </c>
      <c r="AK121" s="1" t="s">
        <v>1146</v>
      </c>
      <c r="AL121" s="1" t="s">
        <v>438</v>
      </c>
      <c r="AM121" s="1" t="s">
        <v>558</v>
      </c>
      <c r="AN121" s="1" t="s">
        <v>139</v>
      </c>
      <c r="AO121" s="6">
        <v>13167.650000000001</v>
      </c>
      <c r="AP121" s="6">
        <v>0.39275935095150039</v>
      </c>
      <c r="AQ121" s="2"/>
      <c r="AR121" s="7">
        <v>43542.47811665367</v>
      </c>
      <c r="AS121" s="5">
        <v>43544</v>
      </c>
      <c r="AT121" s="5">
        <v>43567</v>
      </c>
      <c r="AU121" s="1" t="s">
        <v>1287</v>
      </c>
      <c r="AV121" s="7">
        <v>43557.687638467578</v>
      </c>
      <c r="AW121" s="1" t="s">
        <v>217</v>
      </c>
      <c r="AX121" s="6">
        <v>20358.349999999999</v>
      </c>
      <c r="AY121" s="5">
        <v>43543</v>
      </c>
      <c r="AZ121" s="5">
        <v>43553</v>
      </c>
      <c r="BA121" s="7">
        <v>43830</v>
      </c>
      <c r="BB121" s="1" t="s">
        <v>1310</v>
      </c>
      <c r="BC121" s="1"/>
      <c r="BD121" s="1"/>
    </row>
    <row r="122" spans="1:56" hidden="1" x14ac:dyDescent="0.25">
      <c r="A122" s="4">
        <v>117</v>
      </c>
      <c r="B122" s="2" t="str">
        <f>HYPERLINK("https://my.zakupki.prom.ua/remote/dispatcher/state_purchase_view/10873020", "UA-2019-03-11-002524-a")</f>
        <v>UA-2019-03-11-002524-a</v>
      </c>
      <c r="C122" s="2" t="s">
        <v>983</v>
      </c>
      <c r="D122" s="1" t="s">
        <v>16</v>
      </c>
      <c r="E122" s="1" t="s">
        <v>1294</v>
      </c>
      <c r="F122" s="1" t="s">
        <v>381</v>
      </c>
      <c r="G122" s="1" t="s">
        <v>883</v>
      </c>
      <c r="H122" s="1" t="s">
        <v>987</v>
      </c>
      <c r="I122" s="1" t="s">
        <v>905</v>
      </c>
      <c r="J122" s="1" t="s">
        <v>158</v>
      </c>
      <c r="K122" s="1" t="s">
        <v>662</v>
      </c>
      <c r="L122" s="1" t="s">
        <v>1207</v>
      </c>
      <c r="M122" s="1" t="s">
        <v>147</v>
      </c>
      <c r="N122" s="1" t="s">
        <v>147</v>
      </c>
      <c r="O122" s="1" t="s">
        <v>147</v>
      </c>
      <c r="P122" s="5">
        <v>43535</v>
      </c>
      <c r="Q122" s="5">
        <v>43535</v>
      </c>
      <c r="R122" s="5">
        <v>43537</v>
      </c>
      <c r="S122" s="5">
        <v>43537</v>
      </c>
      <c r="T122" s="5">
        <v>43539</v>
      </c>
      <c r="U122" s="1" t="s">
        <v>1285</v>
      </c>
      <c r="V122" s="4">
        <v>0</v>
      </c>
      <c r="W122" s="6">
        <v>3460</v>
      </c>
      <c r="X122" s="1" t="s">
        <v>983</v>
      </c>
      <c r="Y122" s="4">
        <v>3</v>
      </c>
      <c r="Z122" s="6">
        <v>1153.33</v>
      </c>
      <c r="AA122" s="1" t="s">
        <v>1301</v>
      </c>
      <c r="AB122" s="1" t="s">
        <v>540</v>
      </c>
      <c r="AC122" s="1" t="s">
        <v>1202</v>
      </c>
      <c r="AD122" s="1" t="s">
        <v>704</v>
      </c>
      <c r="AE122" s="1" t="s">
        <v>987</v>
      </c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2"/>
      <c r="AR122" s="1"/>
      <c r="AS122" s="1"/>
      <c r="AT122" s="1"/>
      <c r="AU122" s="1" t="s">
        <v>1288</v>
      </c>
      <c r="AV122" s="7">
        <v>43539.831714534048</v>
      </c>
      <c r="AW122" s="1"/>
      <c r="AX122" s="1"/>
      <c r="AY122" s="5">
        <v>43543</v>
      </c>
      <c r="AZ122" s="5">
        <v>43553</v>
      </c>
      <c r="BA122" s="1"/>
      <c r="BB122" s="1"/>
      <c r="BC122" s="1"/>
      <c r="BD122" s="1"/>
    </row>
    <row r="123" spans="1:56" hidden="1" x14ac:dyDescent="0.25">
      <c r="A123" s="4">
        <v>118</v>
      </c>
      <c r="B123" s="2" t="str">
        <f>HYPERLINK("https://my.zakupki.prom.ua/remote/dispatcher/state_purchase_view/10873011", "UA-2019-03-11-002522-a")</f>
        <v>UA-2019-03-11-002522-a</v>
      </c>
      <c r="C123" s="2" t="s">
        <v>983</v>
      </c>
      <c r="D123" s="1" t="s">
        <v>747</v>
      </c>
      <c r="E123" s="1" t="s">
        <v>885</v>
      </c>
      <c r="F123" s="1" t="s">
        <v>377</v>
      </c>
      <c r="G123" s="1" t="s">
        <v>883</v>
      </c>
      <c r="H123" s="1" t="s">
        <v>987</v>
      </c>
      <c r="I123" s="1" t="s">
        <v>905</v>
      </c>
      <c r="J123" s="1" t="s">
        <v>158</v>
      </c>
      <c r="K123" s="1" t="s">
        <v>662</v>
      </c>
      <c r="L123" s="1" t="s">
        <v>1207</v>
      </c>
      <c r="M123" s="1" t="s">
        <v>147</v>
      </c>
      <c r="N123" s="1" t="s">
        <v>147</v>
      </c>
      <c r="O123" s="1" t="s">
        <v>147</v>
      </c>
      <c r="P123" s="5">
        <v>43535</v>
      </c>
      <c r="Q123" s="5">
        <v>43535</v>
      </c>
      <c r="R123" s="5">
        <v>43537</v>
      </c>
      <c r="S123" s="5">
        <v>43537</v>
      </c>
      <c r="T123" s="5">
        <v>43539</v>
      </c>
      <c r="U123" s="1" t="s">
        <v>1285</v>
      </c>
      <c r="V123" s="4">
        <v>0</v>
      </c>
      <c r="W123" s="6">
        <v>8112</v>
      </c>
      <c r="X123" s="1" t="s">
        <v>983</v>
      </c>
      <c r="Y123" s="4">
        <v>6</v>
      </c>
      <c r="Z123" s="6">
        <v>1352</v>
      </c>
      <c r="AA123" s="1" t="s">
        <v>1315</v>
      </c>
      <c r="AB123" s="1" t="s">
        <v>540</v>
      </c>
      <c r="AC123" s="1" t="s">
        <v>1202</v>
      </c>
      <c r="AD123" s="1" t="s">
        <v>704</v>
      </c>
      <c r="AE123" s="1" t="s">
        <v>987</v>
      </c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2"/>
      <c r="AR123" s="1"/>
      <c r="AS123" s="1"/>
      <c r="AT123" s="1"/>
      <c r="AU123" s="1" t="s">
        <v>1288</v>
      </c>
      <c r="AV123" s="7">
        <v>43539.825684512849</v>
      </c>
      <c r="AW123" s="1"/>
      <c r="AX123" s="1"/>
      <c r="AY123" s="5">
        <v>43543</v>
      </c>
      <c r="AZ123" s="5">
        <v>43553</v>
      </c>
      <c r="BA123" s="1"/>
      <c r="BB123" s="1"/>
      <c r="BC123" s="1"/>
      <c r="BD123" s="1"/>
    </row>
    <row r="124" spans="1:56" x14ac:dyDescent="0.25">
      <c r="A124" s="4">
        <v>119</v>
      </c>
      <c r="B124" s="2" t="str">
        <f>HYPERLINK("https://my.zakupki.prom.ua/remote/dispatcher/state_purchase_view/10872882", "UA-2019-03-11-002504-a")</f>
        <v>UA-2019-03-11-002504-a</v>
      </c>
      <c r="C124" s="2" t="s">
        <v>983</v>
      </c>
      <c r="D124" s="1" t="s">
        <v>850</v>
      </c>
      <c r="E124" s="1" t="s">
        <v>850</v>
      </c>
      <c r="F124" s="1" t="s">
        <v>437</v>
      </c>
      <c r="G124" s="1" t="s">
        <v>702</v>
      </c>
      <c r="H124" s="1" t="s">
        <v>987</v>
      </c>
      <c r="I124" s="1" t="s">
        <v>905</v>
      </c>
      <c r="J124" s="1" t="s">
        <v>158</v>
      </c>
      <c r="K124" s="1" t="s">
        <v>662</v>
      </c>
      <c r="L124" s="1" t="s">
        <v>1207</v>
      </c>
      <c r="M124" s="1" t="s">
        <v>317</v>
      </c>
      <c r="N124" s="1" t="s">
        <v>147</v>
      </c>
      <c r="O124" s="1" t="s">
        <v>176</v>
      </c>
      <c r="P124" s="5">
        <v>43535</v>
      </c>
      <c r="Q124" s="5">
        <v>43535</v>
      </c>
      <c r="R124" s="5">
        <v>43541</v>
      </c>
      <c r="S124" s="5">
        <v>43535</v>
      </c>
      <c r="T124" s="5">
        <v>43551</v>
      </c>
      <c r="U124" s="7">
        <v>43552.599074074074</v>
      </c>
      <c r="V124" s="4">
        <v>6</v>
      </c>
      <c r="W124" s="6">
        <v>1100000</v>
      </c>
      <c r="X124" s="1" t="s">
        <v>983</v>
      </c>
      <c r="Y124" s="4">
        <v>555</v>
      </c>
      <c r="Z124" s="6">
        <v>1981.98</v>
      </c>
      <c r="AA124" s="1" t="s">
        <v>1318</v>
      </c>
      <c r="AB124" s="1" t="s">
        <v>540</v>
      </c>
      <c r="AC124" s="1" t="s">
        <v>1202</v>
      </c>
      <c r="AD124" s="1" t="s">
        <v>704</v>
      </c>
      <c r="AE124" s="1" t="s">
        <v>987</v>
      </c>
      <c r="AF124" s="6">
        <v>509514</v>
      </c>
      <c r="AG124" s="6">
        <v>918.0432432432433</v>
      </c>
      <c r="AH124" s="1" t="s">
        <v>1004</v>
      </c>
      <c r="AI124" s="6">
        <v>590486</v>
      </c>
      <c r="AJ124" s="6">
        <v>0.53680545454545459</v>
      </c>
      <c r="AK124" s="1" t="s">
        <v>1253</v>
      </c>
      <c r="AL124" s="1" t="s">
        <v>399</v>
      </c>
      <c r="AM124" s="1" t="s">
        <v>586</v>
      </c>
      <c r="AN124" s="1" t="s">
        <v>133</v>
      </c>
      <c r="AO124" s="6">
        <v>905</v>
      </c>
      <c r="AP124" s="6">
        <v>8.2272727272727272E-4</v>
      </c>
      <c r="AQ124" s="2" t="str">
        <f>HYPERLINK("https://auction.openprocurement.org/tenders/e28194313ce44630bd461d62cf05056f")</f>
        <v>https://auction.openprocurement.org/tenders/e28194313ce44630bd461d62cf05056f</v>
      </c>
      <c r="AR124" s="7">
        <v>43567.43798575949</v>
      </c>
      <c r="AS124" s="5">
        <v>43578</v>
      </c>
      <c r="AT124" s="5">
        <v>43588</v>
      </c>
      <c r="AU124" s="1" t="s">
        <v>1287</v>
      </c>
      <c r="AV124" s="7">
        <v>43592.494942188925</v>
      </c>
      <c r="AW124" s="1" t="s">
        <v>298</v>
      </c>
      <c r="AX124" s="6">
        <v>1099095</v>
      </c>
      <c r="AY124" s="5">
        <v>43552</v>
      </c>
      <c r="AZ124" s="5">
        <v>43585</v>
      </c>
      <c r="BA124" s="7">
        <v>43830</v>
      </c>
      <c r="BB124" s="1" t="s">
        <v>1310</v>
      </c>
      <c r="BC124" s="1"/>
      <c r="BD124" s="1"/>
    </row>
    <row r="125" spans="1:56" x14ac:dyDescent="0.25">
      <c r="A125" s="4">
        <v>120</v>
      </c>
      <c r="B125" s="2" t="str">
        <f>HYPERLINK("https://my.zakupki.prom.ua/remote/dispatcher/state_purchase_view/10868584", "UA-2019-03-11-001839-a")</f>
        <v>UA-2019-03-11-001839-a</v>
      </c>
      <c r="C125" s="2" t="s">
        <v>983</v>
      </c>
      <c r="D125" s="1" t="s">
        <v>857</v>
      </c>
      <c r="E125" s="1" t="s">
        <v>857</v>
      </c>
      <c r="F125" s="1" t="s">
        <v>509</v>
      </c>
      <c r="G125" s="1" t="s">
        <v>702</v>
      </c>
      <c r="H125" s="1" t="s">
        <v>987</v>
      </c>
      <c r="I125" s="1" t="s">
        <v>905</v>
      </c>
      <c r="J125" s="1" t="s">
        <v>158</v>
      </c>
      <c r="K125" s="1" t="s">
        <v>662</v>
      </c>
      <c r="L125" s="1" t="s">
        <v>1207</v>
      </c>
      <c r="M125" s="1" t="s">
        <v>147</v>
      </c>
      <c r="N125" s="1" t="s">
        <v>147</v>
      </c>
      <c r="O125" s="1" t="s">
        <v>147</v>
      </c>
      <c r="P125" s="5">
        <v>43535</v>
      </c>
      <c r="Q125" s="5">
        <v>43535</v>
      </c>
      <c r="R125" s="5">
        <v>43540</v>
      </c>
      <c r="S125" s="5">
        <v>43535</v>
      </c>
      <c r="T125" s="5">
        <v>43550</v>
      </c>
      <c r="U125" s="1" t="s">
        <v>1285</v>
      </c>
      <c r="V125" s="4">
        <v>4</v>
      </c>
      <c r="W125" s="6">
        <v>690741</v>
      </c>
      <c r="X125" s="1" t="s">
        <v>983</v>
      </c>
      <c r="Y125" s="4">
        <v>1</v>
      </c>
      <c r="Z125" s="6">
        <v>690741</v>
      </c>
      <c r="AA125" s="1" t="s">
        <v>1307</v>
      </c>
      <c r="AB125" s="1" t="s">
        <v>540</v>
      </c>
      <c r="AC125" s="1" t="s">
        <v>1202</v>
      </c>
      <c r="AD125" s="1" t="s">
        <v>704</v>
      </c>
      <c r="AE125" s="1" t="s">
        <v>987</v>
      </c>
      <c r="AF125" s="6">
        <v>481048.24</v>
      </c>
      <c r="AG125" s="6">
        <v>481048.24</v>
      </c>
      <c r="AH125" s="1" t="s">
        <v>1176</v>
      </c>
      <c r="AI125" s="6">
        <v>209692.76</v>
      </c>
      <c r="AJ125" s="6">
        <v>0.30357653592301603</v>
      </c>
      <c r="AK125" s="1"/>
      <c r="AL125" s="1"/>
      <c r="AM125" s="1"/>
      <c r="AN125" s="1"/>
      <c r="AO125" s="1"/>
      <c r="AP125" s="1"/>
      <c r="AQ125" s="2" t="str">
        <f>HYPERLINK("https://auction.openprocurement.org/tenders/75fe315ad0374ff69b276eeae0197fd9")</f>
        <v>https://auction.openprocurement.org/tenders/75fe315ad0374ff69b276eeae0197fd9</v>
      </c>
      <c r="AR125" s="1"/>
      <c r="AS125" s="1"/>
      <c r="AT125" s="1"/>
      <c r="AU125" s="1" t="s">
        <v>1312</v>
      </c>
      <c r="AV125" s="7">
        <v>43556.431671104954</v>
      </c>
      <c r="AW125" s="1"/>
      <c r="AX125" s="1"/>
      <c r="AY125" s="5">
        <v>43551</v>
      </c>
      <c r="AZ125" s="5">
        <v>43616</v>
      </c>
      <c r="BA125" s="1"/>
      <c r="BB125" s="1"/>
      <c r="BC125" s="1" t="s">
        <v>1216</v>
      </c>
      <c r="BD125" s="1"/>
    </row>
    <row r="126" spans="1:56" hidden="1" x14ac:dyDescent="0.25">
      <c r="A126" s="4">
        <v>121</v>
      </c>
      <c r="B126" s="2" t="str">
        <f>HYPERLINK("https://my.zakupki.prom.ua/remote/dispatcher/state_purchase_view/10860483", "UA-2019-03-11-000487-a")</f>
        <v>UA-2019-03-11-000487-a</v>
      </c>
      <c r="C126" s="2" t="s">
        <v>983</v>
      </c>
      <c r="D126" s="1" t="s">
        <v>842</v>
      </c>
      <c r="E126" s="1" t="s">
        <v>1124</v>
      </c>
      <c r="F126" s="1" t="s">
        <v>381</v>
      </c>
      <c r="G126" s="1" t="s">
        <v>883</v>
      </c>
      <c r="H126" s="1" t="s">
        <v>987</v>
      </c>
      <c r="I126" s="1" t="s">
        <v>905</v>
      </c>
      <c r="J126" s="1" t="s">
        <v>158</v>
      </c>
      <c r="K126" s="1" t="s">
        <v>662</v>
      </c>
      <c r="L126" s="1" t="s">
        <v>1207</v>
      </c>
      <c r="M126" s="1" t="s">
        <v>147</v>
      </c>
      <c r="N126" s="1" t="s">
        <v>147</v>
      </c>
      <c r="O126" s="1" t="s">
        <v>147</v>
      </c>
      <c r="P126" s="5">
        <v>43535</v>
      </c>
      <c r="Q126" s="5">
        <v>43535</v>
      </c>
      <c r="R126" s="5">
        <v>43536</v>
      </c>
      <c r="S126" s="5">
        <v>43536</v>
      </c>
      <c r="T126" s="5">
        <v>43538</v>
      </c>
      <c r="U126" s="1" t="s">
        <v>1285</v>
      </c>
      <c r="V126" s="4">
        <v>1</v>
      </c>
      <c r="W126" s="6">
        <v>9000</v>
      </c>
      <c r="X126" s="1" t="s">
        <v>983</v>
      </c>
      <c r="Y126" s="4">
        <v>20</v>
      </c>
      <c r="Z126" s="6">
        <v>450</v>
      </c>
      <c r="AA126" s="1" t="s">
        <v>1315</v>
      </c>
      <c r="AB126" s="1" t="s">
        <v>540</v>
      </c>
      <c r="AC126" s="1" t="s">
        <v>1202</v>
      </c>
      <c r="AD126" s="1" t="s">
        <v>704</v>
      </c>
      <c r="AE126" s="1" t="s">
        <v>987</v>
      </c>
      <c r="AF126" s="6">
        <v>8966.7999999999993</v>
      </c>
      <c r="AG126" s="6">
        <v>448.34</v>
      </c>
      <c r="AH126" s="1" t="s">
        <v>1177</v>
      </c>
      <c r="AI126" s="6">
        <v>33.200000000000728</v>
      </c>
      <c r="AJ126" s="6">
        <v>3.6888888888889698E-3</v>
      </c>
      <c r="AK126" s="1" t="s">
        <v>1177</v>
      </c>
      <c r="AL126" s="1" t="s">
        <v>432</v>
      </c>
      <c r="AM126" s="1" t="s">
        <v>552</v>
      </c>
      <c r="AN126" s="1" t="s">
        <v>95</v>
      </c>
      <c r="AO126" s="6">
        <v>33.200000000000728</v>
      </c>
      <c r="AP126" s="6">
        <v>3.6888888888889698E-3</v>
      </c>
      <c r="AQ126" s="2"/>
      <c r="AR126" s="7">
        <v>43539.469434175509</v>
      </c>
      <c r="AS126" s="5">
        <v>43543</v>
      </c>
      <c r="AT126" s="5">
        <v>43566</v>
      </c>
      <c r="AU126" s="1" t="s">
        <v>1287</v>
      </c>
      <c r="AV126" s="7">
        <v>43559.371986929029</v>
      </c>
      <c r="AW126" s="1" t="s">
        <v>513</v>
      </c>
      <c r="AX126" s="6">
        <v>8966.7999999999993</v>
      </c>
      <c r="AY126" s="5">
        <v>43542</v>
      </c>
      <c r="AZ126" s="5">
        <v>43553</v>
      </c>
      <c r="BA126" s="7">
        <v>43830</v>
      </c>
      <c r="BB126" s="1" t="s">
        <v>1310</v>
      </c>
      <c r="BC126" s="1"/>
      <c r="BD126" s="1"/>
    </row>
    <row r="127" spans="1:56" hidden="1" x14ac:dyDescent="0.25">
      <c r="A127" s="4">
        <v>122</v>
      </c>
      <c r="B127" s="2" t="str">
        <f>HYPERLINK("https://my.zakupki.prom.ua/remote/dispatcher/state_purchase_view/10860108", "UA-2019-03-11-000405-a")</f>
        <v>UA-2019-03-11-000405-a</v>
      </c>
      <c r="C127" s="2" t="s">
        <v>983</v>
      </c>
      <c r="D127" s="1" t="s">
        <v>748</v>
      </c>
      <c r="E127" s="1" t="s">
        <v>748</v>
      </c>
      <c r="F127" s="1" t="s">
        <v>279</v>
      </c>
      <c r="G127" s="1" t="s">
        <v>883</v>
      </c>
      <c r="H127" s="1" t="s">
        <v>987</v>
      </c>
      <c r="I127" s="1" t="s">
        <v>905</v>
      </c>
      <c r="J127" s="1" t="s">
        <v>158</v>
      </c>
      <c r="K127" s="1" t="s">
        <v>662</v>
      </c>
      <c r="L127" s="1" t="s">
        <v>1207</v>
      </c>
      <c r="M127" s="1" t="s">
        <v>147</v>
      </c>
      <c r="N127" s="1" t="s">
        <v>147</v>
      </c>
      <c r="O127" s="1" t="s">
        <v>147</v>
      </c>
      <c r="P127" s="5">
        <v>43535</v>
      </c>
      <c r="Q127" s="5">
        <v>43535</v>
      </c>
      <c r="R127" s="5">
        <v>43536</v>
      </c>
      <c r="S127" s="5">
        <v>43536</v>
      </c>
      <c r="T127" s="5">
        <v>43538</v>
      </c>
      <c r="U127" s="1" t="s">
        <v>1285</v>
      </c>
      <c r="V127" s="4">
        <v>1</v>
      </c>
      <c r="W127" s="6">
        <v>9800</v>
      </c>
      <c r="X127" s="1" t="s">
        <v>983</v>
      </c>
      <c r="Y127" s="4">
        <v>60</v>
      </c>
      <c r="Z127" s="6">
        <v>163.33000000000001</v>
      </c>
      <c r="AA127" s="1" t="s">
        <v>1316</v>
      </c>
      <c r="AB127" s="1" t="s">
        <v>540</v>
      </c>
      <c r="AC127" s="1" t="s">
        <v>1202</v>
      </c>
      <c r="AD127" s="1" t="s">
        <v>704</v>
      </c>
      <c r="AE127" s="1" t="s">
        <v>987</v>
      </c>
      <c r="AF127" s="6">
        <v>9800</v>
      </c>
      <c r="AG127" s="6">
        <v>163.33333333333334</v>
      </c>
      <c r="AH127" s="1" t="s">
        <v>1244</v>
      </c>
      <c r="AI127" s="1"/>
      <c r="AJ127" s="1"/>
      <c r="AK127" s="1" t="s">
        <v>1244</v>
      </c>
      <c r="AL127" s="1" t="s">
        <v>343</v>
      </c>
      <c r="AM127" s="1" t="s">
        <v>551</v>
      </c>
      <c r="AN127" s="1" t="s">
        <v>78</v>
      </c>
      <c r="AO127" s="1"/>
      <c r="AP127" s="1"/>
      <c r="AQ127" s="2"/>
      <c r="AR127" s="7">
        <v>43539.50780447483</v>
      </c>
      <c r="AS127" s="5">
        <v>43543</v>
      </c>
      <c r="AT127" s="5">
        <v>43566</v>
      </c>
      <c r="AU127" s="1" t="s">
        <v>1287</v>
      </c>
      <c r="AV127" s="7">
        <v>43602.491138718702</v>
      </c>
      <c r="AW127" s="1" t="s">
        <v>480</v>
      </c>
      <c r="AX127" s="6">
        <v>9800</v>
      </c>
      <c r="AY127" s="5">
        <v>43542</v>
      </c>
      <c r="AZ127" s="5">
        <v>43553</v>
      </c>
      <c r="BA127" s="7">
        <v>43830</v>
      </c>
      <c r="BB127" s="1" t="s">
        <v>1310</v>
      </c>
      <c r="BC127" s="1"/>
      <c r="BD127" s="1"/>
    </row>
    <row r="128" spans="1:56" x14ac:dyDescent="0.25">
      <c r="A128" s="4">
        <v>123</v>
      </c>
      <c r="B128" s="2" t="str">
        <f>HYPERLINK("https://my.zakupki.prom.ua/remote/dispatcher/state_purchase_view/10742241", "UA-2019-02-27-000640-a")</f>
        <v>UA-2019-02-27-000640-a</v>
      </c>
      <c r="C128" s="2" t="s">
        <v>983</v>
      </c>
      <c r="D128" s="1" t="s">
        <v>782</v>
      </c>
      <c r="E128" s="1" t="s">
        <v>1030</v>
      </c>
      <c r="F128" s="1" t="s">
        <v>324</v>
      </c>
      <c r="G128" s="1" t="s">
        <v>702</v>
      </c>
      <c r="H128" s="1" t="s">
        <v>987</v>
      </c>
      <c r="I128" s="1" t="s">
        <v>905</v>
      </c>
      <c r="J128" s="1" t="s">
        <v>158</v>
      </c>
      <c r="K128" s="1" t="s">
        <v>662</v>
      </c>
      <c r="L128" s="1" t="s">
        <v>1207</v>
      </c>
      <c r="M128" s="1" t="s">
        <v>147</v>
      </c>
      <c r="N128" s="1" t="s">
        <v>147</v>
      </c>
      <c r="O128" s="1" t="s">
        <v>147</v>
      </c>
      <c r="P128" s="5">
        <v>43523</v>
      </c>
      <c r="Q128" s="5">
        <v>43523</v>
      </c>
      <c r="R128" s="5">
        <v>43528</v>
      </c>
      <c r="S128" s="5">
        <v>43523</v>
      </c>
      <c r="T128" s="5">
        <v>43538</v>
      </c>
      <c r="U128" s="7">
        <v>43539.605486111112</v>
      </c>
      <c r="V128" s="4">
        <v>2</v>
      </c>
      <c r="W128" s="6">
        <v>1130000</v>
      </c>
      <c r="X128" s="1" t="s">
        <v>983</v>
      </c>
      <c r="Y128" s="4">
        <v>91</v>
      </c>
      <c r="Z128" s="6">
        <v>12417.58</v>
      </c>
      <c r="AA128" s="1" t="s">
        <v>1318</v>
      </c>
      <c r="AB128" s="1" t="s">
        <v>540</v>
      </c>
      <c r="AC128" s="1" t="s">
        <v>1202</v>
      </c>
      <c r="AD128" s="1" t="s">
        <v>704</v>
      </c>
      <c r="AE128" s="1" t="s">
        <v>987</v>
      </c>
      <c r="AF128" s="6">
        <v>1128756</v>
      </c>
      <c r="AG128" s="6">
        <v>12403.912087912087</v>
      </c>
      <c r="AH128" s="1" t="s">
        <v>1201</v>
      </c>
      <c r="AI128" s="6">
        <v>1244</v>
      </c>
      <c r="AJ128" s="6">
        <v>1.1008849557522123E-3</v>
      </c>
      <c r="AK128" s="1" t="s">
        <v>1201</v>
      </c>
      <c r="AL128" s="1" t="s">
        <v>292</v>
      </c>
      <c r="AM128" s="1" t="s">
        <v>570</v>
      </c>
      <c r="AN128" s="1" t="s">
        <v>70</v>
      </c>
      <c r="AO128" s="6">
        <v>1244</v>
      </c>
      <c r="AP128" s="6">
        <v>1.1008849557522123E-3</v>
      </c>
      <c r="AQ128" s="2" t="str">
        <f>HYPERLINK("https://auction.openprocurement.org/tenders/28871b14c92d4713bcb462bd8da7514c")</f>
        <v>https://auction.openprocurement.org/tenders/28871b14c92d4713bcb462bd8da7514c</v>
      </c>
      <c r="AR128" s="7">
        <v>43542.481699189317</v>
      </c>
      <c r="AS128" s="5">
        <v>43553</v>
      </c>
      <c r="AT128" s="5">
        <v>43563</v>
      </c>
      <c r="AU128" s="1" t="s">
        <v>1287</v>
      </c>
      <c r="AV128" s="7">
        <v>43563.488404122894</v>
      </c>
      <c r="AW128" s="1" t="s">
        <v>222</v>
      </c>
      <c r="AX128" s="6">
        <v>1128756</v>
      </c>
      <c r="AY128" s="5">
        <v>43539</v>
      </c>
      <c r="AZ128" s="5">
        <v>43600</v>
      </c>
      <c r="BA128" s="7">
        <v>43830</v>
      </c>
      <c r="BB128" s="1" t="s">
        <v>1310</v>
      </c>
      <c r="BC128" s="1"/>
      <c r="BD128" s="1"/>
    </row>
    <row r="129" spans="1:56" hidden="1" x14ac:dyDescent="0.25">
      <c r="A129" s="4">
        <v>124</v>
      </c>
      <c r="B129" s="2" t="str">
        <f>HYPERLINK("https://my.zakupki.prom.ua/remote/dispatcher/state_purchase_view/10569807", "UA-2019-02-14-002355-b")</f>
        <v>UA-2019-02-14-002355-b</v>
      </c>
      <c r="C129" s="2" t="s">
        <v>983</v>
      </c>
      <c r="D129" s="1" t="s">
        <v>721</v>
      </c>
      <c r="E129" s="1" t="s">
        <v>697</v>
      </c>
      <c r="F129" s="1" t="s">
        <v>279</v>
      </c>
      <c r="G129" s="1" t="s">
        <v>883</v>
      </c>
      <c r="H129" s="1" t="s">
        <v>987</v>
      </c>
      <c r="I129" s="1" t="s">
        <v>905</v>
      </c>
      <c r="J129" s="1" t="s">
        <v>158</v>
      </c>
      <c r="K129" s="1" t="s">
        <v>662</v>
      </c>
      <c r="L129" s="1" t="s">
        <v>1207</v>
      </c>
      <c r="M129" s="1" t="s">
        <v>147</v>
      </c>
      <c r="N129" s="1" t="s">
        <v>147</v>
      </c>
      <c r="O129" s="1" t="s">
        <v>147</v>
      </c>
      <c r="P129" s="5">
        <v>43510</v>
      </c>
      <c r="Q129" s="5">
        <v>43510</v>
      </c>
      <c r="R129" s="5">
        <v>43514</v>
      </c>
      <c r="S129" s="5">
        <v>43514</v>
      </c>
      <c r="T129" s="5">
        <v>43517</v>
      </c>
      <c r="U129" s="1" t="s">
        <v>1285</v>
      </c>
      <c r="V129" s="4">
        <v>1</v>
      </c>
      <c r="W129" s="6">
        <v>9330</v>
      </c>
      <c r="X129" s="1" t="s">
        <v>983</v>
      </c>
      <c r="Y129" s="4">
        <v>30</v>
      </c>
      <c r="Z129" s="6">
        <v>311</v>
      </c>
      <c r="AA129" s="1" t="s">
        <v>1316</v>
      </c>
      <c r="AB129" s="1" t="s">
        <v>540</v>
      </c>
      <c r="AC129" s="1" t="s">
        <v>1202</v>
      </c>
      <c r="AD129" s="1" t="s">
        <v>704</v>
      </c>
      <c r="AE129" s="1" t="s">
        <v>987</v>
      </c>
      <c r="AF129" s="6">
        <v>9330</v>
      </c>
      <c r="AG129" s="6">
        <v>311</v>
      </c>
      <c r="AH129" s="1" t="s">
        <v>1244</v>
      </c>
      <c r="AI129" s="1"/>
      <c r="AJ129" s="1"/>
      <c r="AK129" s="1" t="s">
        <v>1244</v>
      </c>
      <c r="AL129" s="1" t="s">
        <v>343</v>
      </c>
      <c r="AM129" s="1" t="s">
        <v>551</v>
      </c>
      <c r="AN129" s="1" t="s">
        <v>78</v>
      </c>
      <c r="AO129" s="1"/>
      <c r="AP129" s="1"/>
      <c r="AQ129" s="2"/>
      <c r="AR129" s="7">
        <v>43521.443541317305</v>
      </c>
      <c r="AS129" s="5">
        <v>43523</v>
      </c>
      <c r="AT129" s="5">
        <v>43544</v>
      </c>
      <c r="AU129" s="1" t="s">
        <v>1287</v>
      </c>
      <c r="AV129" s="7">
        <v>43539.462090371053</v>
      </c>
      <c r="AW129" s="1" t="s">
        <v>214</v>
      </c>
      <c r="AX129" s="6">
        <v>9330</v>
      </c>
      <c r="AY129" s="5">
        <v>43518</v>
      </c>
      <c r="AZ129" s="5">
        <v>43535</v>
      </c>
      <c r="BA129" s="7">
        <v>43830</v>
      </c>
      <c r="BB129" s="1" t="s">
        <v>1310</v>
      </c>
      <c r="BC129" s="1"/>
      <c r="BD129" s="1"/>
    </row>
    <row r="130" spans="1:56" hidden="1" x14ac:dyDescent="0.25">
      <c r="A130" s="4">
        <v>125</v>
      </c>
      <c r="B130" s="2" t="str">
        <f>HYPERLINK("https://my.zakupki.prom.ua/remote/dispatcher/state_purchase_view/10569412", "UA-2019-02-14-002279-b")</f>
        <v>UA-2019-02-14-002279-b</v>
      </c>
      <c r="C130" s="2" t="s">
        <v>983</v>
      </c>
      <c r="D130" s="1" t="s">
        <v>865</v>
      </c>
      <c r="E130" s="1" t="s">
        <v>891</v>
      </c>
      <c r="F130" s="1" t="s">
        <v>267</v>
      </c>
      <c r="G130" s="1" t="s">
        <v>883</v>
      </c>
      <c r="H130" s="1" t="s">
        <v>987</v>
      </c>
      <c r="I130" s="1" t="s">
        <v>905</v>
      </c>
      <c r="J130" s="1" t="s">
        <v>158</v>
      </c>
      <c r="K130" s="1" t="s">
        <v>662</v>
      </c>
      <c r="L130" s="1" t="s">
        <v>1207</v>
      </c>
      <c r="M130" s="1" t="s">
        <v>147</v>
      </c>
      <c r="N130" s="1" t="s">
        <v>147</v>
      </c>
      <c r="O130" s="1" t="s">
        <v>147</v>
      </c>
      <c r="P130" s="5">
        <v>43510</v>
      </c>
      <c r="Q130" s="5">
        <v>43510</v>
      </c>
      <c r="R130" s="5">
        <v>43514</v>
      </c>
      <c r="S130" s="5">
        <v>43514</v>
      </c>
      <c r="T130" s="5">
        <v>43517</v>
      </c>
      <c r="U130" s="1" t="s">
        <v>1285</v>
      </c>
      <c r="V130" s="4">
        <v>1</v>
      </c>
      <c r="W130" s="6">
        <v>13500</v>
      </c>
      <c r="X130" s="1" t="s">
        <v>983</v>
      </c>
      <c r="Y130" s="4">
        <v>10466</v>
      </c>
      <c r="Z130" s="6">
        <v>1.29</v>
      </c>
      <c r="AA130" s="1" t="s">
        <v>1318</v>
      </c>
      <c r="AB130" s="1" t="s">
        <v>540</v>
      </c>
      <c r="AC130" s="1" t="s">
        <v>1202</v>
      </c>
      <c r="AD130" s="1" t="s">
        <v>704</v>
      </c>
      <c r="AE130" s="1" t="s">
        <v>987</v>
      </c>
      <c r="AF130" s="6">
        <v>4369</v>
      </c>
      <c r="AG130" s="6">
        <v>0.4174469711446589</v>
      </c>
      <c r="AH130" s="1" t="s">
        <v>1267</v>
      </c>
      <c r="AI130" s="6">
        <v>9131</v>
      </c>
      <c r="AJ130" s="6">
        <v>0.6763703703703704</v>
      </c>
      <c r="AK130" s="1" t="s">
        <v>1267</v>
      </c>
      <c r="AL130" s="1" t="s">
        <v>312</v>
      </c>
      <c r="AM130" s="1" t="s">
        <v>549</v>
      </c>
      <c r="AN130" s="1" t="s">
        <v>119</v>
      </c>
      <c r="AO130" s="6">
        <v>9131</v>
      </c>
      <c r="AP130" s="6">
        <v>0.6763703703703704</v>
      </c>
      <c r="AQ130" s="2"/>
      <c r="AR130" s="7">
        <v>43521.444189191483</v>
      </c>
      <c r="AS130" s="5">
        <v>43523</v>
      </c>
      <c r="AT130" s="5">
        <v>43544</v>
      </c>
      <c r="AU130" s="1" t="s">
        <v>1287</v>
      </c>
      <c r="AV130" s="7">
        <v>43539.465823962557</v>
      </c>
      <c r="AW130" s="1" t="s">
        <v>192</v>
      </c>
      <c r="AX130" s="6">
        <v>4369</v>
      </c>
      <c r="AY130" s="5">
        <v>43518</v>
      </c>
      <c r="AZ130" s="5">
        <v>43553</v>
      </c>
      <c r="BA130" s="7">
        <v>43830</v>
      </c>
      <c r="BB130" s="1" t="s">
        <v>1310</v>
      </c>
      <c r="BC130" s="1"/>
      <c r="BD130" s="1"/>
    </row>
    <row r="131" spans="1:56" x14ac:dyDescent="0.25">
      <c r="A131" s="4">
        <v>126</v>
      </c>
      <c r="B131" s="2" t="str">
        <f>HYPERLINK("https://my.zakupki.prom.ua/remote/dispatcher/state_purchase_view/10495267", "UA-2019-02-11-001316-b")</f>
        <v>UA-2019-02-11-001316-b</v>
      </c>
      <c r="C131" s="2" t="s">
        <v>983</v>
      </c>
      <c r="D131" s="1" t="s">
        <v>783</v>
      </c>
      <c r="E131" s="1" t="s">
        <v>1031</v>
      </c>
      <c r="F131" s="1" t="s">
        <v>324</v>
      </c>
      <c r="G131" s="1" t="s">
        <v>702</v>
      </c>
      <c r="H131" s="1" t="s">
        <v>987</v>
      </c>
      <c r="I131" s="1" t="s">
        <v>905</v>
      </c>
      <c r="J131" s="1" t="s">
        <v>158</v>
      </c>
      <c r="K131" s="1" t="s">
        <v>662</v>
      </c>
      <c r="L131" s="1" t="s">
        <v>1207</v>
      </c>
      <c r="M131" s="1" t="s">
        <v>174</v>
      </c>
      <c r="N131" s="1" t="s">
        <v>147</v>
      </c>
      <c r="O131" s="1" t="s">
        <v>147</v>
      </c>
      <c r="P131" s="5">
        <v>43507</v>
      </c>
      <c r="Q131" s="5">
        <v>43507</v>
      </c>
      <c r="R131" s="5">
        <v>43512</v>
      </c>
      <c r="S131" s="5">
        <v>43507</v>
      </c>
      <c r="T131" s="5">
        <v>43522</v>
      </c>
      <c r="U131" s="1" t="s">
        <v>1285</v>
      </c>
      <c r="V131" s="4">
        <v>0</v>
      </c>
      <c r="W131" s="6">
        <v>545000</v>
      </c>
      <c r="X131" s="1" t="s">
        <v>983</v>
      </c>
      <c r="Y131" s="4">
        <v>51</v>
      </c>
      <c r="Z131" s="6">
        <v>10686.27</v>
      </c>
      <c r="AA131" s="1" t="s">
        <v>1318</v>
      </c>
      <c r="AB131" s="1" t="s">
        <v>540</v>
      </c>
      <c r="AC131" s="1" t="s">
        <v>1202</v>
      </c>
      <c r="AD131" s="1" t="s">
        <v>704</v>
      </c>
      <c r="AE131" s="1" t="s">
        <v>987</v>
      </c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2"/>
      <c r="AR131" s="1"/>
      <c r="AS131" s="1"/>
      <c r="AT131" s="1"/>
      <c r="AU131" s="1" t="s">
        <v>1312</v>
      </c>
      <c r="AV131" s="7">
        <v>43522.700242379928</v>
      </c>
      <c r="AW131" s="1"/>
      <c r="AX131" s="1"/>
      <c r="AY131" s="5">
        <v>43523</v>
      </c>
      <c r="AZ131" s="5">
        <v>43582</v>
      </c>
      <c r="BA131" s="1"/>
      <c r="BB131" s="1"/>
      <c r="BC131" s="1" t="s">
        <v>984</v>
      </c>
      <c r="BD131" s="1"/>
    </row>
    <row r="132" spans="1:56" hidden="1" x14ac:dyDescent="0.25">
      <c r="A132" s="4">
        <v>127</v>
      </c>
      <c r="B132" s="2" t="str">
        <f>HYPERLINK("https://my.zakupki.prom.ua/remote/dispatcher/state_purchase_view/10397638", "UA-2019-02-05-002955-b")</f>
        <v>UA-2019-02-05-002955-b</v>
      </c>
      <c r="C132" s="2" t="s">
        <v>983</v>
      </c>
      <c r="D132" s="1" t="s">
        <v>741</v>
      </c>
      <c r="E132" s="1" t="s">
        <v>1117</v>
      </c>
      <c r="F132" s="1" t="s">
        <v>375</v>
      </c>
      <c r="G132" s="1" t="s">
        <v>883</v>
      </c>
      <c r="H132" s="1" t="s">
        <v>987</v>
      </c>
      <c r="I132" s="1" t="s">
        <v>905</v>
      </c>
      <c r="J132" s="1" t="s">
        <v>158</v>
      </c>
      <c r="K132" s="1" t="s">
        <v>662</v>
      </c>
      <c r="L132" s="1" t="s">
        <v>1207</v>
      </c>
      <c r="M132" s="1" t="s">
        <v>147</v>
      </c>
      <c r="N132" s="1" t="s">
        <v>147</v>
      </c>
      <c r="O132" s="1" t="s">
        <v>147</v>
      </c>
      <c r="P132" s="5">
        <v>43501</v>
      </c>
      <c r="Q132" s="5">
        <v>43501</v>
      </c>
      <c r="R132" s="5">
        <v>43503</v>
      </c>
      <c r="S132" s="5">
        <v>43503</v>
      </c>
      <c r="T132" s="5">
        <v>43506</v>
      </c>
      <c r="U132" s="1" t="s">
        <v>1285</v>
      </c>
      <c r="V132" s="4">
        <v>1</v>
      </c>
      <c r="W132" s="6">
        <v>8848.5</v>
      </c>
      <c r="X132" s="1" t="s">
        <v>983</v>
      </c>
      <c r="Y132" s="4">
        <v>350</v>
      </c>
      <c r="Z132" s="6">
        <v>25.28</v>
      </c>
      <c r="AA132" s="1" t="s">
        <v>1316</v>
      </c>
      <c r="AB132" s="1" t="s">
        <v>540</v>
      </c>
      <c r="AC132" s="1" t="s">
        <v>1202</v>
      </c>
      <c r="AD132" s="1" t="s">
        <v>704</v>
      </c>
      <c r="AE132" s="1" t="s">
        <v>987</v>
      </c>
      <c r="AF132" s="6">
        <v>8303.74</v>
      </c>
      <c r="AG132" s="6">
        <v>23.724971428571429</v>
      </c>
      <c r="AH132" s="1" t="s">
        <v>1145</v>
      </c>
      <c r="AI132" s="6">
        <v>544.76000000000022</v>
      </c>
      <c r="AJ132" s="6">
        <v>6.1565237045827004E-2</v>
      </c>
      <c r="AK132" s="1" t="s">
        <v>1145</v>
      </c>
      <c r="AL132" s="1" t="s">
        <v>440</v>
      </c>
      <c r="AM132" s="1" t="s">
        <v>578</v>
      </c>
      <c r="AN132" s="1" t="s">
        <v>111</v>
      </c>
      <c r="AO132" s="6">
        <v>544.76000000000022</v>
      </c>
      <c r="AP132" s="6">
        <v>6.1565237045827004E-2</v>
      </c>
      <c r="AQ132" s="2"/>
      <c r="AR132" s="7">
        <v>43507.494476326967</v>
      </c>
      <c r="AS132" s="5">
        <v>43509</v>
      </c>
      <c r="AT132" s="5">
        <v>43533</v>
      </c>
      <c r="AU132" s="1" t="s">
        <v>1287</v>
      </c>
      <c r="AV132" s="7">
        <v>43511.648773774934</v>
      </c>
      <c r="AW132" s="1" t="s">
        <v>444</v>
      </c>
      <c r="AX132" s="6">
        <v>8303.74</v>
      </c>
      <c r="AY132" s="5">
        <v>43507</v>
      </c>
      <c r="AZ132" s="5">
        <v>43524</v>
      </c>
      <c r="BA132" s="7">
        <v>43830</v>
      </c>
      <c r="BB132" s="1" t="s">
        <v>1310</v>
      </c>
      <c r="BC132" s="1"/>
      <c r="BD132" s="1"/>
    </row>
    <row r="133" spans="1:56" hidden="1" x14ac:dyDescent="0.25">
      <c r="A133" s="4">
        <v>128</v>
      </c>
      <c r="B133" s="2" t="str">
        <f>HYPERLINK("https://my.zakupki.prom.ua/remote/dispatcher/state_purchase_view/10374462", "UA-2019-02-05-000046-b")</f>
        <v>UA-2019-02-05-000046-b</v>
      </c>
      <c r="C133" s="2" t="s">
        <v>983</v>
      </c>
      <c r="D133" s="1" t="s">
        <v>736</v>
      </c>
      <c r="E133" s="1" t="s">
        <v>652</v>
      </c>
      <c r="F133" s="1" t="s">
        <v>372</v>
      </c>
      <c r="G133" s="1" t="s">
        <v>883</v>
      </c>
      <c r="H133" s="1" t="s">
        <v>987</v>
      </c>
      <c r="I133" s="1" t="s">
        <v>905</v>
      </c>
      <c r="J133" s="1" t="s">
        <v>158</v>
      </c>
      <c r="K133" s="1" t="s">
        <v>662</v>
      </c>
      <c r="L133" s="1" t="s">
        <v>1207</v>
      </c>
      <c r="M133" s="1" t="s">
        <v>147</v>
      </c>
      <c r="N133" s="1" t="s">
        <v>147</v>
      </c>
      <c r="O133" s="1" t="s">
        <v>147</v>
      </c>
      <c r="P133" s="5">
        <v>43501</v>
      </c>
      <c r="Q133" s="5">
        <v>43501</v>
      </c>
      <c r="R133" s="5">
        <v>43503</v>
      </c>
      <c r="S133" s="5">
        <v>43503</v>
      </c>
      <c r="T133" s="5">
        <v>43506</v>
      </c>
      <c r="U133" s="7">
        <v>43507.573900462965</v>
      </c>
      <c r="V133" s="4">
        <v>2</v>
      </c>
      <c r="W133" s="6">
        <v>5620</v>
      </c>
      <c r="X133" s="1" t="s">
        <v>983</v>
      </c>
      <c r="Y133" s="4">
        <v>26</v>
      </c>
      <c r="Z133" s="6">
        <v>216.15</v>
      </c>
      <c r="AA133" s="1" t="s">
        <v>1315</v>
      </c>
      <c r="AB133" s="1" t="s">
        <v>540</v>
      </c>
      <c r="AC133" s="1" t="s">
        <v>1202</v>
      </c>
      <c r="AD133" s="1" t="s">
        <v>704</v>
      </c>
      <c r="AE133" s="1" t="s">
        <v>987</v>
      </c>
      <c r="AF133" s="6">
        <v>3300</v>
      </c>
      <c r="AG133" s="6">
        <v>126.92307692307692</v>
      </c>
      <c r="AH133" s="1" t="s">
        <v>1153</v>
      </c>
      <c r="AI133" s="6">
        <v>2320</v>
      </c>
      <c r="AJ133" s="6">
        <v>0.41281138790035588</v>
      </c>
      <c r="AK133" s="1" t="s">
        <v>1153</v>
      </c>
      <c r="AL133" s="1" t="s">
        <v>404</v>
      </c>
      <c r="AM133" s="1" t="s">
        <v>579</v>
      </c>
      <c r="AN133" s="1"/>
      <c r="AO133" s="6">
        <v>2320</v>
      </c>
      <c r="AP133" s="6">
        <v>0.41281138790035588</v>
      </c>
      <c r="AQ133" s="2" t="str">
        <f>HYPERLINK("https://auction.openprocurement.org/tenders/cea1f22576224c759eb4fa99b3a0d387")</f>
        <v>https://auction.openprocurement.org/tenders/cea1f22576224c759eb4fa99b3a0d387</v>
      </c>
      <c r="AR133" s="7">
        <v>43508.457575999702</v>
      </c>
      <c r="AS133" s="5">
        <v>43510</v>
      </c>
      <c r="AT133" s="5">
        <v>43533</v>
      </c>
      <c r="AU133" s="1" t="s">
        <v>1287</v>
      </c>
      <c r="AV133" s="7">
        <v>43557.691601874118</v>
      </c>
      <c r="AW133" s="1" t="s">
        <v>214</v>
      </c>
      <c r="AX133" s="6">
        <v>3300</v>
      </c>
      <c r="AY133" s="5">
        <v>43507</v>
      </c>
      <c r="AZ133" s="5">
        <v>43524</v>
      </c>
      <c r="BA133" s="7">
        <v>43830</v>
      </c>
      <c r="BB133" s="1" t="s">
        <v>1310</v>
      </c>
      <c r="BC133" s="1"/>
      <c r="BD133" s="1"/>
    </row>
    <row r="134" spans="1:56" hidden="1" x14ac:dyDescent="0.25">
      <c r="A134" s="4">
        <v>129</v>
      </c>
      <c r="B134" s="2" t="str">
        <f>HYPERLINK("https://my.zakupki.prom.ua/remote/dispatcher/state_purchase_view/10359397", "UA-2019-02-04-002278-b")</f>
        <v>UA-2019-02-04-002278-b</v>
      </c>
      <c r="C134" s="2" t="s">
        <v>983</v>
      </c>
      <c r="D134" s="1" t="s">
        <v>720</v>
      </c>
      <c r="E134" s="1" t="s">
        <v>676</v>
      </c>
      <c r="F134" s="1" t="s">
        <v>279</v>
      </c>
      <c r="G134" s="1" t="s">
        <v>883</v>
      </c>
      <c r="H134" s="1" t="s">
        <v>987</v>
      </c>
      <c r="I134" s="1" t="s">
        <v>905</v>
      </c>
      <c r="J134" s="1" t="s">
        <v>158</v>
      </c>
      <c r="K134" s="1" t="s">
        <v>662</v>
      </c>
      <c r="L134" s="1" t="s">
        <v>1207</v>
      </c>
      <c r="M134" s="1" t="s">
        <v>147</v>
      </c>
      <c r="N134" s="1" t="s">
        <v>147</v>
      </c>
      <c r="O134" s="1" t="s">
        <v>176</v>
      </c>
      <c r="P134" s="5">
        <v>43500</v>
      </c>
      <c r="Q134" s="5">
        <v>43500</v>
      </c>
      <c r="R134" s="5">
        <v>43502</v>
      </c>
      <c r="S134" s="5">
        <v>43502</v>
      </c>
      <c r="T134" s="5">
        <v>43504</v>
      </c>
      <c r="U134" s="1" t="s">
        <v>1285</v>
      </c>
      <c r="V134" s="4">
        <v>0</v>
      </c>
      <c r="W134" s="6">
        <v>4200</v>
      </c>
      <c r="X134" s="1" t="s">
        <v>983</v>
      </c>
      <c r="Y134" s="4">
        <v>13</v>
      </c>
      <c r="Z134" s="6">
        <v>323.08</v>
      </c>
      <c r="AA134" s="1" t="s">
        <v>1318</v>
      </c>
      <c r="AB134" s="1" t="s">
        <v>540</v>
      </c>
      <c r="AC134" s="1" t="s">
        <v>1202</v>
      </c>
      <c r="AD134" s="1" t="s">
        <v>704</v>
      </c>
      <c r="AE134" s="1" t="s">
        <v>987</v>
      </c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2"/>
      <c r="AR134" s="1"/>
      <c r="AS134" s="1"/>
      <c r="AT134" s="1"/>
      <c r="AU134" s="1" t="s">
        <v>1288</v>
      </c>
      <c r="AV134" s="7">
        <v>43504.589967400374</v>
      </c>
      <c r="AW134" s="1"/>
      <c r="AX134" s="1"/>
      <c r="AY134" s="5">
        <v>43507</v>
      </c>
      <c r="AZ134" s="5">
        <v>43524</v>
      </c>
      <c r="BA134" s="1"/>
      <c r="BB134" s="1"/>
      <c r="BC134" s="1"/>
      <c r="BD134" s="1"/>
    </row>
    <row r="135" spans="1:56" hidden="1" x14ac:dyDescent="0.25">
      <c r="A135" s="4">
        <v>130</v>
      </c>
      <c r="B135" s="2" t="str">
        <f>HYPERLINK("https://my.zakupki.prom.ua/remote/dispatcher/state_purchase_view/10357787", "UA-2019-02-04-001954-b")</f>
        <v>UA-2019-02-04-001954-b</v>
      </c>
      <c r="C135" s="2" t="s">
        <v>983</v>
      </c>
      <c r="D135" s="1" t="s">
        <v>723</v>
      </c>
      <c r="E135" s="1" t="s">
        <v>968</v>
      </c>
      <c r="F135" s="1" t="s">
        <v>279</v>
      </c>
      <c r="G135" s="1" t="s">
        <v>883</v>
      </c>
      <c r="H135" s="1" t="s">
        <v>987</v>
      </c>
      <c r="I135" s="1" t="s">
        <v>905</v>
      </c>
      <c r="J135" s="1" t="s">
        <v>158</v>
      </c>
      <c r="K135" s="1" t="s">
        <v>662</v>
      </c>
      <c r="L135" s="1" t="s">
        <v>1207</v>
      </c>
      <c r="M135" s="1" t="s">
        <v>147</v>
      </c>
      <c r="N135" s="1" t="s">
        <v>147</v>
      </c>
      <c r="O135" s="1" t="s">
        <v>176</v>
      </c>
      <c r="P135" s="5">
        <v>43500</v>
      </c>
      <c r="Q135" s="5">
        <v>43500</v>
      </c>
      <c r="R135" s="5">
        <v>43502</v>
      </c>
      <c r="S135" s="5">
        <v>43502</v>
      </c>
      <c r="T135" s="5">
        <v>43504</v>
      </c>
      <c r="U135" s="1" t="s">
        <v>1285</v>
      </c>
      <c r="V135" s="4">
        <v>1</v>
      </c>
      <c r="W135" s="6">
        <v>6200</v>
      </c>
      <c r="X135" s="1" t="s">
        <v>983</v>
      </c>
      <c r="Y135" s="4">
        <v>40</v>
      </c>
      <c r="Z135" s="6">
        <v>155</v>
      </c>
      <c r="AA135" s="1" t="s">
        <v>1318</v>
      </c>
      <c r="AB135" s="1" t="s">
        <v>540</v>
      </c>
      <c r="AC135" s="1" t="s">
        <v>1202</v>
      </c>
      <c r="AD135" s="1" t="s">
        <v>704</v>
      </c>
      <c r="AE135" s="1" t="s">
        <v>987</v>
      </c>
      <c r="AF135" s="6">
        <v>6200</v>
      </c>
      <c r="AG135" s="6">
        <v>155</v>
      </c>
      <c r="AH135" s="1" t="s">
        <v>1212</v>
      </c>
      <c r="AI135" s="1"/>
      <c r="AJ135" s="1"/>
      <c r="AK135" s="1" t="s">
        <v>1212</v>
      </c>
      <c r="AL135" s="1" t="s">
        <v>429</v>
      </c>
      <c r="AM135" s="1" t="s">
        <v>628</v>
      </c>
      <c r="AN135" s="1"/>
      <c r="AO135" s="1"/>
      <c r="AP135" s="1"/>
      <c r="AQ135" s="2"/>
      <c r="AR135" s="7">
        <v>43507.491930558877</v>
      </c>
      <c r="AS135" s="5">
        <v>43509</v>
      </c>
      <c r="AT135" s="5">
        <v>43532</v>
      </c>
      <c r="AU135" s="1" t="s">
        <v>1287</v>
      </c>
      <c r="AV135" s="7">
        <v>43515.63667199661</v>
      </c>
      <c r="AW135" s="1" t="s">
        <v>514</v>
      </c>
      <c r="AX135" s="6">
        <v>6200</v>
      </c>
      <c r="AY135" s="5">
        <v>43507</v>
      </c>
      <c r="AZ135" s="5">
        <v>43524</v>
      </c>
      <c r="BA135" s="7">
        <v>43830</v>
      </c>
      <c r="BB135" s="1" t="s">
        <v>1310</v>
      </c>
      <c r="BC135" s="1"/>
      <c r="BD135" s="1"/>
    </row>
    <row r="136" spans="1:56" hidden="1" x14ac:dyDescent="0.25">
      <c r="A136" s="4">
        <v>131</v>
      </c>
      <c r="B136" s="2" t="str">
        <f>HYPERLINK("https://my.zakupki.prom.ua/remote/dispatcher/state_purchase_view/10356968", "UA-2019-02-04-001807-b")</f>
        <v>UA-2019-02-04-001807-b</v>
      </c>
      <c r="C136" s="2" t="s">
        <v>983</v>
      </c>
      <c r="D136" s="1" t="s">
        <v>810</v>
      </c>
      <c r="E136" s="1" t="s">
        <v>187</v>
      </c>
      <c r="F136" s="1" t="s">
        <v>381</v>
      </c>
      <c r="G136" s="1" t="s">
        <v>883</v>
      </c>
      <c r="H136" s="1" t="s">
        <v>987</v>
      </c>
      <c r="I136" s="1" t="s">
        <v>905</v>
      </c>
      <c r="J136" s="1" t="s">
        <v>158</v>
      </c>
      <c r="K136" s="1" t="s">
        <v>662</v>
      </c>
      <c r="L136" s="1" t="s">
        <v>1207</v>
      </c>
      <c r="M136" s="1" t="s">
        <v>147</v>
      </c>
      <c r="N136" s="1" t="s">
        <v>147</v>
      </c>
      <c r="O136" s="1" t="s">
        <v>147</v>
      </c>
      <c r="P136" s="5">
        <v>43500</v>
      </c>
      <c r="Q136" s="5">
        <v>43500</v>
      </c>
      <c r="R136" s="5">
        <v>43502</v>
      </c>
      <c r="S136" s="5">
        <v>43502</v>
      </c>
      <c r="T136" s="5">
        <v>43504</v>
      </c>
      <c r="U136" s="1" t="s">
        <v>1285</v>
      </c>
      <c r="V136" s="4">
        <v>1</v>
      </c>
      <c r="W136" s="6">
        <v>9356</v>
      </c>
      <c r="X136" s="1" t="s">
        <v>983</v>
      </c>
      <c r="Y136" s="4">
        <v>19</v>
      </c>
      <c r="Z136" s="6">
        <v>492.42</v>
      </c>
      <c r="AA136" s="1" t="s">
        <v>1301</v>
      </c>
      <c r="AB136" s="1" t="s">
        <v>540</v>
      </c>
      <c r="AC136" s="1" t="s">
        <v>1202</v>
      </c>
      <c r="AD136" s="1" t="s">
        <v>704</v>
      </c>
      <c r="AE136" s="1" t="s">
        <v>987</v>
      </c>
      <c r="AF136" s="6">
        <v>9092.3700000000008</v>
      </c>
      <c r="AG136" s="6">
        <v>478.54578947368424</v>
      </c>
      <c r="AH136" s="1" t="s">
        <v>1177</v>
      </c>
      <c r="AI136" s="6">
        <v>263.6299999999992</v>
      </c>
      <c r="AJ136" s="6">
        <v>2.8177640017101241E-2</v>
      </c>
      <c r="AK136" s="1"/>
      <c r="AL136" s="1"/>
      <c r="AM136" s="1"/>
      <c r="AN136" s="1"/>
      <c r="AO136" s="1"/>
      <c r="AP136" s="1"/>
      <c r="AQ136" s="2"/>
      <c r="AR136" s="7">
        <v>43516.434120678285</v>
      </c>
      <c r="AS136" s="1"/>
      <c r="AT136" s="1"/>
      <c r="AU136" s="1" t="s">
        <v>1288</v>
      </c>
      <c r="AV136" s="7">
        <v>43518.434806642115</v>
      </c>
      <c r="AW136" s="1"/>
      <c r="AX136" s="1"/>
      <c r="AY136" s="5">
        <v>43507</v>
      </c>
      <c r="AZ136" s="5">
        <v>43524</v>
      </c>
      <c r="BA136" s="1"/>
      <c r="BB136" s="1"/>
      <c r="BC136" s="1" t="s">
        <v>969</v>
      </c>
      <c r="BD136" s="1"/>
    </row>
    <row r="137" spans="1:56" hidden="1" x14ac:dyDescent="0.25">
      <c r="A137" s="4">
        <v>132</v>
      </c>
      <c r="B137" s="2" t="str">
        <f>HYPERLINK("https://my.zakupki.prom.ua/remote/dispatcher/state_purchase_view/10356121", "UA-2019-02-04-001673-b")</f>
        <v>UA-2019-02-04-001673-b</v>
      </c>
      <c r="C137" s="2" t="s">
        <v>983</v>
      </c>
      <c r="D137" s="1" t="s">
        <v>807</v>
      </c>
      <c r="E137" s="1" t="s">
        <v>1275</v>
      </c>
      <c r="F137" s="1" t="s">
        <v>381</v>
      </c>
      <c r="G137" s="1" t="s">
        <v>883</v>
      </c>
      <c r="H137" s="1" t="s">
        <v>987</v>
      </c>
      <c r="I137" s="1" t="s">
        <v>905</v>
      </c>
      <c r="J137" s="1" t="s">
        <v>158</v>
      </c>
      <c r="K137" s="1" t="s">
        <v>662</v>
      </c>
      <c r="L137" s="1" t="s">
        <v>1207</v>
      </c>
      <c r="M137" s="1" t="s">
        <v>147</v>
      </c>
      <c r="N137" s="1" t="s">
        <v>147</v>
      </c>
      <c r="O137" s="1" t="s">
        <v>147</v>
      </c>
      <c r="P137" s="5">
        <v>43500</v>
      </c>
      <c r="Q137" s="5">
        <v>43500</v>
      </c>
      <c r="R137" s="5">
        <v>43502</v>
      </c>
      <c r="S137" s="5">
        <v>43502</v>
      </c>
      <c r="T137" s="5">
        <v>43504</v>
      </c>
      <c r="U137" s="7">
        <v>43507.507337962961</v>
      </c>
      <c r="V137" s="4">
        <v>2</v>
      </c>
      <c r="W137" s="6">
        <v>4110</v>
      </c>
      <c r="X137" s="1" t="s">
        <v>983</v>
      </c>
      <c r="Y137" s="4">
        <v>2</v>
      </c>
      <c r="Z137" s="6">
        <v>2055</v>
      </c>
      <c r="AA137" s="1" t="s">
        <v>1301</v>
      </c>
      <c r="AB137" s="1" t="s">
        <v>540</v>
      </c>
      <c r="AC137" s="1" t="s">
        <v>1202</v>
      </c>
      <c r="AD137" s="1" t="s">
        <v>704</v>
      </c>
      <c r="AE137" s="1" t="s">
        <v>987</v>
      </c>
      <c r="AF137" s="6">
        <v>3990</v>
      </c>
      <c r="AG137" s="6">
        <v>1995</v>
      </c>
      <c r="AH137" s="1" t="s">
        <v>1008</v>
      </c>
      <c r="AI137" s="6">
        <v>120</v>
      </c>
      <c r="AJ137" s="6">
        <v>2.9197080291970802E-2</v>
      </c>
      <c r="AK137" s="1" t="s">
        <v>1008</v>
      </c>
      <c r="AL137" s="1" t="s">
        <v>334</v>
      </c>
      <c r="AM137" s="1" t="s">
        <v>541</v>
      </c>
      <c r="AN137" s="1" t="s">
        <v>56</v>
      </c>
      <c r="AO137" s="6">
        <v>120</v>
      </c>
      <c r="AP137" s="6">
        <v>2.9197080291970802E-2</v>
      </c>
      <c r="AQ137" s="2" t="str">
        <f>HYPERLINK("https://auction.openprocurement.org/tenders/6400cb4e75654feea45669d7be6cb9cd")</f>
        <v>https://auction.openprocurement.org/tenders/6400cb4e75654feea45669d7be6cb9cd</v>
      </c>
      <c r="AR137" s="7">
        <v>43509.604217701468</v>
      </c>
      <c r="AS137" s="5">
        <v>43511</v>
      </c>
      <c r="AT137" s="5">
        <v>43532</v>
      </c>
      <c r="AU137" s="1" t="s">
        <v>1287</v>
      </c>
      <c r="AV137" s="7">
        <v>43515.694081605601</v>
      </c>
      <c r="AW137" s="1" t="s">
        <v>523</v>
      </c>
      <c r="AX137" s="6">
        <v>3990</v>
      </c>
      <c r="AY137" s="5">
        <v>43507</v>
      </c>
      <c r="AZ137" s="5">
        <v>43524</v>
      </c>
      <c r="BA137" s="7">
        <v>43830</v>
      </c>
      <c r="BB137" s="1" t="s">
        <v>1310</v>
      </c>
      <c r="BC137" s="1"/>
      <c r="BD137" s="1"/>
    </row>
    <row r="138" spans="1:56" hidden="1" x14ac:dyDescent="0.25">
      <c r="A138" s="4">
        <v>133</v>
      </c>
      <c r="B138" s="2" t="str">
        <f>HYPERLINK("https://my.zakupki.prom.ua/remote/dispatcher/state_purchase_view/10327663", "UA-2019-02-01-003525-b")</f>
        <v>UA-2019-02-01-003525-b</v>
      </c>
      <c r="C138" s="2" t="s">
        <v>983</v>
      </c>
      <c r="D138" s="1" t="s">
        <v>732</v>
      </c>
      <c r="E138" s="1" t="s">
        <v>2</v>
      </c>
      <c r="F138" s="1" t="s">
        <v>355</v>
      </c>
      <c r="G138" s="1" t="s">
        <v>883</v>
      </c>
      <c r="H138" s="1" t="s">
        <v>987</v>
      </c>
      <c r="I138" s="1" t="s">
        <v>905</v>
      </c>
      <c r="J138" s="1" t="s">
        <v>158</v>
      </c>
      <c r="K138" s="1" t="s">
        <v>662</v>
      </c>
      <c r="L138" s="1" t="s">
        <v>1207</v>
      </c>
      <c r="M138" s="1" t="s">
        <v>147</v>
      </c>
      <c r="N138" s="1" t="s">
        <v>147</v>
      </c>
      <c r="O138" s="1" t="s">
        <v>147</v>
      </c>
      <c r="P138" s="5">
        <v>43497</v>
      </c>
      <c r="Q138" s="5">
        <v>43497</v>
      </c>
      <c r="R138" s="5">
        <v>43501</v>
      </c>
      <c r="S138" s="5">
        <v>43501</v>
      </c>
      <c r="T138" s="5">
        <v>43503</v>
      </c>
      <c r="U138" s="7">
        <v>43504.643842592595</v>
      </c>
      <c r="V138" s="4">
        <v>5</v>
      </c>
      <c r="W138" s="6">
        <v>8871</v>
      </c>
      <c r="X138" s="1" t="s">
        <v>983</v>
      </c>
      <c r="Y138" s="4">
        <v>3350</v>
      </c>
      <c r="Z138" s="6">
        <v>2.65</v>
      </c>
      <c r="AA138" s="1" t="s">
        <v>1318</v>
      </c>
      <c r="AB138" s="1" t="s">
        <v>540</v>
      </c>
      <c r="AC138" s="1" t="s">
        <v>1202</v>
      </c>
      <c r="AD138" s="1" t="s">
        <v>704</v>
      </c>
      <c r="AE138" s="1" t="s">
        <v>987</v>
      </c>
      <c r="AF138" s="6">
        <v>6055</v>
      </c>
      <c r="AG138" s="6">
        <v>1.8074626865671641</v>
      </c>
      <c r="AH138" s="1" t="s">
        <v>1264</v>
      </c>
      <c r="AI138" s="6">
        <v>2816</v>
      </c>
      <c r="AJ138" s="6">
        <v>0.31743884567692482</v>
      </c>
      <c r="AK138" s="1" t="s">
        <v>1264</v>
      </c>
      <c r="AL138" s="1" t="s">
        <v>221</v>
      </c>
      <c r="AM138" s="1" t="s">
        <v>569</v>
      </c>
      <c r="AN138" s="1" t="s">
        <v>86</v>
      </c>
      <c r="AO138" s="6">
        <v>2816</v>
      </c>
      <c r="AP138" s="6">
        <v>0.31743884567692482</v>
      </c>
      <c r="AQ138" s="2" t="str">
        <f>HYPERLINK("https://auction.openprocurement.org/tenders/031ab9ae73844142a7b0bc522b0c76af")</f>
        <v>https://auction.openprocurement.org/tenders/031ab9ae73844142a7b0bc522b0c76af</v>
      </c>
      <c r="AR138" s="7">
        <v>43507.490138927074</v>
      </c>
      <c r="AS138" s="5">
        <v>43509</v>
      </c>
      <c r="AT138" s="5">
        <v>43531</v>
      </c>
      <c r="AU138" s="1" t="s">
        <v>1287</v>
      </c>
      <c r="AV138" s="7">
        <v>43514.782854594203</v>
      </c>
      <c r="AW138" s="1" t="s">
        <v>500</v>
      </c>
      <c r="AX138" s="6">
        <v>6055</v>
      </c>
      <c r="AY138" s="5">
        <v>43507</v>
      </c>
      <c r="AZ138" s="5">
        <v>43524</v>
      </c>
      <c r="BA138" s="7">
        <v>43830</v>
      </c>
      <c r="BB138" s="1" t="s">
        <v>1310</v>
      </c>
      <c r="BC138" s="1"/>
      <c r="BD138" s="1"/>
    </row>
    <row r="139" spans="1:56" hidden="1" x14ac:dyDescent="0.25">
      <c r="A139" s="4">
        <v>134</v>
      </c>
      <c r="B139" s="2" t="str">
        <f>HYPERLINK("https://my.zakupki.prom.ua/remote/dispatcher/state_purchase_view/10327270", "UA-2019-02-01-003368-b")</f>
        <v>UA-2019-02-01-003368-b</v>
      </c>
      <c r="C139" s="2" t="s">
        <v>983</v>
      </c>
      <c r="D139" s="1" t="s">
        <v>806</v>
      </c>
      <c r="E139" s="1" t="s">
        <v>1217</v>
      </c>
      <c r="F139" s="1" t="s">
        <v>381</v>
      </c>
      <c r="G139" s="1" t="s">
        <v>883</v>
      </c>
      <c r="H139" s="1" t="s">
        <v>987</v>
      </c>
      <c r="I139" s="1" t="s">
        <v>905</v>
      </c>
      <c r="J139" s="1" t="s">
        <v>158</v>
      </c>
      <c r="K139" s="1" t="s">
        <v>662</v>
      </c>
      <c r="L139" s="1" t="s">
        <v>1207</v>
      </c>
      <c r="M139" s="1" t="s">
        <v>147</v>
      </c>
      <c r="N139" s="1" t="s">
        <v>147</v>
      </c>
      <c r="O139" s="1" t="s">
        <v>147</v>
      </c>
      <c r="P139" s="5">
        <v>43497</v>
      </c>
      <c r="Q139" s="5">
        <v>43497</v>
      </c>
      <c r="R139" s="5">
        <v>43501</v>
      </c>
      <c r="S139" s="5">
        <v>43501</v>
      </c>
      <c r="T139" s="5">
        <v>43503</v>
      </c>
      <c r="U139" s="7">
        <v>43504.466145833336</v>
      </c>
      <c r="V139" s="4">
        <v>5</v>
      </c>
      <c r="W139" s="6">
        <v>6100</v>
      </c>
      <c r="X139" s="1" t="s">
        <v>983</v>
      </c>
      <c r="Y139" s="4">
        <v>62</v>
      </c>
      <c r="Z139" s="6">
        <v>98.39</v>
      </c>
      <c r="AA139" s="1" t="s">
        <v>1318</v>
      </c>
      <c r="AB139" s="1" t="s">
        <v>540</v>
      </c>
      <c r="AC139" s="1" t="s">
        <v>1202</v>
      </c>
      <c r="AD139" s="1" t="s">
        <v>704</v>
      </c>
      <c r="AE139" s="1" t="s">
        <v>987</v>
      </c>
      <c r="AF139" s="6">
        <v>2999</v>
      </c>
      <c r="AG139" s="6">
        <v>48.37096774193548</v>
      </c>
      <c r="AH139" s="1" t="s">
        <v>1008</v>
      </c>
      <c r="AI139" s="6">
        <v>3101</v>
      </c>
      <c r="AJ139" s="6">
        <v>0.50836065573770495</v>
      </c>
      <c r="AK139" s="1" t="s">
        <v>1008</v>
      </c>
      <c r="AL139" s="1" t="s">
        <v>334</v>
      </c>
      <c r="AM139" s="1" t="s">
        <v>541</v>
      </c>
      <c r="AN139" s="1" t="s">
        <v>56</v>
      </c>
      <c r="AO139" s="6">
        <v>3101</v>
      </c>
      <c r="AP139" s="6">
        <v>0.50836065573770495</v>
      </c>
      <c r="AQ139" s="2" t="str">
        <f>HYPERLINK("https://auction.openprocurement.org/tenders/0af1efa6bc23491fb88f3be5490ad1e4")</f>
        <v>https://auction.openprocurement.org/tenders/0af1efa6bc23491fb88f3be5490ad1e4</v>
      </c>
      <c r="AR139" s="7">
        <v>43507.489337988656</v>
      </c>
      <c r="AS139" s="5">
        <v>43509</v>
      </c>
      <c r="AT139" s="5">
        <v>43531</v>
      </c>
      <c r="AU139" s="1" t="s">
        <v>1287</v>
      </c>
      <c r="AV139" s="7">
        <v>43515.698364421885</v>
      </c>
      <c r="AW139" s="1" t="s">
        <v>490</v>
      </c>
      <c r="AX139" s="6">
        <v>2999</v>
      </c>
      <c r="AY139" s="5">
        <v>43507</v>
      </c>
      <c r="AZ139" s="5">
        <v>43524</v>
      </c>
      <c r="BA139" s="7">
        <v>43830</v>
      </c>
      <c r="BB139" s="1" t="s">
        <v>1310</v>
      </c>
      <c r="BC139" s="1"/>
      <c r="BD139" s="1"/>
    </row>
    <row r="140" spans="1:56" hidden="1" x14ac:dyDescent="0.25">
      <c r="A140" s="4">
        <v>135</v>
      </c>
      <c r="B140" s="2" t="str">
        <f>HYPERLINK("https://my.zakupki.prom.ua/remote/dispatcher/state_purchase_view/10325258", "UA-2019-02-01-002870-b")</f>
        <v>UA-2019-02-01-002870-b</v>
      </c>
      <c r="C140" s="2" t="s">
        <v>983</v>
      </c>
      <c r="D140" s="1" t="s">
        <v>717</v>
      </c>
      <c r="E140" s="1" t="s">
        <v>667</v>
      </c>
      <c r="F140" s="1" t="s">
        <v>168</v>
      </c>
      <c r="G140" s="1" t="s">
        <v>883</v>
      </c>
      <c r="H140" s="1" t="s">
        <v>987</v>
      </c>
      <c r="I140" s="1" t="s">
        <v>905</v>
      </c>
      <c r="J140" s="1" t="s">
        <v>158</v>
      </c>
      <c r="K140" s="1" t="s">
        <v>662</v>
      </c>
      <c r="L140" s="1" t="s">
        <v>1207</v>
      </c>
      <c r="M140" s="1" t="s">
        <v>147</v>
      </c>
      <c r="N140" s="1" t="s">
        <v>147</v>
      </c>
      <c r="O140" s="1" t="s">
        <v>147</v>
      </c>
      <c r="P140" s="5">
        <v>43497</v>
      </c>
      <c r="Q140" s="5">
        <v>43497</v>
      </c>
      <c r="R140" s="5">
        <v>43501</v>
      </c>
      <c r="S140" s="5">
        <v>43501</v>
      </c>
      <c r="T140" s="5">
        <v>43503</v>
      </c>
      <c r="U140" s="7">
        <v>43504.598425925928</v>
      </c>
      <c r="V140" s="4">
        <v>2</v>
      </c>
      <c r="W140" s="6">
        <v>35640</v>
      </c>
      <c r="X140" s="1" t="s">
        <v>983</v>
      </c>
      <c r="Y140" s="4">
        <v>1320</v>
      </c>
      <c r="Z140" s="6">
        <v>27</v>
      </c>
      <c r="AA140" s="1" t="s">
        <v>1299</v>
      </c>
      <c r="AB140" s="1" t="s">
        <v>540</v>
      </c>
      <c r="AC140" s="1" t="s">
        <v>1202</v>
      </c>
      <c r="AD140" s="1" t="s">
        <v>704</v>
      </c>
      <c r="AE140" s="1" t="s">
        <v>987</v>
      </c>
      <c r="AF140" s="6">
        <v>34927.199999999997</v>
      </c>
      <c r="AG140" s="6">
        <v>26.459999999999997</v>
      </c>
      <c r="AH140" s="1" t="s">
        <v>1152</v>
      </c>
      <c r="AI140" s="6">
        <v>712.80000000000291</v>
      </c>
      <c r="AJ140" s="6">
        <v>2.000000000000008E-2</v>
      </c>
      <c r="AK140" s="1" t="s">
        <v>1152</v>
      </c>
      <c r="AL140" s="1" t="s">
        <v>448</v>
      </c>
      <c r="AM140" s="1" t="s">
        <v>160</v>
      </c>
      <c r="AN140" s="1" t="s">
        <v>51</v>
      </c>
      <c r="AO140" s="6">
        <v>712.80000000000291</v>
      </c>
      <c r="AP140" s="6">
        <v>2.000000000000008E-2</v>
      </c>
      <c r="AQ140" s="2" t="str">
        <f>HYPERLINK("https://auction.openprocurement.org/tenders/ecb0bb06ab954cc5b7a6df5b27ee96c1")</f>
        <v>https://auction.openprocurement.org/tenders/ecb0bb06ab954cc5b7a6df5b27ee96c1</v>
      </c>
      <c r="AR140" s="7">
        <v>43507.465410545927</v>
      </c>
      <c r="AS140" s="5">
        <v>43509</v>
      </c>
      <c r="AT140" s="5">
        <v>43531</v>
      </c>
      <c r="AU140" s="1" t="s">
        <v>1287</v>
      </c>
      <c r="AV140" s="7">
        <v>43514.785852574401</v>
      </c>
      <c r="AW140" s="1" t="s">
        <v>523</v>
      </c>
      <c r="AX140" s="6">
        <v>34927.199999999997</v>
      </c>
      <c r="AY140" s="5">
        <v>43507</v>
      </c>
      <c r="AZ140" s="5">
        <v>43524</v>
      </c>
      <c r="BA140" s="7">
        <v>43830</v>
      </c>
      <c r="BB140" s="1" t="s">
        <v>1310</v>
      </c>
      <c r="BC140" s="1"/>
      <c r="BD140" s="1"/>
    </row>
    <row r="141" spans="1:56" x14ac:dyDescent="0.25">
      <c r="A141" s="4">
        <v>136</v>
      </c>
      <c r="B141" s="2" t="str">
        <f>HYPERLINK("https://my.zakupki.prom.ua/remote/dispatcher/state_purchase_view/10270813", "UA-2019-01-31-000045-b")</f>
        <v>UA-2019-01-31-000045-b</v>
      </c>
      <c r="C141" s="2" t="s">
        <v>983</v>
      </c>
      <c r="D141" s="1" t="s">
        <v>781</v>
      </c>
      <c r="E141" s="1" t="s">
        <v>1029</v>
      </c>
      <c r="F141" s="1" t="s">
        <v>324</v>
      </c>
      <c r="G141" s="1" t="s">
        <v>702</v>
      </c>
      <c r="H141" s="1" t="s">
        <v>987</v>
      </c>
      <c r="I141" s="1" t="s">
        <v>905</v>
      </c>
      <c r="J141" s="1" t="s">
        <v>158</v>
      </c>
      <c r="K141" s="1" t="s">
        <v>662</v>
      </c>
      <c r="L141" s="1" t="s">
        <v>1207</v>
      </c>
      <c r="M141" s="1" t="s">
        <v>147</v>
      </c>
      <c r="N141" s="1" t="s">
        <v>147</v>
      </c>
      <c r="O141" s="1" t="s">
        <v>147</v>
      </c>
      <c r="P141" s="5">
        <v>43496</v>
      </c>
      <c r="Q141" s="5">
        <v>43496</v>
      </c>
      <c r="R141" s="5">
        <v>43501</v>
      </c>
      <c r="S141" s="5">
        <v>43496</v>
      </c>
      <c r="T141" s="5">
        <v>43511</v>
      </c>
      <c r="U141" s="1" t="s">
        <v>1285</v>
      </c>
      <c r="V141" s="4">
        <v>2</v>
      </c>
      <c r="W141" s="6">
        <v>585000</v>
      </c>
      <c r="X141" s="1" t="s">
        <v>983</v>
      </c>
      <c r="Y141" s="4">
        <v>40</v>
      </c>
      <c r="Z141" s="6">
        <v>14625</v>
      </c>
      <c r="AA141" s="1" t="s">
        <v>1318</v>
      </c>
      <c r="AB141" s="1" t="s">
        <v>540</v>
      </c>
      <c r="AC141" s="1" t="s">
        <v>1202</v>
      </c>
      <c r="AD141" s="1" t="s">
        <v>704</v>
      </c>
      <c r="AE141" s="1" t="s">
        <v>987</v>
      </c>
      <c r="AF141" s="6">
        <v>584100</v>
      </c>
      <c r="AG141" s="6">
        <v>14602.5</v>
      </c>
      <c r="AH141" s="1" t="s">
        <v>1201</v>
      </c>
      <c r="AI141" s="6">
        <v>900</v>
      </c>
      <c r="AJ141" s="6">
        <v>1.5384615384615385E-3</v>
      </c>
      <c r="AK141" s="1" t="s">
        <v>1201</v>
      </c>
      <c r="AL141" s="1" t="s">
        <v>292</v>
      </c>
      <c r="AM141" s="1" t="s">
        <v>570</v>
      </c>
      <c r="AN141" s="1" t="s">
        <v>70</v>
      </c>
      <c r="AO141" s="6">
        <v>900</v>
      </c>
      <c r="AP141" s="6">
        <v>1.5384615384615385E-3</v>
      </c>
      <c r="AQ141" s="2" t="str">
        <f>HYPERLINK("https://auction.openprocurement.org/tenders/d9425382293d46b9b3bbb370f2a84158")</f>
        <v>https://auction.openprocurement.org/tenders/d9425382293d46b9b3bbb370f2a84158</v>
      </c>
      <c r="AR141" s="7">
        <v>43515.62553035267</v>
      </c>
      <c r="AS141" s="1"/>
      <c r="AT141" s="1"/>
      <c r="AU141" s="1" t="s">
        <v>1312</v>
      </c>
      <c r="AV141" s="7">
        <v>43522.701259650916</v>
      </c>
      <c r="AW141" s="1"/>
      <c r="AX141" s="6">
        <v>584100</v>
      </c>
      <c r="AY141" s="5">
        <v>43521</v>
      </c>
      <c r="AZ141" s="5">
        <v>43580</v>
      </c>
      <c r="BA141" s="1"/>
      <c r="BB141" s="1" t="s">
        <v>1303</v>
      </c>
      <c r="BC141" s="1" t="s">
        <v>705</v>
      </c>
      <c r="BD141" s="1"/>
    </row>
    <row r="142" spans="1:56" hidden="1" x14ac:dyDescent="0.25">
      <c r="A142" s="4">
        <v>137</v>
      </c>
      <c r="B142" s="2" t="str">
        <f>HYPERLINK("https://my.zakupki.prom.ua/remote/dispatcher/state_purchase_view/10060480", "UA-2019-01-23-001948-b")</f>
        <v>UA-2019-01-23-001948-b</v>
      </c>
      <c r="C142" s="2" t="s">
        <v>983</v>
      </c>
      <c r="D142" s="1" t="s">
        <v>476</v>
      </c>
      <c r="E142" s="1" t="s">
        <v>1051</v>
      </c>
      <c r="F142" s="1" t="s">
        <v>475</v>
      </c>
      <c r="G142" s="1" t="s">
        <v>883</v>
      </c>
      <c r="H142" s="1" t="s">
        <v>987</v>
      </c>
      <c r="I142" s="1" t="s">
        <v>905</v>
      </c>
      <c r="J142" s="1" t="s">
        <v>158</v>
      </c>
      <c r="K142" s="1" t="s">
        <v>662</v>
      </c>
      <c r="L142" s="1" t="s">
        <v>1207</v>
      </c>
      <c r="M142" s="1" t="s">
        <v>147</v>
      </c>
      <c r="N142" s="1" t="s">
        <v>147</v>
      </c>
      <c r="O142" s="1" t="s">
        <v>147</v>
      </c>
      <c r="P142" s="5">
        <v>43488</v>
      </c>
      <c r="Q142" s="5">
        <v>43488</v>
      </c>
      <c r="R142" s="5">
        <v>43493</v>
      </c>
      <c r="S142" s="5">
        <v>43493</v>
      </c>
      <c r="T142" s="5">
        <v>43495</v>
      </c>
      <c r="U142" s="1" t="s">
        <v>1285</v>
      </c>
      <c r="V142" s="4">
        <v>1</v>
      </c>
      <c r="W142" s="6">
        <v>55675.199999999997</v>
      </c>
      <c r="X142" s="1" t="s">
        <v>983</v>
      </c>
      <c r="Y142" s="4">
        <v>6</v>
      </c>
      <c r="Z142" s="6">
        <v>9279.2000000000007</v>
      </c>
      <c r="AA142" s="1" t="s">
        <v>1307</v>
      </c>
      <c r="AB142" s="1" t="s">
        <v>540</v>
      </c>
      <c r="AC142" s="1" t="s">
        <v>1202</v>
      </c>
      <c r="AD142" s="1" t="s">
        <v>704</v>
      </c>
      <c r="AE142" s="1" t="s">
        <v>987</v>
      </c>
      <c r="AF142" s="6">
        <v>55675.199999999997</v>
      </c>
      <c r="AG142" s="6">
        <v>9279.1999999999989</v>
      </c>
      <c r="AH142" s="1" t="s">
        <v>1171</v>
      </c>
      <c r="AI142" s="1"/>
      <c r="AJ142" s="1"/>
      <c r="AK142" s="1" t="s">
        <v>1171</v>
      </c>
      <c r="AL142" s="1" t="s">
        <v>262</v>
      </c>
      <c r="AM142" s="1" t="s">
        <v>624</v>
      </c>
      <c r="AN142" s="1" t="s">
        <v>65</v>
      </c>
      <c r="AO142" s="1"/>
      <c r="AP142" s="1"/>
      <c r="AQ142" s="2"/>
      <c r="AR142" s="7">
        <v>43496.428741982891</v>
      </c>
      <c r="AS142" s="5">
        <v>43500</v>
      </c>
      <c r="AT142" s="5">
        <v>43523</v>
      </c>
      <c r="AU142" s="1" t="s">
        <v>1287</v>
      </c>
      <c r="AV142" s="7">
        <v>43539.455607387848</v>
      </c>
      <c r="AW142" s="1" t="s">
        <v>263</v>
      </c>
      <c r="AX142" s="6">
        <v>55675.199999999997</v>
      </c>
      <c r="AY142" s="5">
        <v>43495</v>
      </c>
      <c r="AZ142" s="5">
        <v>43830</v>
      </c>
      <c r="BA142" s="7">
        <v>43830</v>
      </c>
      <c r="BB142" s="1" t="s">
        <v>1310</v>
      </c>
      <c r="BC142" s="1"/>
      <c r="BD142" s="1"/>
    </row>
    <row r="143" spans="1:56" hidden="1" x14ac:dyDescent="0.25">
      <c r="A143" s="4">
        <v>138</v>
      </c>
      <c r="B143" s="2" t="str">
        <f>HYPERLINK("https://my.zakupki.prom.ua/remote/dispatcher/state_purchase_view/10059685", "UA-2019-01-23-001899-b")</f>
        <v>UA-2019-01-23-001899-b</v>
      </c>
      <c r="C143" s="2" t="s">
        <v>983</v>
      </c>
      <c r="D143" s="1" t="s">
        <v>478</v>
      </c>
      <c r="E143" s="1" t="s">
        <v>28</v>
      </c>
      <c r="F143" s="1" t="s">
        <v>477</v>
      </c>
      <c r="G143" s="1" t="s">
        <v>883</v>
      </c>
      <c r="H143" s="1" t="s">
        <v>987</v>
      </c>
      <c r="I143" s="1" t="s">
        <v>905</v>
      </c>
      <c r="J143" s="1" t="s">
        <v>158</v>
      </c>
      <c r="K143" s="1" t="s">
        <v>662</v>
      </c>
      <c r="L143" s="1" t="s">
        <v>1207</v>
      </c>
      <c r="M143" s="1" t="s">
        <v>147</v>
      </c>
      <c r="N143" s="1" t="s">
        <v>147</v>
      </c>
      <c r="O143" s="1" t="s">
        <v>147</v>
      </c>
      <c r="P143" s="5">
        <v>43488</v>
      </c>
      <c r="Q143" s="5">
        <v>43488</v>
      </c>
      <c r="R143" s="5">
        <v>43490</v>
      </c>
      <c r="S143" s="5">
        <v>43490</v>
      </c>
      <c r="T143" s="5">
        <v>43494</v>
      </c>
      <c r="U143" s="7">
        <v>43495.652361111112</v>
      </c>
      <c r="V143" s="4">
        <v>2</v>
      </c>
      <c r="W143" s="6">
        <v>9300</v>
      </c>
      <c r="X143" s="1" t="s">
        <v>983</v>
      </c>
      <c r="Y143" s="4">
        <v>3</v>
      </c>
      <c r="Z143" s="6">
        <v>3100</v>
      </c>
      <c r="AA143" s="1" t="s">
        <v>1307</v>
      </c>
      <c r="AB143" s="1" t="s">
        <v>540</v>
      </c>
      <c r="AC143" s="1" t="s">
        <v>1202</v>
      </c>
      <c r="AD143" s="1" t="s">
        <v>704</v>
      </c>
      <c r="AE143" s="1" t="s">
        <v>987</v>
      </c>
      <c r="AF143" s="6">
        <v>9128</v>
      </c>
      <c r="AG143" s="6">
        <v>3042.6666666666665</v>
      </c>
      <c r="AH143" s="1" t="s">
        <v>1172</v>
      </c>
      <c r="AI143" s="6">
        <v>172</v>
      </c>
      <c r="AJ143" s="6">
        <v>1.8494623655913978E-2</v>
      </c>
      <c r="AK143" s="1" t="s">
        <v>1172</v>
      </c>
      <c r="AL143" s="1" t="s">
        <v>323</v>
      </c>
      <c r="AM143" s="1" t="s">
        <v>625</v>
      </c>
      <c r="AN143" s="1" t="s">
        <v>59</v>
      </c>
      <c r="AO143" s="6">
        <v>172</v>
      </c>
      <c r="AP143" s="6">
        <v>1.8494623655913978E-2</v>
      </c>
      <c r="AQ143" s="2" t="str">
        <f>HYPERLINK("https://auction.openprocurement.org/tenders/4f66f4a2e2bf4a8699847f20d72007b9")</f>
        <v>https://auction.openprocurement.org/tenders/4f66f4a2e2bf4a8699847f20d72007b9</v>
      </c>
      <c r="AR143" s="7">
        <v>43496.428559175802</v>
      </c>
      <c r="AS143" s="5">
        <v>43500</v>
      </c>
      <c r="AT143" s="5">
        <v>43520</v>
      </c>
      <c r="AU143" s="1" t="s">
        <v>1287</v>
      </c>
      <c r="AV143" s="7">
        <v>43539.456415492838</v>
      </c>
      <c r="AW143" s="1" t="s">
        <v>316</v>
      </c>
      <c r="AX143" s="6">
        <v>9128</v>
      </c>
      <c r="AY143" s="5">
        <v>43495</v>
      </c>
      <c r="AZ143" s="5">
        <v>43830</v>
      </c>
      <c r="BA143" s="7">
        <v>43830</v>
      </c>
      <c r="BB143" s="1" t="s">
        <v>1310</v>
      </c>
      <c r="BC143" s="1"/>
      <c r="BD143" s="1"/>
    </row>
    <row r="144" spans="1:56" hidden="1" x14ac:dyDescent="0.25">
      <c r="A144" s="4">
        <v>139</v>
      </c>
      <c r="B144" s="2" t="str">
        <f>HYPERLINK("https://my.zakupki.prom.ua/remote/dispatcher/state_purchase_view/10058578", "UA-2019-01-23-001765-b")</f>
        <v>UA-2019-01-23-001765-b</v>
      </c>
      <c r="C144" s="2" t="s">
        <v>983</v>
      </c>
      <c r="D144" s="1" t="s">
        <v>744</v>
      </c>
      <c r="E144" s="1" t="s">
        <v>657</v>
      </c>
      <c r="F144" s="1" t="s">
        <v>377</v>
      </c>
      <c r="G144" s="1" t="s">
        <v>883</v>
      </c>
      <c r="H144" s="1" t="s">
        <v>987</v>
      </c>
      <c r="I144" s="1" t="s">
        <v>905</v>
      </c>
      <c r="J144" s="1" t="s">
        <v>158</v>
      </c>
      <c r="K144" s="1" t="s">
        <v>662</v>
      </c>
      <c r="L144" s="1" t="s">
        <v>1207</v>
      </c>
      <c r="M144" s="1" t="s">
        <v>147</v>
      </c>
      <c r="N144" s="1" t="s">
        <v>147</v>
      </c>
      <c r="O144" s="1" t="s">
        <v>147</v>
      </c>
      <c r="P144" s="5">
        <v>43488</v>
      </c>
      <c r="Q144" s="5">
        <v>43488</v>
      </c>
      <c r="R144" s="5">
        <v>43490</v>
      </c>
      <c r="S144" s="5">
        <v>43490</v>
      </c>
      <c r="T144" s="5">
        <v>43493</v>
      </c>
      <c r="U144" s="7">
        <v>43494.534108796295</v>
      </c>
      <c r="V144" s="4">
        <v>2</v>
      </c>
      <c r="W144" s="6">
        <v>15289.23</v>
      </c>
      <c r="X144" s="1" t="s">
        <v>983</v>
      </c>
      <c r="Y144" s="4">
        <v>3</v>
      </c>
      <c r="Z144" s="6">
        <v>5096.41</v>
      </c>
      <c r="AA144" s="1" t="s">
        <v>1315</v>
      </c>
      <c r="AB144" s="1" t="s">
        <v>540</v>
      </c>
      <c r="AC144" s="1" t="s">
        <v>1202</v>
      </c>
      <c r="AD144" s="1" t="s">
        <v>704</v>
      </c>
      <c r="AE144" s="1" t="s">
        <v>987</v>
      </c>
      <c r="AF144" s="6">
        <v>15212.77</v>
      </c>
      <c r="AG144" s="6">
        <v>5070.9233333333332</v>
      </c>
      <c r="AH144" s="1" t="s">
        <v>1145</v>
      </c>
      <c r="AI144" s="6">
        <v>76.459999999999127</v>
      </c>
      <c r="AJ144" s="6">
        <v>5.0009058664170223E-3</v>
      </c>
      <c r="AK144" s="1" t="s">
        <v>1145</v>
      </c>
      <c r="AL144" s="1" t="s">
        <v>440</v>
      </c>
      <c r="AM144" s="1" t="s">
        <v>578</v>
      </c>
      <c r="AN144" s="1" t="s">
        <v>111</v>
      </c>
      <c r="AO144" s="6">
        <v>76.459999999999127</v>
      </c>
      <c r="AP144" s="6">
        <v>5.0009058664170223E-3</v>
      </c>
      <c r="AQ144" s="2" t="str">
        <f>HYPERLINK("https://auction.openprocurement.org/tenders/3b9c8220628d45d4b91c61a971663376")</f>
        <v>https://auction.openprocurement.org/tenders/3b9c8220628d45d4b91c61a971663376</v>
      </c>
      <c r="AR144" s="7">
        <v>43496.428377392862</v>
      </c>
      <c r="AS144" s="5">
        <v>43500</v>
      </c>
      <c r="AT144" s="5">
        <v>43520</v>
      </c>
      <c r="AU144" s="1" t="s">
        <v>1287</v>
      </c>
      <c r="AV144" s="7">
        <v>43501.337753993103</v>
      </c>
      <c r="AW144" s="1" t="s">
        <v>173</v>
      </c>
      <c r="AX144" s="6">
        <v>15212.77</v>
      </c>
      <c r="AY144" s="5">
        <v>43497</v>
      </c>
      <c r="AZ144" s="5">
        <v>43504</v>
      </c>
      <c r="BA144" s="7">
        <v>43830</v>
      </c>
      <c r="BB144" s="1" t="s">
        <v>1310</v>
      </c>
      <c r="BC144" s="1"/>
      <c r="BD144" s="1"/>
    </row>
    <row r="145" spans="1:56" hidden="1" x14ac:dyDescent="0.25">
      <c r="A145" s="4">
        <v>140</v>
      </c>
      <c r="B145" s="2" t="str">
        <f>HYPERLINK("https://my.zakupki.prom.ua/remote/dispatcher/state_purchase_view/8849481", "UA-2018-11-12-001252-a")</f>
        <v>UA-2018-11-12-001252-a</v>
      </c>
      <c r="C145" s="2" t="s">
        <v>983</v>
      </c>
      <c r="D145" s="1" t="s">
        <v>723</v>
      </c>
      <c r="E145" s="1" t="s">
        <v>968</v>
      </c>
      <c r="F145" s="1" t="s">
        <v>279</v>
      </c>
      <c r="G145" s="1" t="s">
        <v>883</v>
      </c>
      <c r="H145" s="1" t="s">
        <v>987</v>
      </c>
      <c r="I145" s="1" t="s">
        <v>905</v>
      </c>
      <c r="J145" s="1" t="s">
        <v>158</v>
      </c>
      <c r="K145" s="1" t="s">
        <v>662</v>
      </c>
      <c r="L145" s="1" t="s">
        <v>1207</v>
      </c>
      <c r="M145" s="1" t="s">
        <v>147</v>
      </c>
      <c r="N145" s="1" t="s">
        <v>147</v>
      </c>
      <c r="O145" s="1" t="s">
        <v>147</v>
      </c>
      <c r="P145" s="5">
        <v>43416</v>
      </c>
      <c r="Q145" s="5">
        <v>43416</v>
      </c>
      <c r="R145" s="5">
        <v>43418</v>
      </c>
      <c r="S145" s="5">
        <v>43418</v>
      </c>
      <c r="T145" s="5">
        <v>43423</v>
      </c>
      <c r="U145" s="1" t="s">
        <v>1285</v>
      </c>
      <c r="V145" s="4">
        <v>1</v>
      </c>
      <c r="W145" s="6">
        <v>4298</v>
      </c>
      <c r="X145" s="1" t="s">
        <v>983</v>
      </c>
      <c r="Y145" s="4">
        <v>40</v>
      </c>
      <c r="Z145" s="6">
        <v>107.45</v>
      </c>
      <c r="AA145" s="1" t="s">
        <v>1318</v>
      </c>
      <c r="AB145" s="1" t="s">
        <v>540</v>
      </c>
      <c r="AC145" s="1" t="s">
        <v>1202</v>
      </c>
      <c r="AD145" s="1" t="s">
        <v>704</v>
      </c>
      <c r="AE145" s="1" t="s">
        <v>987</v>
      </c>
      <c r="AF145" s="6">
        <v>4280</v>
      </c>
      <c r="AG145" s="6">
        <v>107</v>
      </c>
      <c r="AH145" s="1" t="s">
        <v>1212</v>
      </c>
      <c r="AI145" s="6">
        <v>18</v>
      </c>
      <c r="AJ145" s="6">
        <v>4.1879944160074451E-3</v>
      </c>
      <c r="AK145" s="1" t="s">
        <v>1212</v>
      </c>
      <c r="AL145" s="1" t="s">
        <v>429</v>
      </c>
      <c r="AM145" s="1" t="s">
        <v>628</v>
      </c>
      <c r="AN145" s="1"/>
      <c r="AO145" s="6">
        <v>18</v>
      </c>
      <c r="AP145" s="6">
        <v>4.1879944160074451E-3</v>
      </c>
      <c r="AQ145" s="2"/>
      <c r="AR145" s="7">
        <v>43424.492375916692</v>
      </c>
      <c r="AS145" s="5">
        <v>43426</v>
      </c>
      <c r="AT145" s="5">
        <v>43448</v>
      </c>
      <c r="AU145" s="1" t="s">
        <v>1287</v>
      </c>
      <c r="AV145" s="7">
        <v>43437.335774017338</v>
      </c>
      <c r="AW145" s="1" t="s">
        <v>489</v>
      </c>
      <c r="AX145" s="6">
        <v>4280</v>
      </c>
      <c r="AY145" s="5">
        <v>43437</v>
      </c>
      <c r="AZ145" s="5">
        <v>43448</v>
      </c>
      <c r="BA145" s="7">
        <v>43465</v>
      </c>
      <c r="BB145" s="1" t="s">
        <v>1310</v>
      </c>
      <c r="BC145" s="1"/>
      <c r="BD145" s="1" t="s">
        <v>901</v>
      </c>
    </row>
    <row r="146" spans="1:56" hidden="1" x14ac:dyDescent="0.25">
      <c r="A146" s="4">
        <v>141</v>
      </c>
      <c r="B146" s="2" t="str">
        <f>HYPERLINK("https://my.zakupki.prom.ua/remote/dispatcher/state_purchase_view/8848933", "UA-2018-11-12-001152-a")</f>
        <v>UA-2018-11-12-001152-a</v>
      </c>
      <c r="C146" s="2" t="s">
        <v>983</v>
      </c>
      <c r="D146" s="1" t="s">
        <v>799</v>
      </c>
      <c r="E146" s="1" t="s">
        <v>9</v>
      </c>
      <c r="F146" s="1" t="s">
        <v>381</v>
      </c>
      <c r="G146" s="1" t="s">
        <v>883</v>
      </c>
      <c r="H146" s="1" t="s">
        <v>987</v>
      </c>
      <c r="I146" s="1" t="s">
        <v>905</v>
      </c>
      <c r="J146" s="1" t="s">
        <v>158</v>
      </c>
      <c r="K146" s="1" t="s">
        <v>662</v>
      </c>
      <c r="L146" s="1" t="s">
        <v>1207</v>
      </c>
      <c r="M146" s="1" t="s">
        <v>147</v>
      </c>
      <c r="N146" s="1" t="s">
        <v>147</v>
      </c>
      <c r="O146" s="1" t="s">
        <v>147</v>
      </c>
      <c r="P146" s="5">
        <v>43416</v>
      </c>
      <c r="Q146" s="5">
        <v>43416</v>
      </c>
      <c r="R146" s="5">
        <v>43418</v>
      </c>
      <c r="S146" s="5">
        <v>43418</v>
      </c>
      <c r="T146" s="5">
        <v>43423</v>
      </c>
      <c r="U146" s="7">
        <v>43424.642164351855</v>
      </c>
      <c r="V146" s="4">
        <v>2</v>
      </c>
      <c r="W146" s="6">
        <v>15206</v>
      </c>
      <c r="X146" s="1" t="s">
        <v>983</v>
      </c>
      <c r="Y146" s="4">
        <v>4171</v>
      </c>
      <c r="Z146" s="6">
        <v>3.65</v>
      </c>
      <c r="AA146" s="1" t="s">
        <v>1318</v>
      </c>
      <c r="AB146" s="1" t="s">
        <v>540</v>
      </c>
      <c r="AC146" s="1" t="s">
        <v>1202</v>
      </c>
      <c r="AD146" s="1" t="s">
        <v>704</v>
      </c>
      <c r="AE146" s="1" t="s">
        <v>987</v>
      </c>
      <c r="AF146" s="6">
        <v>11354</v>
      </c>
      <c r="AG146" s="6">
        <v>2.7221289858547113</v>
      </c>
      <c r="AH146" s="1" t="s">
        <v>1277</v>
      </c>
      <c r="AI146" s="6">
        <v>3852</v>
      </c>
      <c r="AJ146" s="6">
        <v>0.2533210574773116</v>
      </c>
      <c r="AK146" s="1" t="s">
        <v>1277</v>
      </c>
      <c r="AL146" s="1" t="s">
        <v>221</v>
      </c>
      <c r="AM146" s="1" t="s">
        <v>569</v>
      </c>
      <c r="AN146" s="1" t="s">
        <v>86</v>
      </c>
      <c r="AO146" s="6">
        <v>3852</v>
      </c>
      <c r="AP146" s="6">
        <v>0.2533210574773116</v>
      </c>
      <c r="AQ146" s="2" t="str">
        <f>HYPERLINK("https://auction.openprocurement.org/tenders/2f67b3f7dbbb46dfbb2fbc5196e108e8")</f>
        <v>https://auction.openprocurement.org/tenders/2f67b3f7dbbb46dfbb2fbc5196e108e8</v>
      </c>
      <c r="AR146" s="7">
        <v>43425.424882314976</v>
      </c>
      <c r="AS146" s="5">
        <v>43427</v>
      </c>
      <c r="AT146" s="5">
        <v>43448</v>
      </c>
      <c r="AU146" s="1" t="s">
        <v>1287</v>
      </c>
      <c r="AV146" s="7">
        <v>43444.681397737688</v>
      </c>
      <c r="AW146" s="1" t="s">
        <v>493</v>
      </c>
      <c r="AX146" s="6">
        <v>11354</v>
      </c>
      <c r="AY146" s="5">
        <v>43437</v>
      </c>
      <c r="AZ146" s="5">
        <v>43448</v>
      </c>
      <c r="BA146" s="7">
        <v>43465</v>
      </c>
      <c r="BB146" s="1" t="s">
        <v>1310</v>
      </c>
      <c r="BC146" s="1"/>
      <c r="BD146" s="1" t="s">
        <v>901</v>
      </c>
    </row>
    <row r="147" spans="1:56" hidden="1" x14ac:dyDescent="0.25">
      <c r="A147" s="4">
        <v>142</v>
      </c>
      <c r="B147" s="2" t="str">
        <f>HYPERLINK("https://my.zakupki.prom.ua/remote/dispatcher/state_purchase_view/8769661", "UA-2018-11-05-000838-c")</f>
        <v>UA-2018-11-05-000838-c</v>
      </c>
      <c r="C147" s="2" t="s">
        <v>983</v>
      </c>
      <c r="D147" s="1" t="s">
        <v>800</v>
      </c>
      <c r="E147" s="1" t="s">
        <v>928</v>
      </c>
      <c r="F147" s="1" t="s">
        <v>381</v>
      </c>
      <c r="G147" s="1" t="s">
        <v>883</v>
      </c>
      <c r="H147" s="1" t="s">
        <v>987</v>
      </c>
      <c r="I147" s="1" t="s">
        <v>905</v>
      </c>
      <c r="J147" s="1" t="s">
        <v>158</v>
      </c>
      <c r="K147" s="1" t="s">
        <v>662</v>
      </c>
      <c r="L147" s="1" t="s">
        <v>1207</v>
      </c>
      <c r="M147" s="1" t="s">
        <v>147</v>
      </c>
      <c r="N147" s="1" t="s">
        <v>147</v>
      </c>
      <c r="O147" s="1" t="s">
        <v>147</v>
      </c>
      <c r="P147" s="5">
        <v>43409</v>
      </c>
      <c r="Q147" s="5">
        <v>43409</v>
      </c>
      <c r="R147" s="5">
        <v>43410</v>
      </c>
      <c r="S147" s="5">
        <v>43410</v>
      </c>
      <c r="T147" s="5">
        <v>43412</v>
      </c>
      <c r="U147" s="7">
        <v>43413.58289351852</v>
      </c>
      <c r="V147" s="4">
        <v>2</v>
      </c>
      <c r="W147" s="6">
        <v>3865</v>
      </c>
      <c r="X147" s="1" t="s">
        <v>983</v>
      </c>
      <c r="Y147" s="4">
        <v>1</v>
      </c>
      <c r="Z147" s="6">
        <v>3865</v>
      </c>
      <c r="AA147" s="1" t="s">
        <v>1301</v>
      </c>
      <c r="AB147" s="1" t="s">
        <v>540</v>
      </c>
      <c r="AC147" s="1" t="s">
        <v>1202</v>
      </c>
      <c r="AD147" s="1" t="s">
        <v>704</v>
      </c>
      <c r="AE147" s="1" t="s">
        <v>987</v>
      </c>
      <c r="AF147" s="6">
        <v>3100</v>
      </c>
      <c r="AG147" s="6">
        <v>3100</v>
      </c>
      <c r="AH147" s="1" t="s">
        <v>1228</v>
      </c>
      <c r="AI147" s="6">
        <v>765</v>
      </c>
      <c r="AJ147" s="6">
        <v>0.19793014230271669</v>
      </c>
      <c r="AK147" s="1" t="s">
        <v>1228</v>
      </c>
      <c r="AL147" s="1" t="s">
        <v>394</v>
      </c>
      <c r="AM147" s="1" t="s">
        <v>568</v>
      </c>
      <c r="AN147" s="1" t="s">
        <v>116</v>
      </c>
      <c r="AO147" s="6">
        <v>765</v>
      </c>
      <c r="AP147" s="6">
        <v>0.19793014230271669</v>
      </c>
      <c r="AQ147" s="2" t="str">
        <f>HYPERLINK("https://auction.openprocurement.org/tenders/bc001dc7823a4da081f5228550fde130")</f>
        <v>https://auction.openprocurement.org/tenders/bc001dc7823a4da081f5228550fde130</v>
      </c>
      <c r="AR147" s="7">
        <v>43416.421004466814</v>
      </c>
      <c r="AS147" s="5">
        <v>43418</v>
      </c>
      <c r="AT147" s="5">
        <v>43440</v>
      </c>
      <c r="AU147" s="1" t="s">
        <v>1287</v>
      </c>
      <c r="AV147" s="7">
        <v>43424.497995060454</v>
      </c>
      <c r="AW147" s="1" t="s">
        <v>485</v>
      </c>
      <c r="AX147" s="6">
        <v>3100</v>
      </c>
      <c r="AY147" s="5">
        <v>43416</v>
      </c>
      <c r="AZ147" s="5">
        <v>43434</v>
      </c>
      <c r="BA147" s="7">
        <v>43465</v>
      </c>
      <c r="BB147" s="1" t="s">
        <v>1310</v>
      </c>
      <c r="BC147" s="1"/>
      <c r="BD147" s="1" t="s">
        <v>901</v>
      </c>
    </row>
    <row r="148" spans="1:56" hidden="1" x14ac:dyDescent="0.25">
      <c r="A148" s="4">
        <v>143</v>
      </c>
      <c r="B148" s="2" t="str">
        <f>HYPERLINK("https://my.zakupki.prom.ua/remote/dispatcher/state_purchase_view/8748318", "UA-2018-11-02-001152-b")</f>
        <v>UA-2018-11-02-001152-b</v>
      </c>
      <c r="C148" s="2" t="s">
        <v>983</v>
      </c>
      <c r="D148" s="1" t="s">
        <v>739</v>
      </c>
      <c r="E148" s="1" t="s">
        <v>1119</v>
      </c>
      <c r="F148" s="1" t="s">
        <v>375</v>
      </c>
      <c r="G148" s="1" t="s">
        <v>883</v>
      </c>
      <c r="H148" s="1" t="s">
        <v>987</v>
      </c>
      <c r="I148" s="1" t="s">
        <v>905</v>
      </c>
      <c r="J148" s="1" t="s">
        <v>158</v>
      </c>
      <c r="K148" s="1" t="s">
        <v>662</v>
      </c>
      <c r="L148" s="1" t="s">
        <v>1207</v>
      </c>
      <c r="M148" s="1" t="s">
        <v>147</v>
      </c>
      <c r="N148" s="1" t="s">
        <v>147</v>
      </c>
      <c r="O148" s="1" t="s">
        <v>147</v>
      </c>
      <c r="P148" s="5">
        <v>43406</v>
      </c>
      <c r="Q148" s="5">
        <v>43406</v>
      </c>
      <c r="R148" s="5">
        <v>43409</v>
      </c>
      <c r="S148" s="5">
        <v>43409</v>
      </c>
      <c r="T148" s="5">
        <v>43411</v>
      </c>
      <c r="U148" s="7">
        <v>43412.49759259259</v>
      </c>
      <c r="V148" s="4">
        <v>4</v>
      </c>
      <c r="W148" s="6">
        <v>7341</v>
      </c>
      <c r="X148" s="1" t="s">
        <v>983</v>
      </c>
      <c r="Y148" s="4">
        <v>300</v>
      </c>
      <c r="Z148" s="6">
        <v>24.47</v>
      </c>
      <c r="AA148" s="1" t="s">
        <v>1318</v>
      </c>
      <c r="AB148" s="1" t="s">
        <v>540</v>
      </c>
      <c r="AC148" s="1" t="s">
        <v>1202</v>
      </c>
      <c r="AD148" s="1" t="s">
        <v>704</v>
      </c>
      <c r="AE148" s="1" t="s">
        <v>987</v>
      </c>
      <c r="AF148" s="6">
        <v>4710</v>
      </c>
      <c r="AG148" s="6">
        <v>15.7</v>
      </c>
      <c r="AH148" s="1" t="s">
        <v>1194</v>
      </c>
      <c r="AI148" s="6">
        <v>2631</v>
      </c>
      <c r="AJ148" s="6">
        <v>0.35839803841438495</v>
      </c>
      <c r="AK148" s="1" t="s">
        <v>1143</v>
      </c>
      <c r="AL148" s="1" t="s">
        <v>451</v>
      </c>
      <c r="AM148" s="1" t="s">
        <v>527</v>
      </c>
      <c r="AN148" s="1" t="s">
        <v>142</v>
      </c>
      <c r="AO148" s="6">
        <v>2545.2600000000002</v>
      </c>
      <c r="AP148" s="6">
        <v>0.34671843073150799</v>
      </c>
      <c r="AQ148" s="2" t="str">
        <f>HYPERLINK("https://auction.openprocurement.org/tenders/2250a545f31d49f482d3f78d83ea5203")</f>
        <v>https://auction.openprocurement.org/tenders/2250a545f31d49f482d3f78d83ea5203</v>
      </c>
      <c r="AR148" s="7">
        <v>43413.53149104285</v>
      </c>
      <c r="AS148" s="5">
        <v>43417</v>
      </c>
      <c r="AT148" s="5">
        <v>43439</v>
      </c>
      <c r="AU148" s="1" t="s">
        <v>1287</v>
      </c>
      <c r="AV148" s="7">
        <v>43424.496482152048</v>
      </c>
      <c r="AW148" s="1" t="s">
        <v>191</v>
      </c>
      <c r="AX148" s="6">
        <v>4795.74</v>
      </c>
      <c r="AY148" s="5">
        <v>43413</v>
      </c>
      <c r="AZ148" s="5">
        <v>43434</v>
      </c>
      <c r="BA148" s="7">
        <v>43465</v>
      </c>
      <c r="BB148" s="1" t="s">
        <v>1310</v>
      </c>
      <c r="BC148" s="1"/>
      <c r="BD148" s="1" t="s">
        <v>901</v>
      </c>
    </row>
    <row r="149" spans="1:56" hidden="1" x14ac:dyDescent="0.25">
      <c r="A149" s="4">
        <v>144</v>
      </c>
      <c r="B149" s="2" t="str">
        <f>HYPERLINK("https://my.zakupki.prom.ua/remote/dispatcher/state_purchase_view/8742592", "UA-2018-11-02-000276-b")</f>
        <v>UA-2018-11-02-000276-b</v>
      </c>
      <c r="C149" s="2" t="s">
        <v>983</v>
      </c>
      <c r="D149" s="1" t="s">
        <v>717</v>
      </c>
      <c r="E149" s="1" t="s">
        <v>667</v>
      </c>
      <c r="F149" s="1" t="s">
        <v>168</v>
      </c>
      <c r="G149" s="1" t="s">
        <v>883</v>
      </c>
      <c r="H149" s="1" t="s">
        <v>987</v>
      </c>
      <c r="I149" s="1" t="s">
        <v>905</v>
      </c>
      <c r="J149" s="1" t="s">
        <v>158</v>
      </c>
      <c r="K149" s="1" t="s">
        <v>662</v>
      </c>
      <c r="L149" s="1" t="s">
        <v>1207</v>
      </c>
      <c r="M149" s="1" t="s">
        <v>147</v>
      </c>
      <c r="N149" s="1" t="s">
        <v>147</v>
      </c>
      <c r="O149" s="1" t="s">
        <v>147</v>
      </c>
      <c r="P149" s="5">
        <v>43406</v>
      </c>
      <c r="Q149" s="5">
        <v>43406</v>
      </c>
      <c r="R149" s="5">
        <v>43409</v>
      </c>
      <c r="S149" s="5">
        <v>43409</v>
      </c>
      <c r="T149" s="5">
        <v>43411</v>
      </c>
      <c r="U149" s="7">
        <v>43412.602523148147</v>
      </c>
      <c r="V149" s="4">
        <v>2</v>
      </c>
      <c r="W149" s="6">
        <v>7440</v>
      </c>
      <c r="X149" s="1" t="s">
        <v>983</v>
      </c>
      <c r="Y149" s="4">
        <v>240</v>
      </c>
      <c r="Z149" s="6">
        <v>31</v>
      </c>
      <c r="AA149" s="1" t="s">
        <v>1299</v>
      </c>
      <c r="AB149" s="1" t="s">
        <v>540</v>
      </c>
      <c r="AC149" s="1" t="s">
        <v>1202</v>
      </c>
      <c r="AD149" s="1" t="s">
        <v>704</v>
      </c>
      <c r="AE149" s="1" t="s">
        <v>987</v>
      </c>
      <c r="AF149" s="6">
        <v>7228.8</v>
      </c>
      <c r="AG149" s="6">
        <v>30.12</v>
      </c>
      <c r="AH149" s="1" t="s">
        <v>1152</v>
      </c>
      <c r="AI149" s="6">
        <v>211.19999999999982</v>
      </c>
      <c r="AJ149" s="6">
        <v>2.8387096774193522E-2</v>
      </c>
      <c r="AK149" s="1" t="s">
        <v>1152</v>
      </c>
      <c r="AL149" s="1" t="s">
        <v>448</v>
      </c>
      <c r="AM149" s="1" t="s">
        <v>160</v>
      </c>
      <c r="AN149" s="1" t="s">
        <v>51</v>
      </c>
      <c r="AO149" s="6">
        <v>211.19999999999982</v>
      </c>
      <c r="AP149" s="6">
        <v>2.8387096774193522E-2</v>
      </c>
      <c r="AQ149" s="2" t="str">
        <f>HYPERLINK("https://auction.openprocurement.org/tenders/66ee023a240d4985bb157c46c84e3e83")</f>
        <v>https://auction.openprocurement.org/tenders/66ee023a240d4985bb157c46c84e3e83</v>
      </c>
      <c r="AR149" s="7">
        <v>43412.648035128979</v>
      </c>
      <c r="AS149" s="5">
        <v>43416</v>
      </c>
      <c r="AT149" s="5">
        <v>43439</v>
      </c>
      <c r="AU149" s="1" t="s">
        <v>1287</v>
      </c>
      <c r="AV149" s="7">
        <v>43417.678479421702</v>
      </c>
      <c r="AW149" s="1" t="s">
        <v>481</v>
      </c>
      <c r="AX149" s="6">
        <v>7228.8</v>
      </c>
      <c r="AY149" s="5">
        <v>43413</v>
      </c>
      <c r="AZ149" s="5">
        <v>43465</v>
      </c>
      <c r="BA149" s="7">
        <v>43465</v>
      </c>
      <c r="BB149" s="1" t="s">
        <v>1310</v>
      </c>
      <c r="BC149" s="1"/>
      <c r="BD149" s="1" t="s">
        <v>901</v>
      </c>
    </row>
    <row r="150" spans="1:56" hidden="1" x14ac:dyDescent="0.25">
      <c r="A150" s="4">
        <v>145</v>
      </c>
      <c r="B150" s="2" t="str">
        <f>HYPERLINK("https://my.zakupki.prom.ua/remote/dispatcher/state_purchase_view/8586190", "UA-2018-10-18-002862-b")</f>
        <v>UA-2018-10-18-002862-b</v>
      </c>
      <c r="C150" s="2" t="s">
        <v>983</v>
      </c>
      <c r="D150" s="1" t="s">
        <v>733</v>
      </c>
      <c r="E150" s="1" t="s">
        <v>733</v>
      </c>
      <c r="F150" s="1" t="s">
        <v>355</v>
      </c>
      <c r="G150" s="1" t="s">
        <v>883</v>
      </c>
      <c r="H150" s="1" t="s">
        <v>987</v>
      </c>
      <c r="I150" s="1" t="s">
        <v>905</v>
      </c>
      <c r="J150" s="1" t="s">
        <v>158</v>
      </c>
      <c r="K150" s="1" t="s">
        <v>662</v>
      </c>
      <c r="L150" s="1" t="s">
        <v>1207</v>
      </c>
      <c r="M150" s="1" t="s">
        <v>147</v>
      </c>
      <c r="N150" s="1" t="s">
        <v>147</v>
      </c>
      <c r="O150" s="1" t="s">
        <v>147</v>
      </c>
      <c r="P150" s="5">
        <v>43391</v>
      </c>
      <c r="Q150" s="5">
        <v>43391</v>
      </c>
      <c r="R150" s="5">
        <v>43395</v>
      </c>
      <c r="S150" s="5">
        <v>43395</v>
      </c>
      <c r="T150" s="5">
        <v>43397</v>
      </c>
      <c r="U150" s="1" t="s">
        <v>1285</v>
      </c>
      <c r="V150" s="4">
        <v>1</v>
      </c>
      <c r="W150" s="6">
        <v>34284</v>
      </c>
      <c r="X150" s="1" t="s">
        <v>983</v>
      </c>
      <c r="Y150" s="4">
        <v>11130</v>
      </c>
      <c r="Z150" s="6">
        <v>3.08</v>
      </c>
      <c r="AA150" s="1" t="s">
        <v>1318</v>
      </c>
      <c r="AB150" s="1" t="s">
        <v>540</v>
      </c>
      <c r="AC150" s="1" t="s">
        <v>1202</v>
      </c>
      <c r="AD150" s="1" t="s">
        <v>704</v>
      </c>
      <c r="AE150" s="1" t="s">
        <v>987</v>
      </c>
      <c r="AF150" s="6">
        <v>22092.92</v>
      </c>
      <c r="AG150" s="6">
        <v>1.9849883198562441</v>
      </c>
      <c r="AH150" s="1" t="s">
        <v>1146</v>
      </c>
      <c r="AI150" s="6">
        <v>12191.080000000002</v>
      </c>
      <c r="AJ150" s="6">
        <v>0.35559094621397741</v>
      </c>
      <c r="AK150" s="1" t="s">
        <v>1146</v>
      </c>
      <c r="AL150" s="1" t="s">
        <v>438</v>
      </c>
      <c r="AM150" s="1" t="s">
        <v>558</v>
      </c>
      <c r="AN150" s="1" t="s">
        <v>139</v>
      </c>
      <c r="AO150" s="6">
        <v>12191.080000000002</v>
      </c>
      <c r="AP150" s="6">
        <v>0.35559094621397741</v>
      </c>
      <c r="AQ150" s="2"/>
      <c r="AR150" s="7">
        <v>43399.565124685614</v>
      </c>
      <c r="AS150" s="5">
        <v>43403</v>
      </c>
      <c r="AT150" s="5">
        <v>43425</v>
      </c>
      <c r="AU150" s="1" t="s">
        <v>1287</v>
      </c>
      <c r="AV150" s="7">
        <v>43406.654333037812</v>
      </c>
      <c r="AW150" s="1" t="s">
        <v>468</v>
      </c>
      <c r="AX150" s="6">
        <v>22092.92</v>
      </c>
      <c r="AY150" s="5">
        <v>43405</v>
      </c>
      <c r="AZ150" s="5">
        <v>43420</v>
      </c>
      <c r="BA150" s="7">
        <v>43434</v>
      </c>
      <c r="BB150" s="1" t="s">
        <v>1310</v>
      </c>
      <c r="BC150" s="1"/>
      <c r="BD150" s="1" t="s">
        <v>901</v>
      </c>
    </row>
    <row r="151" spans="1:56" hidden="1" x14ac:dyDescent="0.25">
      <c r="A151" s="4">
        <v>146</v>
      </c>
      <c r="B151" s="2" t="str">
        <f>HYPERLINK("https://my.zakupki.prom.ua/remote/dispatcher/state_purchase_view/8501698", "UA-2018-10-09-002105-c")</f>
        <v>UA-2018-10-09-002105-c</v>
      </c>
      <c r="C151" s="2" t="s">
        <v>983</v>
      </c>
      <c r="D151" s="1" t="s">
        <v>924</v>
      </c>
      <c r="E151" s="1" t="s">
        <v>646</v>
      </c>
      <c r="F151" s="1" t="s">
        <v>504</v>
      </c>
      <c r="G151" s="1" t="s">
        <v>883</v>
      </c>
      <c r="H151" s="1" t="s">
        <v>987</v>
      </c>
      <c r="I151" s="1" t="s">
        <v>905</v>
      </c>
      <c r="J151" s="1" t="s">
        <v>158</v>
      </c>
      <c r="K151" s="1" t="s">
        <v>662</v>
      </c>
      <c r="L151" s="1" t="s">
        <v>1207</v>
      </c>
      <c r="M151" s="1" t="s">
        <v>147</v>
      </c>
      <c r="N151" s="1" t="s">
        <v>147</v>
      </c>
      <c r="O151" s="1" t="s">
        <v>147</v>
      </c>
      <c r="P151" s="5">
        <v>43382</v>
      </c>
      <c r="Q151" s="5">
        <v>43382</v>
      </c>
      <c r="R151" s="5">
        <v>43383</v>
      </c>
      <c r="S151" s="5">
        <v>43383</v>
      </c>
      <c r="T151" s="5">
        <v>43385</v>
      </c>
      <c r="U151" s="1" t="s">
        <v>1285</v>
      </c>
      <c r="V151" s="4">
        <v>1</v>
      </c>
      <c r="W151" s="6">
        <v>9001</v>
      </c>
      <c r="X151" s="1" t="s">
        <v>983</v>
      </c>
      <c r="Y151" s="4">
        <v>4</v>
      </c>
      <c r="Z151" s="6">
        <v>2250.25</v>
      </c>
      <c r="AA151" s="1" t="s">
        <v>1307</v>
      </c>
      <c r="AB151" s="1" t="s">
        <v>540</v>
      </c>
      <c r="AC151" s="1" t="s">
        <v>1202</v>
      </c>
      <c r="AD151" s="1" t="s">
        <v>704</v>
      </c>
      <c r="AE151" s="1" t="s">
        <v>987</v>
      </c>
      <c r="AF151" s="6">
        <v>9000.52</v>
      </c>
      <c r="AG151" s="6">
        <v>2250.13</v>
      </c>
      <c r="AH151" s="1" t="s">
        <v>867</v>
      </c>
      <c r="AI151" s="6">
        <v>0.47999999999956344</v>
      </c>
      <c r="AJ151" s="6">
        <v>5.3327408065721966E-5</v>
      </c>
      <c r="AK151" s="1" t="s">
        <v>867</v>
      </c>
      <c r="AL151" s="1" t="s">
        <v>159</v>
      </c>
      <c r="AM151" s="1" t="s">
        <v>491</v>
      </c>
      <c r="AN151" s="1" t="s">
        <v>69</v>
      </c>
      <c r="AO151" s="6">
        <v>0.47999999999956344</v>
      </c>
      <c r="AP151" s="6">
        <v>5.3327408065721966E-5</v>
      </c>
      <c r="AQ151" s="2"/>
      <c r="AR151" s="7">
        <v>43389.447148854124</v>
      </c>
      <c r="AS151" s="5">
        <v>43391</v>
      </c>
      <c r="AT151" s="5">
        <v>43413</v>
      </c>
      <c r="AU151" s="1" t="s">
        <v>1287</v>
      </c>
      <c r="AV151" s="7">
        <v>43406.670286010289</v>
      </c>
      <c r="AW151" s="1" t="s">
        <v>165</v>
      </c>
      <c r="AX151" s="6">
        <v>9000.52</v>
      </c>
      <c r="AY151" s="5">
        <v>43388</v>
      </c>
      <c r="AZ151" s="5">
        <v>43404</v>
      </c>
      <c r="BA151" s="7">
        <v>43465</v>
      </c>
      <c r="BB151" s="1" t="s">
        <v>1310</v>
      </c>
      <c r="BC151" s="1"/>
      <c r="BD151" s="1" t="s">
        <v>901</v>
      </c>
    </row>
    <row r="152" spans="1:56" hidden="1" x14ac:dyDescent="0.25">
      <c r="A152" s="4">
        <v>147</v>
      </c>
      <c r="B152" s="2" t="str">
        <f>HYPERLINK("https://my.zakupki.prom.ua/remote/dispatcher/state_purchase_view/8495229", "UA-2018-10-09-000894-c")</f>
        <v>UA-2018-10-09-000894-c</v>
      </c>
      <c r="C152" s="2" t="s">
        <v>983</v>
      </c>
      <c r="D152" s="1" t="s">
        <v>780</v>
      </c>
      <c r="E152" s="1" t="s">
        <v>965</v>
      </c>
      <c r="F152" s="1" t="s">
        <v>288</v>
      </c>
      <c r="G152" s="1" t="s">
        <v>883</v>
      </c>
      <c r="H152" s="1" t="s">
        <v>987</v>
      </c>
      <c r="I152" s="1" t="s">
        <v>905</v>
      </c>
      <c r="J152" s="1" t="s">
        <v>158</v>
      </c>
      <c r="K152" s="1" t="s">
        <v>662</v>
      </c>
      <c r="L152" s="1" t="s">
        <v>1207</v>
      </c>
      <c r="M152" s="1" t="s">
        <v>147</v>
      </c>
      <c r="N152" s="1" t="s">
        <v>147</v>
      </c>
      <c r="O152" s="1" t="s">
        <v>147</v>
      </c>
      <c r="P152" s="5">
        <v>43382</v>
      </c>
      <c r="Q152" s="5">
        <v>43382</v>
      </c>
      <c r="R152" s="5">
        <v>43383</v>
      </c>
      <c r="S152" s="5">
        <v>43383</v>
      </c>
      <c r="T152" s="5">
        <v>43385</v>
      </c>
      <c r="U152" s="1" t="s">
        <v>1285</v>
      </c>
      <c r="V152" s="4">
        <v>0</v>
      </c>
      <c r="W152" s="6">
        <v>4903.96</v>
      </c>
      <c r="X152" s="1" t="s">
        <v>983</v>
      </c>
      <c r="Y152" s="4">
        <v>264</v>
      </c>
      <c r="Z152" s="6">
        <v>18.579999999999998</v>
      </c>
      <c r="AA152" s="1" t="s">
        <v>1318</v>
      </c>
      <c r="AB152" s="1" t="s">
        <v>540</v>
      </c>
      <c r="AC152" s="1" t="s">
        <v>1202</v>
      </c>
      <c r="AD152" s="1" t="s">
        <v>704</v>
      </c>
      <c r="AE152" s="1" t="s">
        <v>987</v>
      </c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2"/>
      <c r="AR152" s="1"/>
      <c r="AS152" s="1"/>
      <c r="AT152" s="1"/>
      <c r="AU152" s="1" t="s">
        <v>1288</v>
      </c>
      <c r="AV152" s="7">
        <v>43385.586379255095</v>
      </c>
      <c r="AW152" s="1"/>
      <c r="AX152" s="1"/>
      <c r="AY152" s="5">
        <v>43388</v>
      </c>
      <c r="AZ152" s="5">
        <v>43404</v>
      </c>
      <c r="BA152" s="1"/>
      <c r="BB152" s="1"/>
      <c r="BC152" s="1"/>
      <c r="BD152" s="1"/>
    </row>
    <row r="153" spans="1:56" hidden="1" x14ac:dyDescent="0.25">
      <c r="A153" s="4">
        <v>148</v>
      </c>
      <c r="B153" s="2" t="str">
        <f>HYPERLINK("https://my.zakupki.prom.ua/remote/dispatcher/state_purchase_view/8433635", "UA-2018-10-02-002414-c")</f>
        <v>UA-2018-10-02-002414-c</v>
      </c>
      <c r="C153" s="2" t="s">
        <v>983</v>
      </c>
      <c r="D153" s="1" t="s">
        <v>780</v>
      </c>
      <c r="E153" s="1" t="s">
        <v>965</v>
      </c>
      <c r="F153" s="1" t="s">
        <v>288</v>
      </c>
      <c r="G153" s="1" t="s">
        <v>883</v>
      </c>
      <c r="H153" s="1" t="s">
        <v>987</v>
      </c>
      <c r="I153" s="1" t="s">
        <v>905</v>
      </c>
      <c r="J153" s="1" t="s">
        <v>158</v>
      </c>
      <c r="K153" s="1" t="s">
        <v>662</v>
      </c>
      <c r="L153" s="1" t="s">
        <v>1207</v>
      </c>
      <c r="M153" s="1" t="s">
        <v>147</v>
      </c>
      <c r="N153" s="1" t="s">
        <v>147</v>
      </c>
      <c r="O153" s="1" t="s">
        <v>147</v>
      </c>
      <c r="P153" s="5">
        <v>43375</v>
      </c>
      <c r="Q153" s="5">
        <v>43375</v>
      </c>
      <c r="R153" s="5">
        <v>43376</v>
      </c>
      <c r="S153" s="5">
        <v>43376</v>
      </c>
      <c r="T153" s="5">
        <v>43378</v>
      </c>
      <c r="U153" s="1" t="s">
        <v>1285</v>
      </c>
      <c r="V153" s="4">
        <v>0</v>
      </c>
      <c r="W153" s="6">
        <v>4903.96</v>
      </c>
      <c r="X153" s="1" t="s">
        <v>983</v>
      </c>
      <c r="Y153" s="4">
        <v>264</v>
      </c>
      <c r="Z153" s="6">
        <v>18.579999999999998</v>
      </c>
      <c r="AA153" s="1" t="s">
        <v>1318</v>
      </c>
      <c r="AB153" s="1" t="s">
        <v>540</v>
      </c>
      <c r="AC153" s="1" t="s">
        <v>1202</v>
      </c>
      <c r="AD153" s="1" t="s">
        <v>704</v>
      </c>
      <c r="AE153" s="1" t="s">
        <v>987</v>
      </c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2"/>
      <c r="AR153" s="1"/>
      <c r="AS153" s="1"/>
      <c r="AT153" s="1"/>
      <c r="AU153" s="1" t="s">
        <v>1288</v>
      </c>
      <c r="AV153" s="7">
        <v>43378.87807994186</v>
      </c>
      <c r="AW153" s="1"/>
      <c r="AX153" s="1"/>
      <c r="AY153" s="5">
        <v>43382</v>
      </c>
      <c r="AZ153" s="5">
        <v>43392</v>
      </c>
      <c r="BA153" s="1"/>
      <c r="BB153" s="1"/>
      <c r="BC153" s="1"/>
      <c r="BD153" s="1"/>
    </row>
    <row r="154" spans="1:56" hidden="1" x14ac:dyDescent="0.25">
      <c r="A154" s="4">
        <v>149</v>
      </c>
      <c r="B154" s="2" t="str">
        <f>HYPERLINK("https://my.zakupki.prom.ua/remote/dispatcher/state_purchase_view/8433519", "UA-2018-10-02-002390-c")</f>
        <v>UA-2018-10-02-002390-c</v>
      </c>
      <c r="C154" s="2" t="s">
        <v>983</v>
      </c>
      <c r="D154" s="1" t="s">
        <v>716</v>
      </c>
      <c r="E154" s="1" t="s">
        <v>19</v>
      </c>
      <c r="F154" s="1" t="s">
        <v>322</v>
      </c>
      <c r="G154" s="1" t="s">
        <v>883</v>
      </c>
      <c r="H154" s="1" t="s">
        <v>987</v>
      </c>
      <c r="I154" s="1" t="s">
        <v>905</v>
      </c>
      <c r="J154" s="1" t="s">
        <v>158</v>
      </c>
      <c r="K154" s="1" t="s">
        <v>662</v>
      </c>
      <c r="L154" s="1" t="s">
        <v>1207</v>
      </c>
      <c r="M154" s="1" t="s">
        <v>176</v>
      </c>
      <c r="N154" s="1" t="s">
        <v>147</v>
      </c>
      <c r="O154" s="1" t="s">
        <v>147</v>
      </c>
      <c r="P154" s="5">
        <v>43375</v>
      </c>
      <c r="Q154" s="5">
        <v>43375</v>
      </c>
      <c r="R154" s="5">
        <v>43376</v>
      </c>
      <c r="S154" s="5">
        <v>43376</v>
      </c>
      <c r="T154" s="5">
        <v>43378</v>
      </c>
      <c r="U154" s="7">
        <v>43381.665312500001</v>
      </c>
      <c r="V154" s="4">
        <v>4</v>
      </c>
      <c r="W154" s="6">
        <v>7046</v>
      </c>
      <c r="X154" s="1" t="s">
        <v>983</v>
      </c>
      <c r="Y154" s="4">
        <v>188</v>
      </c>
      <c r="Z154" s="6">
        <v>37.479999999999997</v>
      </c>
      <c r="AA154" s="1" t="s">
        <v>1318</v>
      </c>
      <c r="AB154" s="1" t="s">
        <v>540</v>
      </c>
      <c r="AC154" s="1" t="s">
        <v>1202</v>
      </c>
      <c r="AD154" s="1" t="s">
        <v>704</v>
      </c>
      <c r="AE154" s="1" t="s">
        <v>987</v>
      </c>
      <c r="AF154" s="6">
        <v>5698.88</v>
      </c>
      <c r="AG154" s="6">
        <v>30.313191489361703</v>
      </c>
      <c r="AH154" s="1" t="s">
        <v>1142</v>
      </c>
      <c r="AI154" s="6">
        <v>1347.12</v>
      </c>
      <c r="AJ154" s="6">
        <v>0.19118932727788815</v>
      </c>
      <c r="AK154" s="1" t="s">
        <v>1142</v>
      </c>
      <c r="AL154" s="1" t="s">
        <v>441</v>
      </c>
      <c r="AM154" s="1" t="s">
        <v>550</v>
      </c>
      <c r="AN154" s="1" t="s">
        <v>92</v>
      </c>
      <c r="AO154" s="6">
        <v>1347.12</v>
      </c>
      <c r="AP154" s="6">
        <v>0.19118932727788815</v>
      </c>
      <c r="AQ154" s="2" t="str">
        <f>HYPERLINK("https://auction.openprocurement.org/tenders/78c802cc4b684155899bccdbd7097ae1")</f>
        <v>https://auction.openprocurement.org/tenders/78c802cc4b684155899bccdbd7097ae1</v>
      </c>
      <c r="AR154" s="7">
        <v>43382.48050317727</v>
      </c>
      <c r="AS154" s="5">
        <v>43384</v>
      </c>
      <c r="AT154" s="5">
        <v>43406</v>
      </c>
      <c r="AU154" s="1" t="s">
        <v>1287</v>
      </c>
      <c r="AV154" s="7">
        <v>43390.792920561791</v>
      </c>
      <c r="AW154" s="1" t="s">
        <v>462</v>
      </c>
      <c r="AX154" s="6">
        <v>5698.88</v>
      </c>
      <c r="AY154" s="5">
        <v>43382</v>
      </c>
      <c r="AZ154" s="5">
        <v>43392</v>
      </c>
      <c r="BA154" s="7">
        <v>43465</v>
      </c>
      <c r="BB154" s="1" t="s">
        <v>1310</v>
      </c>
      <c r="BC154" s="1"/>
      <c r="BD154" s="1" t="s">
        <v>901</v>
      </c>
    </row>
    <row r="155" spans="1:56" hidden="1" x14ac:dyDescent="0.25">
      <c r="A155" s="4">
        <v>150</v>
      </c>
      <c r="B155" s="2" t="str">
        <f>HYPERLINK("https://my.zakupki.prom.ua/remote/dispatcher/state_purchase_view/8433432", "UA-2018-10-02-002371-c")</f>
        <v>UA-2018-10-02-002371-c</v>
      </c>
      <c r="C155" s="2" t="s">
        <v>983</v>
      </c>
      <c r="D155" s="1" t="s">
        <v>916</v>
      </c>
      <c r="E155" s="1" t="s">
        <v>948</v>
      </c>
      <c r="F155" s="1" t="s">
        <v>324</v>
      </c>
      <c r="G155" s="1" t="s">
        <v>883</v>
      </c>
      <c r="H155" s="1" t="s">
        <v>987</v>
      </c>
      <c r="I155" s="1" t="s">
        <v>905</v>
      </c>
      <c r="J155" s="1" t="s">
        <v>158</v>
      </c>
      <c r="K155" s="1" t="s">
        <v>662</v>
      </c>
      <c r="L155" s="1" t="s">
        <v>1207</v>
      </c>
      <c r="M155" s="1" t="s">
        <v>147</v>
      </c>
      <c r="N155" s="1" t="s">
        <v>147</v>
      </c>
      <c r="O155" s="1" t="s">
        <v>147</v>
      </c>
      <c r="P155" s="5">
        <v>43375</v>
      </c>
      <c r="Q155" s="5">
        <v>43375</v>
      </c>
      <c r="R155" s="5">
        <v>43376</v>
      </c>
      <c r="S155" s="5">
        <v>43376</v>
      </c>
      <c r="T155" s="5">
        <v>43378</v>
      </c>
      <c r="U155" s="7">
        <v>43381.51803240741</v>
      </c>
      <c r="V155" s="4">
        <v>5</v>
      </c>
      <c r="W155" s="6">
        <v>8600</v>
      </c>
      <c r="X155" s="1" t="s">
        <v>983</v>
      </c>
      <c r="Y155" s="4">
        <v>2</v>
      </c>
      <c r="Z155" s="6">
        <v>4300</v>
      </c>
      <c r="AA155" s="1" t="s">
        <v>1318</v>
      </c>
      <c r="AB155" s="1" t="s">
        <v>540</v>
      </c>
      <c r="AC155" s="1" t="s">
        <v>1202</v>
      </c>
      <c r="AD155" s="1" t="s">
        <v>704</v>
      </c>
      <c r="AE155" s="1" t="s">
        <v>987</v>
      </c>
      <c r="AF155" s="6">
        <v>7587</v>
      </c>
      <c r="AG155" s="6">
        <v>3793.5</v>
      </c>
      <c r="AH155" s="1" t="s">
        <v>1229</v>
      </c>
      <c r="AI155" s="6">
        <v>1013</v>
      </c>
      <c r="AJ155" s="6">
        <v>0.1177906976744186</v>
      </c>
      <c r="AK155" s="1" t="s">
        <v>1229</v>
      </c>
      <c r="AL155" s="1" t="s">
        <v>329</v>
      </c>
      <c r="AM155" s="1" t="s">
        <v>555</v>
      </c>
      <c r="AN155" s="1" t="s">
        <v>52</v>
      </c>
      <c r="AO155" s="6">
        <v>1013</v>
      </c>
      <c r="AP155" s="6">
        <v>0.1177906976744186</v>
      </c>
      <c r="AQ155" s="2" t="str">
        <f>HYPERLINK("https://auction.openprocurement.org/tenders/fec61aec86714606928ef49ab47e38ca")</f>
        <v>https://auction.openprocurement.org/tenders/fec61aec86714606928ef49ab47e38ca</v>
      </c>
      <c r="AR155" s="7">
        <v>43382.478395500846</v>
      </c>
      <c r="AS155" s="5">
        <v>43384</v>
      </c>
      <c r="AT155" s="5">
        <v>43406</v>
      </c>
      <c r="AU155" s="1" t="s">
        <v>1287</v>
      </c>
      <c r="AV155" s="7">
        <v>43390.709983182453</v>
      </c>
      <c r="AW155" s="1" t="s">
        <v>459</v>
      </c>
      <c r="AX155" s="6">
        <v>7587</v>
      </c>
      <c r="AY155" s="5">
        <v>43382</v>
      </c>
      <c r="AZ155" s="5">
        <v>43392</v>
      </c>
      <c r="BA155" s="7">
        <v>43465</v>
      </c>
      <c r="BB155" s="1" t="s">
        <v>1310</v>
      </c>
      <c r="BC155" s="1"/>
      <c r="BD155" s="1" t="s">
        <v>901</v>
      </c>
    </row>
    <row r="156" spans="1:56" hidden="1" x14ac:dyDescent="0.25">
      <c r="A156" s="4">
        <v>151</v>
      </c>
      <c r="B156" s="2" t="str">
        <f>HYPERLINK("https://my.zakupki.prom.ua/remote/dispatcher/state_purchase_view/8433312", "UA-2018-10-02-002352-c")</f>
        <v>UA-2018-10-02-002352-c</v>
      </c>
      <c r="C156" s="2" t="s">
        <v>983</v>
      </c>
      <c r="D156" s="1" t="s">
        <v>762</v>
      </c>
      <c r="E156" s="1" t="s">
        <v>23</v>
      </c>
      <c r="F156" s="1" t="s">
        <v>283</v>
      </c>
      <c r="G156" s="1" t="s">
        <v>883</v>
      </c>
      <c r="H156" s="1" t="s">
        <v>987</v>
      </c>
      <c r="I156" s="1" t="s">
        <v>905</v>
      </c>
      <c r="J156" s="1" t="s">
        <v>158</v>
      </c>
      <c r="K156" s="1" t="s">
        <v>662</v>
      </c>
      <c r="L156" s="1" t="s">
        <v>1207</v>
      </c>
      <c r="M156" s="1" t="s">
        <v>147</v>
      </c>
      <c r="N156" s="1" t="s">
        <v>147</v>
      </c>
      <c r="O156" s="1" t="s">
        <v>147</v>
      </c>
      <c r="P156" s="5">
        <v>43375</v>
      </c>
      <c r="Q156" s="5">
        <v>43375</v>
      </c>
      <c r="R156" s="5">
        <v>43376</v>
      </c>
      <c r="S156" s="5">
        <v>43376</v>
      </c>
      <c r="T156" s="5">
        <v>43378</v>
      </c>
      <c r="U156" s="1" t="s">
        <v>1285</v>
      </c>
      <c r="V156" s="4">
        <v>1</v>
      </c>
      <c r="W156" s="6">
        <v>48176</v>
      </c>
      <c r="X156" s="1" t="s">
        <v>983</v>
      </c>
      <c r="Y156" s="4">
        <v>94</v>
      </c>
      <c r="Z156" s="6">
        <v>512.51</v>
      </c>
      <c r="AA156" s="1" t="s">
        <v>1318</v>
      </c>
      <c r="AB156" s="1" t="s">
        <v>540</v>
      </c>
      <c r="AC156" s="1" t="s">
        <v>1202</v>
      </c>
      <c r="AD156" s="1" t="s">
        <v>704</v>
      </c>
      <c r="AE156" s="1" t="s">
        <v>987</v>
      </c>
      <c r="AF156" s="6">
        <v>48170.2</v>
      </c>
      <c r="AG156" s="6">
        <v>512.44893617021273</v>
      </c>
      <c r="AH156" s="1" t="s">
        <v>1163</v>
      </c>
      <c r="AI156" s="6">
        <v>5.8000000000029104</v>
      </c>
      <c r="AJ156" s="6">
        <v>1.2039189638000063E-4</v>
      </c>
      <c r="AK156" s="1" t="s">
        <v>1163</v>
      </c>
      <c r="AL156" s="1" t="s">
        <v>202</v>
      </c>
      <c r="AM156" s="1" t="s">
        <v>620</v>
      </c>
      <c r="AN156" s="1" t="s">
        <v>41</v>
      </c>
      <c r="AO156" s="6">
        <v>5.8000000000029104</v>
      </c>
      <c r="AP156" s="6">
        <v>1.2039189638000063E-4</v>
      </c>
      <c r="AQ156" s="2"/>
      <c r="AR156" s="7">
        <v>43382.476935225379</v>
      </c>
      <c r="AS156" s="5">
        <v>43384</v>
      </c>
      <c r="AT156" s="5">
        <v>43406</v>
      </c>
      <c r="AU156" s="1" t="s">
        <v>1287</v>
      </c>
      <c r="AV156" s="7">
        <v>43390.7121706006</v>
      </c>
      <c r="AW156" s="1" t="s">
        <v>457</v>
      </c>
      <c r="AX156" s="6">
        <v>48170.2</v>
      </c>
      <c r="AY156" s="5">
        <v>43382</v>
      </c>
      <c r="AZ156" s="5">
        <v>43392</v>
      </c>
      <c r="BA156" s="7">
        <v>43465</v>
      </c>
      <c r="BB156" s="1" t="s">
        <v>1310</v>
      </c>
      <c r="BC156" s="1"/>
      <c r="BD156" s="1" t="s">
        <v>901</v>
      </c>
    </row>
    <row r="157" spans="1:56" hidden="1" x14ac:dyDescent="0.25">
      <c r="A157" s="4">
        <v>152</v>
      </c>
      <c r="B157" s="2" t="str">
        <f>HYPERLINK("https://my.zakupki.prom.ua/remote/dispatcher/state_purchase_view/8433196", "UA-2018-10-02-002335-c")</f>
        <v>UA-2018-10-02-002335-c</v>
      </c>
      <c r="C157" s="2" t="s">
        <v>983</v>
      </c>
      <c r="D157" s="1" t="s">
        <v>797</v>
      </c>
      <c r="E157" s="1" t="s">
        <v>658</v>
      </c>
      <c r="F157" s="1" t="s">
        <v>381</v>
      </c>
      <c r="G157" s="1" t="s">
        <v>883</v>
      </c>
      <c r="H157" s="1" t="s">
        <v>987</v>
      </c>
      <c r="I157" s="1" t="s">
        <v>905</v>
      </c>
      <c r="J157" s="1" t="s">
        <v>158</v>
      </c>
      <c r="K157" s="1" t="s">
        <v>662</v>
      </c>
      <c r="L157" s="1" t="s">
        <v>1207</v>
      </c>
      <c r="M157" s="1" t="s">
        <v>147</v>
      </c>
      <c r="N157" s="1" t="s">
        <v>147</v>
      </c>
      <c r="O157" s="1" t="s">
        <v>147</v>
      </c>
      <c r="P157" s="5">
        <v>43375</v>
      </c>
      <c r="Q157" s="5">
        <v>43375</v>
      </c>
      <c r="R157" s="5">
        <v>43376</v>
      </c>
      <c r="S157" s="5">
        <v>43376</v>
      </c>
      <c r="T157" s="5">
        <v>43378</v>
      </c>
      <c r="U157" s="1" t="s">
        <v>1285</v>
      </c>
      <c r="V157" s="4">
        <v>1</v>
      </c>
      <c r="W157" s="6">
        <v>5300</v>
      </c>
      <c r="X157" s="1" t="s">
        <v>983</v>
      </c>
      <c r="Y157" s="4">
        <v>4</v>
      </c>
      <c r="Z157" s="6">
        <v>1325</v>
      </c>
      <c r="AA157" s="1" t="s">
        <v>1301</v>
      </c>
      <c r="AB157" s="1" t="s">
        <v>540</v>
      </c>
      <c r="AC157" s="1" t="s">
        <v>1202</v>
      </c>
      <c r="AD157" s="1" t="s">
        <v>704</v>
      </c>
      <c r="AE157" s="1" t="s">
        <v>987</v>
      </c>
      <c r="AF157" s="6">
        <v>4700</v>
      </c>
      <c r="AG157" s="6">
        <v>1175</v>
      </c>
      <c r="AH157" s="1" t="s">
        <v>1255</v>
      </c>
      <c r="AI157" s="6">
        <v>600</v>
      </c>
      <c r="AJ157" s="6">
        <v>0.11320754716981132</v>
      </c>
      <c r="AK157" s="1" t="s">
        <v>1255</v>
      </c>
      <c r="AL157" s="1" t="s">
        <v>300</v>
      </c>
      <c r="AM157" s="1" t="s">
        <v>576</v>
      </c>
      <c r="AN157" s="1" t="s">
        <v>102</v>
      </c>
      <c r="AO157" s="6">
        <v>600</v>
      </c>
      <c r="AP157" s="6">
        <v>0.11320754716981132</v>
      </c>
      <c r="AQ157" s="2"/>
      <c r="AR157" s="7">
        <v>43382.475738157176</v>
      </c>
      <c r="AS157" s="5">
        <v>43384</v>
      </c>
      <c r="AT157" s="5">
        <v>43406</v>
      </c>
      <c r="AU157" s="1" t="s">
        <v>1287</v>
      </c>
      <c r="AV157" s="7">
        <v>43390.811622398163</v>
      </c>
      <c r="AW157" s="1" t="s">
        <v>466</v>
      </c>
      <c r="AX157" s="6">
        <v>4700</v>
      </c>
      <c r="AY157" s="5">
        <v>43382</v>
      </c>
      <c r="AZ157" s="5">
        <v>43392</v>
      </c>
      <c r="BA157" s="7">
        <v>43465</v>
      </c>
      <c r="BB157" s="1" t="s">
        <v>1310</v>
      </c>
      <c r="BC157" s="1"/>
      <c r="BD157" s="1" t="s">
        <v>901</v>
      </c>
    </row>
    <row r="158" spans="1:56" hidden="1" x14ac:dyDescent="0.25">
      <c r="A158" s="4">
        <v>153</v>
      </c>
      <c r="B158" s="2" t="str">
        <f>HYPERLINK("https://my.zakupki.prom.ua/remote/dispatcher/state_purchase_view/8433164", "UA-2018-10-02-002318-c")</f>
        <v>UA-2018-10-02-002318-c</v>
      </c>
      <c r="C158" s="2" t="s">
        <v>983</v>
      </c>
      <c r="D158" s="1" t="s">
        <v>843</v>
      </c>
      <c r="E158" s="1" t="s">
        <v>30</v>
      </c>
      <c r="F158" s="1" t="s">
        <v>381</v>
      </c>
      <c r="G158" s="1" t="s">
        <v>883</v>
      </c>
      <c r="H158" s="1" t="s">
        <v>987</v>
      </c>
      <c r="I158" s="1" t="s">
        <v>905</v>
      </c>
      <c r="J158" s="1" t="s">
        <v>158</v>
      </c>
      <c r="K158" s="1" t="s">
        <v>662</v>
      </c>
      <c r="L158" s="1" t="s">
        <v>1207</v>
      </c>
      <c r="M158" s="1" t="s">
        <v>147</v>
      </c>
      <c r="N158" s="1" t="s">
        <v>147</v>
      </c>
      <c r="O158" s="1" t="s">
        <v>147</v>
      </c>
      <c r="P158" s="5">
        <v>43375</v>
      </c>
      <c r="Q158" s="5">
        <v>43375</v>
      </c>
      <c r="R158" s="5">
        <v>43376</v>
      </c>
      <c r="S158" s="5">
        <v>43376</v>
      </c>
      <c r="T158" s="5">
        <v>43378</v>
      </c>
      <c r="U158" s="7">
        <v>43381.654004629629</v>
      </c>
      <c r="V158" s="4">
        <v>2</v>
      </c>
      <c r="W158" s="6">
        <v>5062.5</v>
      </c>
      <c r="X158" s="1" t="s">
        <v>983</v>
      </c>
      <c r="Y158" s="4">
        <v>2050</v>
      </c>
      <c r="Z158" s="6">
        <v>2.4700000000000002</v>
      </c>
      <c r="AA158" s="1" t="s">
        <v>1318</v>
      </c>
      <c r="AB158" s="1" t="s">
        <v>540</v>
      </c>
      <c r="AC158" s="1" t="s">
        <v>1202</v>
      </c>
      <c r="AD158" s="1" t="s">
        <v>704</v>
      </c>
      <c r="AE158" s="1" t="s">
        <v>987</v>
      </c>
      <c r="AF158" s="6">
        <v>2899</v>
      </c>
      <c r="AG158" s="6">
        <v>1.4141463414634146</v>
      </c>
      <c r="AH158" s="1" t="s">
        <v>1235</v>
      </c>
      <c r="AI158" s="6">
        <v>2163.5</v>
      </c>
      <c r="AJ158" s="6">
        <v>0.42735802469135803</v>
      </c>
      <c r="AK158" s="1" t="s">
        <v>1235</v>
      </c>
      <c r="AL158" s="1" t="s">
        <v>273</v>
      </c>
      <c r="AM158" s="1" t="s">
        <v>543</v>
      </c>
      <c r="AN158" s="1" t="s">
        <v>44</v>
      </c>
      <c r="AO158" s="6">
        <v>2163.5</v>
      </c>
      <c r="AP158" s="6">
        <v>0.42735802469135803</v>
      </c>
      <c r="AQ158" s="2" t="str">
        <f>HYPERLINK("https://auction.openprocurement.org/tenders/b7c8994f02c546ca86a66b6f71d57bc3")</f>
        <v>https://auction.openprocurement.org/tenders/b7c8994f02c546ca86a66b6f71d57bc3</v>
      </c>
      <c r="AR158" s="7">
        <v>43383.569461429477</v>
      </c>
      <c r="AS158" s="5">
        <v>43385</v>
      </c>
      <c r="AT158" s="5">
        <v>43406</v>
      </c>
      <c r="AU158" s="1" t="s">
        <v>1287</v>
      </c>
      <c r="AV158" s="7">
        <v>43390.708073013011</v>
      </c>
      <c r="AW158" s="1" t="s">
        <v>463</v>
      </c>
      <c r="AX158" s="6">
        <v>2899</v>
      </c>
      <c r="AY158" s="5">
        <v>43382</v>
      </c>
      <c r="AZ158" s="5">
        <v>43392</v>
      </c>
      <c r="BA158" s="7">
        <v>43465</v>
      </c>
      <c r="BB158" s="1" t="s">
        <v>1310</v>
      </c>
      <c r="BC158" s="1"/>
      <c r="BD158" s="1" t="s">
        <v>901</v>
      </c>
    </row>
    <row r="159" spans="1:56" hidden="1" x14ac:dyDescent="0.25">
      <c r="A159" s="4">
        <v>154</v>
      </c>
      <c r="B159" s="2" t="str">
        <f>HYPERLINK("https://my.zakupki.prom.ua/remote/dispatcher/state_purchase_view/8433053", "UA-2018-10-02-002297-c")</f>
        <v>UA-2018-10-02-002297-c</v>
      </c>
      <c r="C159" s="2" t="s">
        <v>983</v>
      </c>
      <c r="D159" s="1" t="s">
        <v>841</v>
      </c>
      <c r="E159" s="1" t="s">
        <v>1124</v>
      </c>
      <c r="F159" s="1" t="s">
        <v>381</v>
      </c>
      <c r="G159" s="1" t="s">
        <v>883</v>
      </c>
      <c r="H159" s="1" t="s">
        <v>987</v>
      </c>
      <c r="I159" s="1" t="s">
        <v>905</v>
      </c>
      <c r="J159" s="1" t="s">
        <v>158</v>
      </c>
      <c r="K159" s="1" t="s">
        <v>662</v>
      </c>
      <c r="L159" s="1" t="s">
        <v>1207</v>
      </c>
      <c r="M159" s="1" t="s">
        <v>147</v>
      </c>
      <c r="N159" s="1" t="s">
        <v>147</v>
      </c>
      <c r="O159" s="1" t="s">
        <v>147</v>
      </c>
      <c r="P159" s="5">
        <v>43375</v>
      </c>
      <c r="Q159" s="5">
        <v>43375</v>
      </c>
      <c r="R159" s="5">
        <v>43376</v>
      </c>
      <c r="S159" s="5">
        <v>43376</v>
      </c>
      <c r="T159" s="5">
        <v>43378</v>
      </c>
      <c r="U159" s="7">
        <v>43381.626481481479</v>
      </c>
      <c r="V159" s="4">
        <v>2</v>
      </c>
      <c r="W159" s="6">
        <v>4200</v>
      </c>
      <c r="X159" s="1" t="s">
        <v>983</v>
      </c>
      <c r="Y159" s="4">
        <v>10</v>
      </c>
      <c r="Z159" s="6">
        <v>420</v>
      </c>
      <c r="AA159" s="1" t="s">
        <v>1315</v>
      </c>
      <c r="AB159" s="1" t="s">
        <v>540</v>
      </c>
      <c r="AC159" s="1" t="s">
        <v>1202</v>
      </c>
      <c r="AD159" s="1" t="s">
        <v>704</v>
      </c>
      <c r="AE159" s="1" t="s">
        <v>987</v>
      </c>
      <c r="AF159" s="6">
        <v>3745</v>
      </c>
      <c r="AG159" s="6">
        <v>374.5</v>
      </c>
      <c r="AH159" s="1" t="s">
        <v>1189</v>
      </c>
      <c r="AI159" s="6">
        <v>455</v>
      </c>
      <c r="AJ159" s="6">
        <v>0.10833333333333334</v>
      </c>
      <c r="AK159" s="1" t="s">
        <v>1177</v>
      </c>
      <c r="AL159" s="1" t="s">
        <v>432</v>
      </c>
      <c r="AM159" s="1" t="s">
        <v>552</v>
      </c>
      <c r="AN159" s="1" t="s">
        <v>95</v>
      </c>
      <c r="AO159" s="6">
        <v>54</v>
      </c>
      <c r="AP159" s="6">
        <v>1.2857142857142857E-2</v>
      </c>
      <c r="AQ159" s="2" t="str">
        <f>HYPERLINK("https://auction.openprocurement.org/tenders/e01bc842e21a4b52a866d6c4ec3a91bd")</f>
        <v>https://auction.openprocurement.org/tenders/e01bc842e21a4b52a866d6c4ec3a91bd</v>
      </c>
      <c r="AR159" s="7">
        <v>43382.491446909095</v>
      </c>
      <c r="AS159" s="5">
        <v>43384</v>
      </c>
      <c r="AT159" s="5">
        <v>43406</v>
      </c>
      <c r="AU159" s="1" t="s">
        <v>1287</v>
      </c>
      <c r="AV159" s="7">
        <v>43390.713738717444</v>
      </c>
      <c r="AW159" s="1" t="s">
        <v>464</v>
      </c>
      <c r="AX159" s="6">
        <v>4146</v>
      </c>
      <c r="AY159" s="5">
        <v>43382</v>
      </c>
      <c r="AZ159" s="5">
        <v>43392</v>
      </c>
      <c r="BA159" s="7">
        <v>43465</v>
      </c>
      <c r="BB159" s="1" t="s">
        <v>1310</v>
      </c>
      <c r="BC159" s="1"/>
      <c r="BD159" s="1" t="s">
        <v>901</v>
      </c>
    </row>
    <row r="160" spans="1:56" hidden="1" x14ac:dyDescent="0.25">
      <c r="A160" s="4">
        <v>155</v>
      </c>
      <c r="B160" s="2" t="str">
        <f>HYPERLINK("https://my.zakupki.prom.ua/remote/dispatcher/state_purchase_view/8432994", "UA-2018-10-02-002276-c")</f>
        <v>UA-2018-10-02-002276-c</v>
      </c>
      <c r="C160" s="2" t="s">
        <v>983</v>
      </c>
      <c r="D160" s="1" t="s">
        <v>745</v>
      </c>
      <c r="E160" s="1" t="s">
        <v>657</v>
      </c>
      <c r="F160" s="1" t="s">
        <v>377</v>
      </c>
      <c r="G160" s="1" t="s">
        <v>883</v>
      </c>
      <c r="H160" s="1" t="s">
        <v>987</v>
      </c>
      <c r="I160" s="1" t="s">
        <v>905</v>
      </c>
      <c r="J160" s="1" t="s">
        <v>158</v>
      </c>
      <c r="K160" s="1" t="s">
        <v>662</v>
      </c>
      <c r="L160" s="1" t="s">
        <v>1207</v>
      </c>
      <c r="M160" s="1" t="s">
        <v>147</v>
      </c>
      <c r="N160" s="1" t="s">
        <v>147</v>
      </c>
      <c r="O160" s="1" t="s">
        <v>147</v>
      </c>
      <c r="P160" s="5">
        <v>43375</v>
      </c>
      <c r="Q160" s="5">
        <v>43375</v>
      </c>
      <c r="R160" s="5">
        <v>43376</v>
      </c>
      <c r="S160" s="5">
        <v>43376</v>
      </c>
      <c r="T160" s="5">
        <v>43378</v>
      </c>
      <c r="U160" s="7">
        <v>43381.55265046296</v>
      </c>
      <c r="V160" s="4">
        <v>2</v>
      </c>
      <c r="W160" s="6">
        <v>25482.05</v>
      </c>
      <c r="X160" s="1" t="s">
        <v>983</v>
      </c>
      <c r="Y160" s="4">
        <v>5</v>
      </c>
      <c r="Z160" s="6">
        <v>5096.41</v>
      </c>
      <c r="AA160" s="1" t="s">
        <v>1315</v>
      </c>
      <c r="AB160" s="1" t="s">
        <v>540</v>
      </c>
      <c r="AC160" s="1" t="s">
        <v>1202</v>
      </c>
      <c r="AD160" s="1" t="s">
        <v>704</v>
      </c>
      <c r="AE160" s="1" t="s">
        <v>987</v>
      </c>
      <c r="AF160" s="6">
        <v>25482.05</v>
      </c>
      <c r="AG160" s="6">
        <v>5096.41</v>
      </c>
      <c r="AH160" s="1" t="s">
        <v>1145</v>
      </c>
      <c r="AI160" s="1"/>
      <c r="AJ160" s="1"/>
      <c r="AK160" s="1" t="s">
        <v>1145</v>
      </c>
      <c r="AL160" s="1" t="s">
        <v>440</v>
      </c>
      <c r="AM160" s="1" t="s">
        <v>578</v>
      </c>
      <c r="AN160" s="1" t="s">
        <v>111</v>
      </c>
      <c r="AO160" s="1"/>
      <c r="AP160" s="1"/>
      <c r="AQ160" s="2" t="str">
        <f>HYPERLINK("https://auction.openprocurement.org/tenders/ccfa41f6442c4f50b0ddfc359aa4631c")</f>
        <v>https://auction.openprocurement.org/tenders/ccfa41f6442c4f50b0ddfc359aa4631c</v>
      </c>
      <c r="AR160" s="7">
        <v>43383.565129163428</v>
      </c>
      <c r="AS160" s="5">
        <v>43385</v>
      </c>
      <c r="AT160" s="5">
        <v>43406</v>
      </c>
      <c r="AU160" s="1" t="s">
        <v>1287</v>
      </c>
      <c r="AV160" s="7">
        <v>43390.670002933497</v>
      </c>
      <c r="AW160" s="1" t="s">
        <v>465</v>
      </c>
      <c r="AX160" s="6">
        <v>25482.05</v>
      </c>
      <c r="AY160" s="5">
        <v>43382</v>
      </c>
      <c r="AZ160" s="5">
        <v>43392</v>
      </c>
      <c r="BA160" s="7">
        <v>43496</v>
      </c>
      <c r="BB160" s="1" t="s">
        <v>1310</v>
      </c>
      <c r="BC160" s="1"/>
      <c r="BD160" s="1" t="s">
        <v>901</v>
      </c>
    </row>
    <row r="161" spans="1:56" hidden="1" x14ac:dyDescent="0.25">
      <c r="A161" s="4">
        <v>156</v>
      </c>
      <c r="B161" s="2" t="str">
        <f>HYPERLINK("https://my.zakupki.prom.ua/remote/dispatcher/state_purchase_view/8268128", "UA-2018-09-14-002401-c")</f>
        <v>UA-2018-09-14-002401-c</v>
      </c>
      <c r="C161" s="2" t="s">
        <v>983</v>
      </c>
      <c r="D161" s="1" t="s">
        <v>749</v>
      </c>
      <c r="E161" s="1" t="s">
        <v>10</v>
      </c>
      <c r="F161" s="1" t="s">
        <v>383</v>
      </c>
      <c r="G161" s="1" t="s">
        <v>883</v>
      </c>
      <c r="H161" s="1" t="s">
        <v>987</v>
      </c>
      <c r="I161" s="1" t="s">
        <v>905</v>
      </c>
      <c r="J161" s="1" t="s">
        <v>158</v>
      </c>
      <c r="K161" s="1" t="s">
        <v>662</v>
      </c>
      <c r="L161" s="1" t="s">
        <v>1207</v>
      </c>
      <c r="M161" s="1" t="s">
        <v>147</v>
      </c>
      <c r="N161" s="1" t="s">
        <v>147</v>
      </c>
      <c r="O161" s="1" t="s">
        <v>147</v>
      </c>
      <c r="P161" s="5">
        <v>43357</v>
      </c>
      <c r="Q161" s="5">
        <v>43357</v>
      </c>
      <c r="R161" s="5">
        <v>43360</v>
      </c>
      <c r="S161" s="5">
        <v>43360</v>
      </c>
      <c r="T161" s="5">
        <v>43361</v>
      </c>
      <c r="U161" s="1" t="s">
        <v>1285</v>
      </c>
      <c r="V161" s="4">
        <v>1</v>
      </c>
      <c r="W161" s="6">
        <v>3288</v>
      </c>
      <c r="X161" s="1" t="s">
        <v>983</v>
      </c>
      <c r="Y161" s="4">
        <v>16</v>
      </c>
      <c r="Z161" s="6">
        <v>205.5</v>
      </c>
      <c r="AA161" s="1" t="s">
        <v>1318</v>
      </c>
      <c r="AB161" s="1" t="s">
        <v>540</v>
      </c>
      <c r="AC161" s="1" t="s">
        <v>1202</v>
      </c>
      <c r="AD161" s="1" t="s">
        <v>704</v>
      </c>
      <c r="AE161" s="1" t="s">
        <v>987</v>
      </c>
      <c r="AF161" s="6">
        <v>3240</v>
      </c>
      <c r="AG161" s="6">
        <v>202.5</v>
      </c>
      <c r="AH161" s="1" t="s">
        <v>1215</v>
      </c>
      <c r="AI161" s="6">
        <v>48</v>
      </c>
      <c r="AJ161" s="6">
        <v>1.4598540145985401E-2</v>
      </c>
      <c r="AK161" s="1" t="s">
        <v>1215</v>
      </c>
      <c r="AL161" s="1" t="s">
        <v>403</v>
      </c>
      <c r="AM161" s="1" t="s">
        <v>587</v>
      </c>
      <c r="AN161" s="1" t="s">
        <v>418</v>
      </c>
      <c r="AO161" s="6">
        <v>48</v>
      </c>
      <c r="AP161" s="6">
        <v>1.4598540145985401E-2</v>
      </c>
      <c r="AQ161" s="2"/>
      <c r="AR161" s="7">
        <v>43362.408569919236</v>
      </c>
      <c r="AS161" s="5">
        <v>43364</v>
      </c>
      <c r="AT161" s="5">
        <v>43390</v>
      </c>
      <c r="AU161" s="1" t="s">
        <v>1287</v>
      </c>
      <c r="AV161" s="7">
        <v>43376.429355447173</v>
      </c>
      <c r="AW161" s="1" t="s">
        <v>249</v>
      </c>
      <c r="AX161" s="6">
        <v>3240</v>
      </c>
      <c r="AY161" s="5">
        <v>43362</v>
      </c>
      <c r="AZ161" s="5">
        <v>43363</v>
      </c>
      <c r="BA161" s="7">
        <v>43465</v>
      </c>
      <c r="BB161" s="1" t="s">
        <v>1310</v>
      </c>
      <c r="BC161" s="1"/>
      <c r="BD161" s="1" t="s">
        <v>901</v>
      </c>
    </row>
    <row r="162" spans="1:56" hidden="1" x14ac:dyDescent="0.25">
      <c r="A162" s="4">
        <v>157</v>
      </c>
      <c r="B162" s="2" t="str">
        <f>HYPERLINK("https://my.zakupki.prom.ua/remote/dispatcher/state_purchase_view/8267914", "UA-2018-09-14-002370-c")</f>
        <v>UA-2018-09-14-002370-c</v>
      </c>
      <c r="C162" s="2" t="s">
        <v>983</v>
      </c>
      <c r="D162" s="1" t="s">
        <v>719</v>
      </c>
      <c r="E162" s="1" t="s">
        <v>34</v>
      </c>
      <c r="F162" s="1" t="s">
        <v>279</v>
      </c>
      <c r="G162" s="1" t="s">
        <v>883</v>
      </c>
      <c r="H162" s="1" t="s">
        <v>987</v>
      </c>
      <c r="I162" s="1" t="s">
        <v>905</v>
      </c>
      <c r="J162" s="1" t="s">
        <v>158</v>
      </c>
      <c r="K162" s="1" t="s">
        <v>662</v>
      </c>
      <c r="L162" s="1" t="s">
        <v>1207</v>
      </c>
      <c r="M162" s="1" t="s">
        <v>147</v>
      </c>
      <c r="N162" s="1" t="s">
        <v>147</v>
      </c>
      <c r="O162" s="1" t="s">
        <v>147</v>
      </c>
      <c r="P162" s="5">
        <v>43357</v>
      </c>
      <c r="Q162" s="5">
        <v>43357</v>
      </c>
      <c r="R162" s="5">
        <v>43360</v>
      </c>
      <c r="S162" s="5">
        <v>43360</v>
      </c>
      <c r="T162" s="5">
        <v>43361</v>
      </c>
      <c r="U162" s="7">
        <v>43362.48332175926</v>
      </c>
      <c r="V162" s="4">
        <v>2</v>
      </c>
      <c r="W162" s="6">
        <v>5000</v>
      </c>
      <c r="X162" s="1" t="s">
        <v>983</v>
      </c>
      <c r="Y162" s="4">
        <v>20</v>
      </c>
      <c r="Z162" s="6">
        <v>250</v>
      </c>
      <c r="AA162" s="1" t="s">
        <v>1318</v>
      </c>
      <c r="AB162" s="1" t="s">
        <v>540</v>
      </c>
      <c r="AC162" s="1" t="s">
        <v>1202</v>
      </c>
      <c r="AD162" s="1" t="s">
        <v>704</v>
      </c>
      <c r="AE162" s="1" t="s">
        <v>987</v>
      </c>
      <c r="AF162" s="6">
        <v>3075</v>
      </c>
      <c r="AG162" s="6">
        <v>153.75</v>
      </c>
      <c r="AH162" s="1" t="s">
        <v>1212</v>
      </c>
      <c r="AI162" s="6">
        <v>1925</v>
      </c>
      <c r="AJ162" s="6">
        <v>0.38500000000000001</v>
      </c>
      <c r="AK162" s="1" t="s">
        <v>1212</v>
      </c>
      <c r="AL162" s="1" t="s">
        <v>429</v>
      </c>
      <c r="AM162" s="1" t="s">
        <v>628</v>
      </c>
      <c r="AN162" s="1"/>
      <c r="AO162" s="6">
        <v>1925</v>
      </c>
      <c r="AP162" s="6">
        <v>0.38500000000000001</v>
      </c>
      <c r="AQ162" s="2" t="str">
        <f>HYPERLINK("https://auction.openprocurement.org/tenders/b75de4399f2d4145882de91dbfa57689")</f>
        <v>https://auction.openprocurement.org/tenders/b75de4399f2d4145882de91dbfa57689</v>
      </c>
      <c r="AR162" s="7">
        <v>43367.434943918168</v>
      </c>
      <c r="AS162" s="5">
        <v>43369</v>
      </c>
      <c r="AT162" s="5">
        <v>43390</v>
      </c>
      <c r="AU162" s="1" t="s">
        <v>1287</v>
      </c>
      <c r="AV162" s="7">
        <v>43376.431748888353</v>
      </c>
      <c r="AW162" s="1" t="s">
        <v>400</v>
      </c>
      <c r="AX162" s="6">
        <v>3075</v>
      </c>
      <c r="AY162" s="5">
        <v>43362</v>
      </c>
      <c r="AZ162" s="5">
        <v>43363</v>
      </c>
      <c r="BA162" s="7">
        <v>43465</v>
      </c>
      <c r="BB162" s="1" t="s">
        <v>1310</v>
      </c>
      <c r="BC162" s="1"/>
      <c r="BD162" s="1" t="s">
        <v>901</v>
      </c>
    </row>
    <row r="163" spans="1:56" hidden="1" x14ac:dyDescent="0.25">
      <c r="A163" s="4">
        <v>158</v>
      </c>
      <c r="B163" s="2" t="str">
        <f>HYPERLINK("https://my.zakupki.prom.ua/remote/dispatcher/state_purchase_view/8266435", "UA-2018-09-14-002047-c")</f>
        <v>UA-2018-09-14-002047-c</v>
      </c>
      <c r="C163" s="2" t="s">
        <v>983</v>
      </c>
      <c r="D163" s="1" t="s">
        <v>738</v>
      </c>
      <c r="E163" s="1" t="s">
        <v>1118</v>
      </c>
      <c r="F163" s="1" t="s">
        <v>375</v>
      </c>
      <c r="G163" s="1" t="s">
        <v>883</v>
      </c>
      <c r="H163" s="1" t="s">
        <v>987</v>
      </c>
      <c r="I163" s="1" t="s">
        <v>905</v>
      </c>
      <c r="J163" s="1" t="s">
        <v>158</v>
      </c>
      <c r="K163" s="1" t="s">
        <v>662</v>
      </c>
      <c r="L163" s="1" t="s">
        <v>1207</v>
      </c>
      <c r="M163" s="1" t="s">
        <v>147</v>
      </c>
      <c r="N163" s="1" t="s">
        <v>147</v>
      </c>
      <c r="O163" s="1" t="s">
        <v>147</v>
      </c>
      <c r="P163" s="5">
        <v>43357</v>
      </c>
      <c r="Q163" s="5">
        <v>43357</v>
      </c>
      <c r="R163" s="5">
        <v>43360</v>
      </c>
      <c r="S163" s="5">
        <v>43360</v>
      </c>
      <c r="T163" s="5">
        <v>43361</v>
      </c>
      <c r="U163" s="1" t="s">
        <v>1285</v>
      </c>
      <c r="V163" s="4">
        <v>0</v>
      </c>
      <c r="W163" s="6">
        <v>5475</v>
      </c>
      <c r="X163" s="1" t="s">
        <v>983</v>
      </c>
      <c r="Y163" s="4">
        <v>225</v>
      </c>
      <c r="Z163" s="6">
        <v>24.33</v>
      </c>
      <c r="AA163" s="1" t="s">
        <v>1318</v>
      </c>
      <c r="AB163" s="1" t="s">
        <v>540</v>
      </c>
      <c r="AC163" s="1" t="s">
        <v>1202</v>
      </c>
      <c r="AD163" s="1" t="s">
        <v>704</v>
      </c>
      <c r="AE163" s="1" t="s">
        <v>987</v>
      </c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2"/>
      <c r="AR163" s="1"/>
      <c r="AS163" s="1"/>
      <c r="AT163" s="1"/>
      <c r="AU163" s="1" t="s">
        <v>1288</v>
      </c>
      <c r="AV163" s="7">
        <v>43361.667454999457</v>
      </c>
      <c r="AW163" s="1"/>
      <c r="AX163" s="1"/>
      <c r="AY163" s="5">
        <v>43361</v>
      </c>
      <c r="AZ163" s="5">
        <v>43363</v>
      </c>
      <c r="BA163" s="1"/>
      <c r="BB163" s="1"/>
      <c r="BC163" s="1"/>
      <c r="BD163" s="1"/>
    </row>
    <row r="164" spans="1:56" hidden="1" x14ac:dyDescent="0.25">
      <c r="A164" s="4">
        <v>159</v>
      </c>
      <c r="B164" s="2" t="str">
        <f>HYPERLINK("https://my.zakupki.prom.ua/remote/dispatcher/state_purchase_view/8226314", "UA-2018-09-11-002341-c")</f>
        <v>UA-2018-09-11-002341-c</v>
      </c>
      <c r="C164" s="2" t="s">
        <v>983</v>
      </c>
      <c r="D164" s="1" t="s">
        <v>738</v>
      </c>
      <c r="E164" s="1" t="s">
        <v>1118</v>
      </c>
      <c r="F164" s="1" t="s">
        <v>375</v>
      </c>
      <c r="G164" s="1" t="s">
        <v>883</v>
      </c>
      <c r="H164" s="1" t="s">
        <v>987</v>
      </c>
      <c r="I164" s="1" t="s">
        <v>905</v>
      </c>
      <c r="J164" s="1" t="s">
        <v>158</v>
      </c>
      <c r="K164" s="1" t="s">
        <v>662</v>
      </c>
      <c r="L164" s="1" t="s">
        <v>1207</v>
      </c>
      <c r="M164" s="1" t="s">
        <v>147</v>
      </c>
      <c r="N164" s="1" t="s">
        <v>147</v>
      </c>
      <c r="O164" s="1" t="s">
        <v>147</v>
      </c>
      <c r="P164" s="5">
        <v>43354</v>
      </c>
      <c r="Q164" s="5">
        <v>43354</v>
      </c>
      <c r="R164" s="5">
        <v>43355</v>
      </c>
      <c r="S164" s="5">
        <v>43355</v>
      </c>
      <c r="T164" s="5">
        <v>43356</v>
      </c>
      <c r="U164" s="1" t="s">
        <v>1285</v>
      </c>
      <c r="V164" s="4">
        <v>0</v>
      </c>
      <c r="W164" s="6">
        <v>5120</v>
      </c>
      <c r="X164" s="1" t="s">
        <v>983</v>
      </c>
      <c r="Y164" s="4">
        <v>225</v>
      </c>
      <c r="Z164" s="6">
        <v>22.76</v>
      </c>
      <c r="AA164" s="1" t="s">
        <v>1318</v>
      </c>
      <c r="AB164" s="1" t="s">
        <v>540</v>
      </c>
      <c r="AC164" s="1" t="s">
        <v>1202</v>
      </c>
      <c r="AD164" s="1" t="s">
        <v>704</v>
      </c>
      <c r="AE164" s="1" t="s">
        <v>987</v>
      </c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2"/>
      <c r="AR164" s="1"/>
      <c r="AS164" s="1"/>
      <c r="AT164" s="1"/>
      <c r="AU164" s="1" t="s">
        <v>1288</v>
      </c>
      <c r="AV164" s="7">
        <v>43356.671228073152</v>
      </c>
      <c r="AW164" s="1"/>
      <c r="AX164" s="1"/>
      <c r="AY164" s="5">
        <v>43360</v>
      </c>
      <c r="AZ164" s="5">
        <v>43363</v>
      </c>
      <c r="BA164" s="1"/>
      <c r="BB164" s="1"/>
      <c r="BC164" s="1"/>
      <c r="BD164" s="1"/>
    </row>
    <row r="165" spans="1:56" hidden="1" x14ac:dyDescent="0.25">
      <c r="A165" s="4">
        <v>160</v>
      </c>
      <c r="B165" s="2" t="str">
        <f>HYPERLINK("https://my.zakupki.prom.ua/remote/dispatcher/state_purchase_view/8226044", "UA-2018-09-11-002295-c")</f>
        <v>UA-2018-09-11-002295-c</v>
      </c>
      <c r="C165" s="2" t="s">
        <v>983</v>
      </c>
      <c r="D165" s="1" t="s">
        <v>725</v>
      </c>
      <c r="E165" s="1" t="s">
        <v>725</v>
      </c>
      <c r="F165" s="1" t="s">
        <v>355</v>
      </c>
      <c r="G165" s="1" t="s">
        <v>883</v>
      </c>
      <c r="H165" s="1" t="s">
        <v>987</v>
      </c>
      <c r="I165" s="1" t="s">
        <v>905</v>
      </c>
      <c r="J165" s="1" t="s">
        <v>158</v>
      </c>
      <c r="K165" s="1" t="s">
        <v>662</v>
      </c>
      <c r="L165" s="1" t="s">
        <v>1207</v>
      </c>
      <c r="M165" s="1" t="s">
        <v>147</v>
      </c>
      <c r="N165" s="1" t="s">
        <v>147</v>
      </c>
      <c r="O165" s="1" t="s">
        <v>147</v>
      </c>
      <c r="P165" s="5">
        <v>43354</v>
      </c>
      <c r="Q165" s="5">
        <v>43354</v>
      </c>
      <c r="R165" s="5">
        <v>43355</v>
      </c>
      <c r="S165" s="5">
        <v>43355</v>
      </c>
      <c r="T165" s="5">
        <v>43356</v>
      </c>
      <c r="U165" s="7">
        <v>43357.510729166665</v>
      </c>
      <c r="V165" s="4">
        <v>2</v>
      </c>
      <c r="W165" s="6">
        <v>4849</v>
      </c>
      <c r="X165" s="1" t="s">
        <v>983</v>
      </c>
      <c r="Y165" s="4">
        <v>3000</v>
      </c>
      <c r="Z165" s="6">
        <v>1.62</v>
      </c>
      <c r="AA165" s="1" t="s">
        <v>1305</v>
      </c>
      <c r="AB165" s="1" t="s">
        <v>540</v>
      </c>
      <c r="AC165" s="1" t="s">
        <v>1202</v>
      </c>
      <c r="AD165" s="1" t="s">
        <v>704</v>
      </c>
      <c r="AE165" s="1" t="s">
        <v>987</v>
      </c>
      <c r="AF165" s="6">
        <v>3810</v>
      </c>
      <c r="AG165" s="6">
        <v>1.27</v>
      </c>
      <c r="AH165" s="1" t="s">
        <v>1146</v>
      </c>
      <c r="AI165" s="6">
        <v>1039</v>
      </c>
      <c r="AJ165" s="6">
        <v>0.21427098370798103</v>
      </c>
      <c r="AK165" s="1" t="s">
        <v>1146</v>
      </c>
      <c r="AL165" s="1" t="s">
        <v>438</v>
      </c>
      <c r="AM165" s="1" t="s">
        <v>558</v>
      </c>
      <c r="AN165" s="1" t="s">
        <v>139</v>
      </c>
      <c r="AO165" s="6">
        <v>1039</v>
      </c>
      <c r="AP165" s="6">
        <v>0.21427098370798103</v>
      </c>
      <c r="AQ165" s="2" t="str">
        <f>HYPERLINK("https://auction.openprocurement.org/tenders/b57facda1011409583443adf03c6ecc6")</f>
        <v>https://auction.openprocurement.org/tenders/b57facda1011409583443adf03c6ecc6</v>
      </c>
      <c r="AR165" s="7">
        <v>43357.579990976192</v>
      </c>
      <c r="AS165" s="5">
        <v>43361</v>
      </c>
      <c r="AT165" s="5">
        <v>43385</v>
      </c>
      <c r="AU165" s="1" t="s">
        <v>1287</v>
      </c>
      <c r="AV165" s="7">
        <v>43376.443550832766</v>
      </c>
      <c r="AW165" s="1" t="s">
        <v>395</v>
      </c>
      <c r="AX165" s="6">
        <v>3810</v>
      </c>
      <c r="AY165" s="5">
        <v>43360</v>
      </c>
      <c r="AZ165" s="5">
        <v>43363</v>
      </c>
      <c r="BA165" s="7">
        <v>43465</v>
      </c>
      <c r="BB165" s="1" t="s">
        <v>1310</v>
      </c>
      <c r="BC165" s="1"/>
      <c r="BD165" s="1" t="s">
        <v>901</v>
      </c>
    </row>
    <row r="166" spans="1:56" hidden="1" x14ac:dyDescent="0.25">
      <c r="A166" s="4">
        <v>161</v>
      </c>
      <c r="B166" s="2" t="str">
        <f>HYPERLINK("https://my.zakupki.prom.ua/remote/dispatcher/state_purchase_view/8169403", "UA-2018-09-05-001366-a")</f>
        <v>UA-2018-09-05-001366-a</v>
      </c>
      <c r="C166" s="2" t="s">
        <v>983</v>
      </c>
      <c r="D166" s="1" t="s">
        <v>724</v>
      </c>
      <c r="E166" s="1" t="s">
        <v>35</v>
      </c>
      <c r="F166" s="1" t="s">
        <v>279</v>
      </c>
      <c r="G166" s="1" t="s">
        <v>883</v>
      </c>
      <c r="H166" s="1" t="s">
        <v>987</v>
      </c>
      <c r="I166" s="1" t="s">
        <v>905</v>
      </c>
      <c r="J166" s="1" t="s">
        <v>158</v>
      </c>
      <c r="K166" s="1" t="s">
        <v>662</v>
      </c>
      <c r="L166" s="1" t="s">
        <v>1207</v>
      </c>
      <c r="M166" s="1" t="s">
        <v>147</v>
      </c>
      <c r="N166" s="1" t="s">
        <v>147</v>
      </c>
      <c r="O166" s="1" t="s">
        <v>176</v>
      </c>
      <c r="P166" s="5">
        <v>43348</v>
      </c>
      <c r="Q166" s="5">
        <v>43348</v>
      </c>
      <c r="R166" s="5">
        <v>43350</v>
      </c>
      <c r="S166" s="5">
        <v>43350</v>
      </c>
      <c r="T166" s="5">
        <v>43354</v>
      </c>
      <c r="U166" s="1" t="s">
        <v>1285</v>
      </c>
      <c r="V166" s="4">
        <v>2</v>
      </c>
      <c r="W166" s="6">
        <v>7900</v>
      </c>
      <c r="X166" s="1" t="s">
        <v>983</v>
      </c>
      <c r="Y166" s="4">
        <v>36</v>
      </c>
      <c r="Z166" s="6">
        <v>219.44</v>
      </c>
      <c r="AA166" s="1" t="s">
        <v>1318</v>
      </c>
      <c r="AB166" s="1" t="s">
        <v>540</v>
      </c>
      <c r="AC166" s="1" t="s">
        <v>1202</v>
      </c>
      <c r="AD166" s="1" t="s">
        <v>704</v>
      </c>
      <c r="AE166" s="1" t="s">
        <v>987</v>
      </c>
      <c r="AF166" s="6">
        <v>6500</v>
      </c>
      <c r="AG166" s="6">
        <v>180.55555555555554</v>
      </c>
      <c r="AH166" s="1" t="s">
        <v>1212</v>
      </c>
      <c r="AI166" s="6">
        <v>1400</v>
      </c>
      <c r="AJ166" s="6">
        <v>0.17721518987341772</v>
      </c>
      <c r="AK166" s="1" t="s">
        <v>1212</v>
      </c>
      <c r="AL166" s="1" t="s">
        <v>429</v>
      </c>
      <c r="AM166" s="1" t="s">
        <v>628</v>
      </c>
      <c r="AN166" s="1"/>
      <c r="AO166" s="6">
        <v>1400</v>
      </c>
      <c r="AP166" s="6">
        <v>0.17721518987341772</v>
      </c>
      <c r="AQ166" s="2" t="str">
        <f>HYPERLINK("https://auction.openprocurement.org/tenders/df47ae28069c40eebfafb0ef0bc42b7e")</f>
        <v>https://auction.openprocurement.org/tenders/df47ae28069c40eebfafb0ef0bc42b7e</v>
      </c>
      <c r="AR166" s="7">
        <v>43356.658160487219</v>
      </c>
      <c r="AS166" s="1"/>
      <c r="AT166" s="1"/>
      <c r="AU166" s="1" t="s">
        <v>1312</v>
      </c>
      <c r="AV166" s="7">
        <v>43357.561873522485</v>
      </c>
      <c r="AW166" s="1"/>
      <c r="AX166" s="6">
        <v>6500</v>
      </c>
      <c r="AY166" s="5">
        <v>43356</v>
      </c>
      <c r="AZ166" s="5">
        <v>43363</v>
      </c>
      <c r="BA166" s="1"/>
      <c r="BB166" s="1" t="s">
        <v>1303</v>
      </c>
      <c r="BC166" s="1" t="s">
        <v>1219</v>
      </c>
      <c r="BD166" s="1"/>
    </row>
    <row r="167" spans="1:56" hidden="1" x14ac:dyDescent="0.25">
      <c r="A167" s="4">
        <v>162</v>
      </c>
      <c r="B167" s="2" t="str">
        <f>HYPERLINK("https://my.zakupki.prom.ua/remote/dispatcher/state_purchase_view/8169200", "UA-2018-09-05-001334-a")</f>
        <v>UA-2018-09-05-001334-a</v>
      </c>
      <c r="C167" s="2" t="s">
        <v>983</v>
      </c>
      <c r="D167" s="1" t="s">
        <v>722</v>
      </c>
      <c r="E167" s="1" t="s">
        <v>967</v>
      </c>
      <c r="F167" s="1" t="s">
        <v>279</v>
      </c>
      <c r="G167" s="1" t="s">
        <v>883</v>
      </c>
      <c r="H167" s="1" t="s">
        <v>987</v>
      </c>
      <c r="I167" s="1" t="s">
        <v>905</v>
      </c>
      <c r="J167" s="1" t="s">
        <v>158</v>
      </c>
      <c r="K167" s="1" t="s">
        <v>662</v>
      </c>
      <c r="L167" s="1" t="s">
        <v>1207</v>
      </c>
      <c r="M167" s="1" t="s">
        <v>176</v>
      </c>
      <c r="N167" s="1" t="s">
        <v>147</v>
      </c>
      <c r="O167" s="1" t="s">
        <v>176</v>
      </c>
      <c r="P167" s="5">
        <v>43348</v>
      </c>
      <c r="Q167" s="5">
        <v>43348</v>
      </c>
      <c r="R167" s="5">
        <v>43350</v>
      </c>
      <c r="S167" s="5">
        <v>43350</v>
      </c>
      <c r="T167" s="5">
        <v>43354</v>
      </c>
      <c r="U167" s="7">
        <v>43355.600266203706</v>
      </c>
      <c r="V167" s="4">
        <v>2</v>
      </c>
      <c r="W167" s="6">
        <v>4650</v>
      </c>
      <c r="X167" s="1" t="s">
        <v>983</v>
      </c>
      <c r="Y167" s="4">
        <v>30</v>
      </c>
      <c r="Z167" s="6">
        <v>155</v>
      </c>
      <c r="AA167" s="1" t="s">
        <v>1318</v>
      </c>
      <c r="AB167" s="1" t="s">
        <v>540</v>
      </c>
      <c r="AC167" s="1" t="s">
        <v>1202</v>
      </c>
      <c r="AD167" s="1" t="s">
        <v>704</v>
      </c>
      <c r="AE167" s="1" t="s">
        <v>987</v>
      </c>
      <c r="AF167" s="6">
        <v>3150</v>
      </c>
      <c r="AG167" s="6">
        <v>105</v>
      </c>
      <c r="AH167" s="1" t="s">
        <v>1212</v>
      </c>
      <c r="AI167" s="6">
        <v>1500</v>
      </c>
      <c r="AJ167" s="6">
        <v>0.32258064516129031</v>
      </c>
      <c r="AK167" s="1" t="s">
        <v>1212</v>
      </c>
      <c r="AL167" s="1" t="s">
        <v>429</v>
      </c>
      <c r="AM167" s="1" t="s">
        <v>628</v>
      </c>
      <c r="AN167" s="1"/>
      <c r="AO167" s="6">
        <v>1500</v>
      </c>
      <c r="AP167" s="6">
        <v>0.32258064516129031</v>
      </c>
      <c r="AQ167" s="2" t="str">
        <f>HYPERLINK("https://auction.openprocurement.org/tenders/0c9b16f047384c059c0c39f68878551a")</f>
        <v>https://auction.openprocurement.org/tenders/0c9b16f047384c059c0c39f68878551a</v>
      </c>
      <c r="AR167" s="7">
        <v>43355.645489423492</v>
      </c>
      <c r="AS167" s="5">
        <v>43357</v>
      </c>
      <c r="AT167" s="5">
        <v>43380</v>
      </c>
      <c r="AU167" s="1" t="s">
        <v>1287</v>
      </c>
      <c r="AV167" s="7">
        <v>43360.689663501282</v>
      </c>
      <c r="AW167" s="1" t="s">
        <v>386</v>
      </c>
      <c r="AX167" s="6">
        <v>3150</v>
      </c>
      <c r="AY167" s="5">
        <v>43355</v>
      </c>
      <c r="AZ167" s="5">
        <v>43363</v>
      </c>
      <c r="BA167" s="7">
        <v>43465</v>
      </c>
      <c r="BB167" s="1" t="s">
        <v>1310</v>
      </c>
      <c r="BC167" s="1"/>
      <c r="BD167" s="1" t="s">
        <v>901</v>
      </c>
    </row>
    <row r="168" spans="1:56" hidden="1" x14ac:dyDescent="0.25">
      <c r="A168" s="4">
        <v>163</v>
      </c>
      <c r="B168" s="2" t="str">
        <f>HYPERLINK("https://my.zakupki.prom.ua/remote/dispatcher/state_purchase_view/8168744", "UA-2018-09-05-001248-a")</f>
        <v>UA-2018-09-05-001248-a</v>
      </c>
      <c r="C168" s="2" t="s">
        <v>983</v>
      </c>
      <c r="D168" s="1" t="s">
        <v>734</v>
      </c>
      <c r="E168" s="1" t="s">
        <v>1087</v>
      </c>
      <c r="F168" s="1" t="s">
        <v>375</v>
      </c>
      <c r="G168" s="1" t="s">
        <v>883</v>
      </c>
      <c r="H168" s="1" t="s">
        <v>987</v>
      </c>
      <c r="I168" s="1" t="s">
        <v>905</v>
      </c>
      <c r="J168" s="1" t="s">
        <v>158</v>
      </c>
      <c r="K168" s="1" t="s">
        <v>662</v>
      </c>
      <c r="L168" s="1" t="s">
        <v>1207</v>
      </c>
      <c r="M168" s="1" t="s">
        <v>147</v>
      </c>
      <c r="N168" s="1" t="s">
        <v>147</v>
      </c>
      <c r="O168" s="1" t="s">
        <v>147</v>
      </c>
      <c r="P168" s="5">
        <v>43348</v>
      </c>
      <c r="Q168" s="5">
        <v>43348</v>
      </c>
      <c r="R168" s="5">
        <v>43350</v>
      </c>
      <c r="S168" s="5">
        <v>43350</v>
      </c>
      <c r="T168" s="5">
        <v>43354</v>
      </c>
      <c r="U168" s="1" t="s">
        <v>1285</v>
      </c>
      <c r="V168" s="4">
        <v>0</v>
      </c>
      <c r="W168" s="6">
        <v>9969</v>
      </c>
      <c r="X168" s="1" t="s">
        <v>983</v>
      </c>
      <c r="Y168" s="4">
        <v>4</v>
      </c>
      <c r="Z168" s="6">
        <v>2492.25</v>
      </c>
      <c r="AA168" s="1" t="s">
        <v>1318</v>
      </c>
      <c r="AB168" s="1" t="s">
        <v>540</v>
      </c>
      <c r="AC168" s="1" t="s">
        <v>1202</v>
      </c>
      <c r="AD168" s="1" t="s">
        <v>704</v>
      </c>
      <c r="AE168" s="1" t="s">
        <v>987</v>
      </c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2"/>
      <c r="AR168" s="1"/>
      <c r="AS168" s="1"/>
      <c r="AT168" s="1"/>
      <c r="AU168" s="1" t="s">
        <v>1288</v>
      </c>
      <c r="AV168" s="7">
        <v>43354.586771995659</v>
      </c>
      <c r="AW168" s="1"/>
      <c r="AX168" s="1"/>
      <c r="AY168" s="5">
        <v>43356</v>
      </c>
      <c r="AZ168" s="5">
        <v>43363</v>
      </c>
      <c r="BA168" s="1"/>
      <c r="BB168" s="1"/>
      <c r="BC168" s="1"/>
      <c r="BD168" s="1"/>
    </row>
    <row r="169" spans="1:56" hidden="1" x14ac:dyDescent="0.25">
      <c r="A169" s="4">
        <v>164</v>
      </c>
      <c r="B169" s="2" t="str">
        <f>HYPERLINK("https://my.zakupki.prom.ua/remote/dispatcher/state_purchase_view/7862988", "UA-2018-08-01-000018-b")</f>
        <v>UA-2018-08-01-000018-b</v>
      </c>
      <c r="C169" s="2" t="s">
        <v>983</v>
      </c>
      <c r="D169" s="1" t="s">
        <v>787</v>
      </c>
      <c r="E169" s="1" t="s">
        <v>1086</v>
      </c>
      <c r="F169" s="1" t="s">
        <v>355</v>
      </c>
      <c r="G169" s="1" t="s">
        <v>883</v>
      </c>
      <c r="H169" s="1" t="s">
        <v>987</v>
      </c>
      <c r="I169" s="1" t="s">
        <v>905</v>
      </c>
      <c r="J169" s="1" t="s">
        <v>158</v>
      </c>
      <c r="K169" s="1" t="s">
        <v>662</v>
      </c>
      <c r="L169" s="1" t="s">
        <v>1207</v>
      </c>
      <c r="M169" s="1" t="s">
        <v>147</v>
      </c>
      <c r="N169" s="1" t="s">
        <v>147</v>
      </c>
      <c r="O169" s="1" t="s">
        <v>147</v>
      </c>
      <c r="P169" s="5">
        <v>43313</v>
      </c>
      <c r="Q169" s="5">
        <v>43313</v>
      </c>
      <c r="R169" s="5">
        <v>43314</v>
      </c>
      <c r="S169" s="5">
        <v>43314</v>
      </c>
      <c r="T169" s="5">
        <v>43318</v>
      </c>
      <c r="U169" s="7">
        <v>43319.556921296295</v>
      </c>
      <c r="V169" s="4">
        <v>3</v>
      </c>
      <c r="W169" s="6">
        <v>3100</v>
      </c>
      <c r="X169" s="1" t="s">
        <v>983</v>
      </c>
      <c r="Y169" s="4">
        <v>1600</v>
      </c>
      <c r="Z169" s="6">
        <v>1.94</v>
      </c>
      <c r="AA169" s="1" t="s">
        <v>1318</v>
      </c>
      <c r="AB169" s="1" t="s">
        <v>540</v>
      </c>
      <c r="AC169" s="1" t="s">
        <v>1202</v>
      </c>
      <c r="AD169" s="1" t="s">
        <v>704</v>
      </c>
      <c r="AE169" s="1" t="s">
        <v>987</v>
      </c>
      <c r="AF169" s="6">
        <v>2172</v>
      </c>
      <c r="AG169" s="6">
        <v>1.3574999999999999</v>
      </c>
      <c r="AH169" s="1" t="s">
        <v>1195</v>
      </c>
      <c r="AI169" s="6">
        <v>928</v>
      </c>
      <c r="AJ169" s="6">
        <v>0.29935483870967744</v>
      </c>
      <c r="AK169" s="1" t="s">
        <v>1195</v>
      </c>
      <c r="AL169" s="1" t="s">
        <v>428</v>
      </c>
      <c r="AM169" s="1" t="s">
        <v>600</v>
      </c>
      <c r="AN169" s="1" t="s">
        <v>77</v>
      </c>
      <c r="AO169" s="6">
        <v>928</v>
      </c>
      <c r="AP169" s="6">
        <v>0.29935483870967744</v>
      </c>
      <c r="AQ169" s="2" t="str">
        <f>HYPERLINK("https://auction.openprocurement.org/tenders/4e2253bf4df041a8ba21b43b393a29dd")</f>
        <v>https://auction.openprocurement.org/tenders/4e2253bf4df041a8ba21b43b393a29dd</v>
      </c>
      <c r="AR169" s="7">
        <v>43320.521518191403</v>
      </c>
      <c r="AS169" s="5">
        <v>43322</v>
      </c>
      <c r="AT169" s="5">
        <v>43344</v>
      </c>
      <c r="AU169" s="1" t="s">
        <v>1287</v>
      </c>
      <c r="AV169" s="7">
        <v>43326.531070322293</v>
      </c>
      <c r="AW169" s="1" t="s">
        <v>250</v>
      </c>
      <c r="AX169" s="6">
        <v>2172</v>
      </c>
      <c r="AY169" s="5">
        <v>43320</v>
      </c>
      <c r="AZ169" s="5">
        <v>43332</v>
      </c>
      <c r="BA169" s="7">
        <v>43465</v>
      </c>
      <c r="BB169" s="1" t="s">
        <v>1310</v>
      </c>
      <c r="BC169" s="1"/>
      <c r="BD169" s="1" t="s">
        <v>901</v>
      </c>
    </row>
    <row r="170" spans="1:56" hidden="1" x14ac:dyDescent="0.25">
      <c r="A170" s="4">
        <v>165</v>
      </c>
      <c r="B170" s="2" t="str">
        <f>HYPERLINK("https://my.zakupki.prom.ua/remote/dispatcher/state_purchase_view/7862970", "UA-2018-08-01-000010-b")</f>
        <v>UA-2018-08-01-000010-b</v>
      </c>
      <c r="C170" s="2" t="s">
        <v>983</v>
      </c>
      <c r="D170" s="1" t="s">
        <v>759</v>
      </c>
      <c r="E170" s="1" t="s">
        <v>25</v>
      </c>
      <c r="F170" s="1" t="s">
        <v>283</v>
      </c>
      <c r="G170" s="1" t="s">
        <v>883</v>
      </c>
      <c r="H170" s="1" t="s">
        <v>987</v>
      </c>
      <c r="I170" s="1" t="s">
        <v>905</v>
      </c>
      <c r="J170" s="1" t="s">
        <v>158</v>
      </c>
      <c r="K170" s="1" t="s">
        <v>662</v>
      </c>
      <c r="L170" s="1" t="s">
        <v>1207</v>
      </c>
      <c r="M170" s="1" t="s">
        <v>147</v>
      </c>
      <c r="N170" s="1" t="s">
        <v>147</v>
      </c>
      <c r="O170" s="1" t="s">
        <v>147</v>
      </c>
      <c r="P170" s="5">
        <v>43313</v>
      </c>
      <c r="Q170" s="5">
        <v>43313</v>
      </c>
      <c r="R170" s="5">
        <v>43314</v>
      </c>
      <c r="S170" s="5">
        <v>43314</v>
      </c>
      <c r="T170" s="5">
        <v>43318</v>
      </c>
      <c r="U170" s="1" t="s">
        <v>1285</v>
      </c>
      <c r="V170" s="4">
        <v>1</v>
      </c>
      <c r="W170" s="6">
        <v>11490</v>
      </c>
      <c r="X170" s="1" t="s">
        <v>983</v>
      </c>
      <c r="Y170" s="4">
        <v>22</v>
      </c>
      <c r="Z170" s="6">
        <v>522.27</v>
      </c>
      <c r="AA170" s="1" t="s">
        <v>1318</v>
      </c>
      <c r="AB170" s="1" t="s">
        <v>540</v>
      </c>
      <c r="AC170" s="1" t="s">
        <v>1202</v>
      </c>
      <c r="AD170" s="1" t="s">
        <v>704</v>
      </c>
      <c r="AE170" s="1" t="s">
        <v>987</v>
      </c>
      <c r="AF170" s="6">
        <v>11399.78</v>
      </c>
      <c r="AG170" s="6">
        <v>518.17181818181825</v>
      </c>
      <c r="AH170" s="1" t="s">
        <v>1141</v>
      </c>
      <c r="AI170" s="6">
        <v>90.219999999999345</v>
      </c>
      <c r="AJ170" s="6">
        <v>7.852045256744938E-3</v>
      </c>
      <c r="AK170" s="1" t="s">
        <v>1141</v>
      </c>
      <c r="AL170" s="1" t="s">
        <v>431</v>
      </c>
      <c r="AM170" s="1" t="s">
        <v>623</v>
      </c>
      <c r="AN170" s="1" t="s">
        <v>124</v>
      </c>
      <c r="AO170" s="6">
        <v>90.219999999999345</v>
      </c>
      <c r="AP170" s="6">
        <v>7.852045256744938E-3</v>
      </c>
      <c r="AQ170" s="2"/>
      <c r="AR170" s="7">
        <v>43320.520601259836</v>
      </c>
      <c r="AS170" s="5">
        <v>43322</v>
      </c>
      <c r="AT170" s="5">
        <v>43344</v>
      </c>
      <c r="AU170" s="1" t="s">
        <v>1287</v>
      </c>
      <c r="AV170" s="7">
        <v>43326.532123250996</v>
      </c>
      <c r="AW170" s="1" t="s">
        <v>306</v>
      </c>
      <c r="AX170" s="6">
        <v>11399.78</v>
      </c>
      <c r="AY170" s="5">
        <v>43320</v>
      </c>
      <c r="AZ170" s="5">
        <v>43332</v>
      </c>
      <c r="BA170" s="7">
        <v>43465</v>
      </c>
      <c r="BB170" s="1" t="s">
        <v>1310</v>
      </c>
      <c r="BC170" s="1"/>
      <c r="BD170" s="1" t="s">
        <v>901</v>
      </c>
    </row>
    <row r="171" spans="1:56" hidden="1" x14ac:dyDescent="0.25">
      <c r="A171" s="4">
        <v>166</v>
      </c>
      <c r="B171" s="2" t="str">
        <f>HYPERLINK("https://my.zakupki.prom.ua/remote/dispatcher/state_purchase_view/7796439", "UA-2018-07-24-000440-b")</f>
        <v>UA-2018-07-24-000440-b</v>
      </c>
      <c r="C171" s="2" t="s">
        <v>983</v>
      </c>
      <c r="D171" s="1" t="s">
        <v>801</v>
      </c>
      <c r="E171" s="1" t="s">
        <v>946</v>
      </c>
      <c r="F171" s="1" t="s">
        <v>381</v>
      </c>
      <c r="G171" s="1" t="s">
        <v>883</v>
      </c>
      <c r="H171" s="1" t="s">
        <v>987</v>
      </c>
      <c r="I171" s="1" t="s">
        <v>905</v>
      </c>
      <c r="J171" s="1" t="s">
        <v>158</v>
      </c>
      <c r="K171" s="1" t="s">
        <v>662</v>
      </c>
      <c r="L171" s="1" t="s">
        <v>1207</v>
      </c>
      <c r="M171" s="1" t="s">
        <v>174</v>
      </c>
      <c r="N171" s="1" t="s">
        <v>147</v>
      </c>
      <c r="O171" s="1" t="s">
        <v>147</v>
      </c>
      <c r="P171" s="5">
        <v>43305</v>
      </c>
      <c r="Q171" s="5">
        <v>43305</v>
      </c>
      <c r="R171" s="5">
        <v>43307</v>
      </c>
      <c r="S171" s="5">
        <v>43307</v>
      </c>
      <c r="T171" s="5">
        <v>43312</v>
      </c>
      <c r="U171" s="7">
        <v>43313.601215277777</v>
      </c>
      <c r="V171" s="4">
        <v>2</v>
      </c>
      <c r="W171" s="6">
        <v>12771.21</v>
      </c>
      <c r="X171" s="1" t="s">
        <v>983</v>
      </c>
      <c r="Y171" s="4">
        <v>84</v>
      </c>
      <c r="Z171" s="6">
        <v>152.04</v>
      </c>
      <c r="AA171" s="1" t="s">
        <v>1318</v>
      </c>
      <c r="AB171" s="1" t="s">
        <v>540</v>
      </c>
      <c r="AC171" s="1" t="s">
        <v>1202</v>
      </c>
      <c r="AD171" s="1" t="s">
        <v>704</v>
      </c>
      <c r="AE171" s="1" t="s">
        <v>987</v>
      </c>
      <c r="AF171" s="6">
        <v>9978.44</v>
      </c>
      <c r="AG171" s="6">
        <v>118.79095238095239</v>
      </c>
      <c r="AH171" s="1" t="s">
        <v>1062</v>
      </c>
      <c r="AI171" s="6">
        <v>2792.7699999999986</v>
      </c>
      <c r="AJ171" s="6">
        <v>0.21867700867811263</v>
      </c>
      <c r="AK171" s="1" t="s">
        <v>1062</v>
      </c>
      <c r="AL171" s="1" t="s">
        <v>200</v>
      </c>
      <c r="AM171" s="1" t="s">
        <v>606</v>
      </c>
      <c r="AN171" s="1" t="s">
        <v>61</v>
      </c>
      <c r="AO171" s="6">
        <v>2792.7699999999986</v>
      </c>
      <c r="AP171" s="6">
        <v>0.21867700867811263</v>
      </c>
      <c r="AQ171" s="2" t="str">
        <f>HYPERLINK("https://auction.openprocurement.org/tenders/c60d0892484f4237b8a0b3a181822b05")</f>
        <v>https://auction.openprocurement.org/tenders/c60d0892484f4237b8a0b3a181822b05</v>
      </c>
      <c r="AR171" s="7">
        <v>43314.40612422995</v>
      </c>
      <c r="AS171" s="5">
        <v>43318</v>
      </c>
      <c r="AT171" s="5">
        <v>43337</v>
      </c>
      <c r="AU171" s="1" t="s">
        <v>1287</v>
      </c>
      <c r="AV171" s="7">
        <v>43318.569327411125</v>
      </c>
      <c r="AW171" s="1" t="s">
        <v>488</v>
      </c>
      <c r="AX171" s="6">
        <v>9978.44</v>
      </c>
      <c r="AY171" s="5">
        <v>43313</v>
      </c>
      <c r="AZ171" s="5">
        <v>43329</v>
      </c>
      <c r="BA171" s="7">
        <v>43465</v>
      </c>
      <c r="BB171" s="1" t="s">
        <v>1310</v>
      </c>
      <c r="BC171" s="1"/>
      <c r="BD171" s="1" t="s">
        <v>901</v>
      </c>
    </row>
    <row r="172" spans="1:56" hidden="1" x14ac:dyDescent="0.25">
      <c r="A172" s="4">
        <v>167</v>
      </c>
      <c r="B172" s="2" t="str">
        <f>HYPERLINK("https://my.zakupki.prom.ua/remote/dispatcher/state_purchase_view/7759608", "UA-2018-07-19-000835-b")</f>
        <v>UA-2018-07-19-000835-b</v>
      </c>
      <c r="C172" s="2" t="s">
        <v>983</v>
      </c>
      <c r="D172" s="1" t="s">
        <v>805</v>
      </c>
      <c r="E172" s="1" t="s">
        <v>1125</v>
      </c>
      <c r="F172" s="1" t="s">
        <v>381</v>
      </c>
      <c r="G172" s="1" t="s">
        <v>883</v>
      </c>
      <c r="H172" s="1" t="s">
        <v>987</v>
      </c>
      <c r="I172" s="1" t="s">
        <v>905</v>
      </c>
      <c r="J172" s="1" t="s">
        <v>158</v>
      </c>
      <c r="K172" s="1" t="s">
        <v>662</v>
      </c>
      <c r="L172" s="1" t="s">
        <v>1207</v>
      </c>
      <c r="M172" s="1" t="s">
        <v>147</v>
      </c>
      <c r="N172" s="1" t="s">
        <v>147</v>
      </c>
      <c r="O172" s="1" t="s">
        <v>147</v>
      </c>
      <c r="P172" s="5">
        <v>43300</v>
      </c>
      <c r="Q172" s="5">
        <v>43300</v>
      </c>
      <c r="R172" s="5">
        <v>43305</v>
      </c>
      <c r="S172" s="5">
        <v>43305</v>
      </c>
      <c r="T172" s="5">
        <v>43307</v>
      </c>
      <c r="U172" s="1" t="s">
        <v>1285</v>
      </c>
      <c r="V172" s="4">
        <v>1</v>
      </c>
      <c r="W172" s="6">
        <v>14010.78</v>
      </c>
      <c r="X172" s="1" t="s">
        <v>983</v>
      </c>
      <c r="Y172" s="4">
        <v>12</v>
      </c>
      <c r="Z172" s="6">
        <v>1167.57</v>
      </c>
      <c r="AA172" s="1" t="s">
        <v>1318</v>
      </c>
      <c r="AB172" s="1" t="s">
        <v>540</v>
      </c>
      <c r="AC172" s="1" t="s">
        <v>1202</v>
      </c>
      <c r="AD172" s="1" t="s">
        <v>704</v>
      </c>
      <c r="AE172" s="1" t="s">
        <v>987</v>
      </c>
      <c r="AF172" s="6">
        <v>14009.68</v>
      </c>
      <c r="AG172" s="6">
        <v>1167.4733333333334</v>
      </c>
      <c r="AH172" s="1" t="s">
        <v>1246</v>
      </c>
      <c r="AI172" s="6">
        <v>1.1000000000003638</v>
      </c>
      <c r="AJ172" s="6">
        <v>7.8510975120611677E-5</v>
      </c>
      <c r="AK172" s="1" t="s">
        <v>1246</v>
      </c>
      <c r="AL172" s="1" t="s">
        <v>336</v>
      </c>
      <c r="AM172" s="1" t="s">
        <v>575</v>
      </c>
      <c r="AN172" s="1" t="s">
        <v>144</v>
      </c>
      <c r="AO172" s="6">
        <v>1.1000000000003638</v>
      </c>
      <c r="AP172" s="6">
        <v>7.8510975120611677E-5</v>
      </c>
      <c r="AQ172" s="2"/>
      <c r="AR172" s="7">
        <v>43307.561264781427</v>
      </c>
      <c r="AS172" s="5">
        <v>43311</v>
      </c>
      <c r="AT172" s="5">
        <v>43335</v>
      </c>
      <c r="AU172" s="1" t="s">
        <v>1287</v>
      </c>
      <c r="AV172" s="7">
        <v>43318.500875535938</v>
      </c>
      <c r="AW172" s="1" t="s">
        <v>330</v>
      </c>
      <c r="AX172" s="6">
        <v>14009.68</v>
      </c>
      <c r="AY172" s="5">
        <v>43313</v>
      </c>
      <c r="AZ172" s="5">
        <v>43329</v>
      </c>
      <c r="BA172" s="7">
        <v>43465</v>
      </c>
      <c r="BB172" s="1" t="s">
        <v>1310</v>
      </c>
      <c r="BC172" s="1"/>
      <c r="BD172" s="1" t="s">
        <v>901</v>
      </c>
    </row>
    <row r="173" spans="1:56" hidden="1" x14ac:dyDescent="0.25">
      <c r="A173" s="4">
        <v>168</v>
      </c>
      <c r="B173" s="2" t="str">
        <f>HYPERLINK("https://my.zakupki.prom.ua/remote/dispatcher/state_purchase_view/7736448", "UA-2018-07-17-001415-b")</f>
        <v>UA-2018-07-17-001415-b</v>
      </c>
      <c r="C173" s="2" t="s">
        <v>983</v>
      </c>
      <c r="D173" s="1" t="s">
        <v>746</v>
      </c>
      <c r="E173" s="1" t="s">
        <v>657</v>
      </c>
      <c r="F173" s="1" t="s">
        <v>377</v>
      </c>
      <c r="G173" s="1" t="s">
        <v>883</v>
      </c>
      <c r="H173" s="1" t="s">
        <v>987</v>
      </c>
      <c r="I173" s="1" t="s">
        <v>905</v>
      </c>
      <c r="J173" s="1" t="s">
        <v>158</v>
      </c>
      <c r="K173" s="1" t="s">
        <v>662</v>
      </c>
      <c r="L173" s="1" t="s">
        <v>1207</v>
      </c>
      <c r="M173" s="1" t="s">
        <v>147</v>
      </c>
      <c r="N173" s="1" t="s">
        <v>147</v>
      </c>
      <c r="O173" s="1" t="s">
        <v>147</v>
      </c>
      <c r="P173" s="5">
        <v>43298</v>
      </c>
      <c r="Q173" s="5">
        <v>43298</v>
      </c>
      <c r="R173" s="5">
        <v>43304</v>
      </c>
      <c r="S173" s="5">
        <v>43304</v>
      </c>
      <c r="T173" s="5">
        <v>43307</v>
      </c>
      <c r="U173" s="1" t="s">
        <v>1285</v>
      </c>
      <c r="V173" s="4">
        <v>1</v>
      </c>
      <c r="W173" s="6">
        <v>30000</v>
      </c>
      <c r="X173" s="1" t="s">
        <v>983</v>
      </c>
      <c r="Y173" s="4">
        <v>6</v>
      </c>
      <c r="Z173" s="6">
        <v>5000</v>
      </c>
      <c r="AA173" s="1" t="s">
        <v>1315</v>
      </c>
      <c r="AB173" s="1" t="s">
        <v>540</v>
      </c>
      <c r="AC173" s="1" t="s">
        <v>1202</v>
      </c>
      <c r="AD173" s="1" t="s">
        <v>704</v>
      </c>
      <c r="AE173" s="1" t="s">
        <v>987</v>
      </c>
      <c r="AF173" s="6">
        <v>29999.38</v>
      </c>
      <c r="AG173" s="6">
        <v>4999.8966666666665</v>
      </c>
      <c r="AH173" s="1" t="s">
        <v>1150</v>
      </c>
      <c r="AI173" s="6">
        <v>0.61999999999898137</v>
      </c>
      <c r="AJ173" s="6">
        <v>2.0666666666632711E-5</v>
      </c>
      <c r="AK173" s="1" t="s">
        <v>1150</v>
      </c>
      <c r="AL173" s="1" t="s">
        <v>409</v>
      </c>
      <c r="AM173" s="1" t="s">
        <v>630</v>
      </c>
      <c r="AN173" s="1" t="s">
        <v>82</v>
      </c>
      <c r="AO173" s="6">
        <v>0.61999999999898137</v>
      </c>
      <c r="AP173" s="6">
        <v>2.0666666666632711E-5</v>
      </c>
      <c r="AQ173" s="2"/>
      <c r="AR173" s="7">
        <v>43308.433313809524</v>
      </c>
      <c r="AS173" s="5">
        <v>43312</v>
      </c>
      <c r="AT173" s="5">
        <v>43334</v>
      </c>
      <c r="AU173" s="1" t="s">
        <v>1287</v>
      </c>
      <c r="AV173" s="7">
        <v>43318.40183198273</v>
      </c>
      <c r="AW173" s="1" t="s">
        <v>503</v>
      </c>
      <c r="AX173" s="6">
        <v>29999.38</v>
      </c>
      <c r="AY173" s="5">
        <v>43313</v>
      </c>
      <c r="AZ173" s="5">
        <v>43329</v>
      </c>
      <c r="BA173" s="7">
        <v>43465</v>
      </c>
      <c r="BB173" s="1" t="s">
        <v>1310</v>
      </c>
      <c r="BC173" s="1"/>
      <c r="BD173" s="1" t="s">
        <v>901</v>
      </c>
    </row>
    <row r="174" spans="1:56" hidden="1" x14ac:dyDescent="0.25">
      <c r="A174" s="4">
        <v>169</v>
      </c>
      <c r="B174" s="2" t="str">
        <f>HYPERLINK("https://my.zakupki.prom.ua/remote/dispatcher/state_purchase_view/7644550", "UA-2018-07-06-000944-a")</f>
        <v>UA-2018-07-06-000944-a</v>
      </c>
      <c r="C174" s="2" t="s">
        <v>983</v>
      </c>
      <c r="D174" s="1" t="s">
        <v>804</v>
      </c>
      <c r="E174" s="1" t="s">
        <v>1077</v>
      </c>
      <c r="F174" s="1" t="s">
        <v>381</v>
      </c>
      <c r="G174" s="1" t="s">
        <v>883</v>
      </c>
      <c r="H174" s="1" t="s">
        <v>987</v>
      </c>
      <c r="I174" s="1" t="s">
        <v>905</v>
      </c>
      <c r="J174" s="1" t="s">
        <v>158</v>
      </c>
      <c r="K174" s="1" t="s">
        <v>662</v>
      </c>
      <c r="L174" s="1" t="s">
        <v>1207</v>
      </c>
      <c r="M174" s="1" t="s">
        <v>147</v>
      </c>
      <c r="N174" s="1" t="s">
        <v>147</v>
      </c>
      <c r="O174" s="1" t="s">
        <v>147</v>
      </c>
      <c r="P174" s="5">
        <v>43287</v>
      </c>
      <c r="Q174" s="5">
        <v>43287</v>
      </c>
      <c r="R174" s="5">
        <v>43291</v>
      </c>
      <c r="S174" s="5">
        <v>43291</v>
      </c>
      <c r="T174" s="5">
        <v>43293</v>
      </c>
      <c r="U174" s="1" t="s">
        <v>1285</v>
      </c>
      <c r="V174" s="4">
        <v>1</v>
      </c>
      <c r="W174" s="6">
        <v>4180</v>
      </c>
      <c r="X174" s="1" t="s">
        <v>983</v>
      </c>
      <c r="Y174" s="4">
        <v>3</v>
      </c>
      <c r="Z174" s="6">
        <v>1393.33</v>
      </c>
      <c r="AA174" s="1" t="s">
        <v>1301</v>
      </c>
      <c r="AB174" s="1" t="s">
        <v>540</v>
      </c>
      <c r="AC174" s="1" t="s">
        <v>1202</v>
      </c>
      <c r="AD174" s="1" t="s">
        <v>704</v>
      </c>
      <c r="AE174" s="1" t="s">
        <v>987</v>
      </c>
      <c r="AF174" s="6">
        <v>4180</v>
      </c>
      <c r="AG174" s="6">
        <v>1393.3333333333333</v>
      </c>
      <c r="AH174" s="1" t="s">
        <v>1245</v>
      </c>
      <c r="AI174" s="1"/>
      <c r="AJ174" s="1"/>
      <c r="AK174" s="1" t="s">
        <v>1245</v>
      </c>
      <c r="AL174" s="1" t="s">
        <v>245</v>
      </c>
      <c r="AM174" s="1" t="s">
        <v>594</v>
      </c>
      <c r="AN174" s="1" t="s">
        <v>103</v>
      </c>
      <c r="AO174" s="1"/>
      <c r="AP174" s="1"/>
      <c r="AQ174" s="2"/>
      <c r="AR174" s="7">
        <v>43294.418892835558</v>
      </c>
      <c r="AS174" s="5">
        <v>43298</v>
      </c>
      <c r="AT174" s="5">
        <v>43321</v>
      </c>
      <c r="AU174" s="1" t="s">
        <v>1287</v>
      </c>
      <c r="AV174" s="7">
        <v>43301.611634384106</v>
      </c>
      <c r="AW174" s="1" t="s">
        <v>318</v>
      </c>
      <c r="AX174" s="6">
        <v>4180</v>
      </c>
      <c r="AY174" s="5">
        <v>43297</v>
      </c>
      <c r="AZ174" s="5">
        <v>43301</v>
      </c>
      <c r="BA174" s="7">
        <v>43465</v>
      </c>
      <c r="BB174" s="1" t="s">
        <v>1310</v>
      </c>
      <c r="BC174" s="1"/>
      <c r="BD174" s="1" t="s">
        <v>901</v>
      </c>
    </row>
    <row r="175" spans="1:56" hidden="1" x14ac:dyDescent="0.25">
      <c r="A175" s="4">
        <v>170</v>
      </c>
      <c r="B175" s="2" t="str">
        <f>HYPERLINK("https://my.zakupki.prom.ua/remote/dispatcher/state_purchase_view/7640621", "UA-2018-07-06-000351-a")</f>
        <v>UA-2018-07-06-000351-a</v>
      </c>
      <c r="C175" s="2" t="s">
        <v>983</v>
      </c>
      <c r="D175" s="1" t="s">
        <v>759</v>
      </c>
      <c r="E175" s="1" t="s">
        <v>24</v>
      </c>
      <c r="F175" s="1" t="s">
        <v>283</v>
      </c>
      <c r="G175" s="1" t="s">
        <v>883</v>
      </c>
      <c r="H175" s="1" t="s">
        <v>987</v>
      </c>
      <c r="I175" s="1" t="s">
        <v>905</v>
      </c>
      <c r="J175" s="1" t="s">
        <v>158</v>
      </c>
      <c r="K175" s="1" t="s">
        <v>662</v>
      </c>
      <c r="L175" s="1" t="s">
        <v>1207</v>
      </c>
      <c r="M175" s="1" t="s">
        <v>147</v>
      </c>
      <c r="N175" s="1" t="s">
        <v>147</v>
      </c>
      <c r="O175" s="1" t="s">
        <v>147</v>
      </c>
      <c r="P175" s="5">
        <v>43287</v>
      </c>
      <c r="Q175" s="5">
        <v>43287</v>
      </c>
      <c r="R175" s="5">
        <v>43291</v>
      </c>
      <c r="S175" s="5">
        <v>43291</v>
      </c>
      <c r="T175" s="5">
        <v>43293</v>
      </c>
      <c r="U175" s="7">
        <v>43294.46366898148</v>
      </c>
      <c r="V175" s="4">
        <v>3</v>
      </c>
      <c r="W175" s="6">
        <v>21128</v>
      </c>
      <c r="X175" s="1" t="s">
        <v>983</v>
      </c>
      <c r="Y175" s="4">
        <v>28</v>
      </c>
      <c r="Z175" s="6">
        <v>754.57</v>
      </c>
      <c r="AA175" s="1" t="s">
        <v>1318</v>
      </c>
      <c r="AB175" s="1" t="s">
        <v>540</v>
      </c>
      <c r="AC175" s="1" t="s">
        <v>1202</v>
      </c>
      <c r="AD175" s="1" t="s">
        <v>704</v>
      </c>
      <c r="AE175" s="1" t="s">
        <v>987</v>
      </c>
      <c r="AF175" s="6">
        <v>12883.87</v>
      </c>
      <c r="AG175" s="6">
        <v>460.1382142857143</v>
      </c>
      <c r="AH175" s="1" t="s">
        <v>1141</v>
      </c>
      <c r="AI175" s="6">
        <v>8244.1299999999992</v>
      </c>
      <c r="AJ175" s="6">
        <v>0.39019926164331686</v>
      </c>
      <c r="AK175" s="1" t="s">
        <v>1141</v>
      </c>
      <c r="AL175" s="1" t="s">
        <v>431</v>
      </c>
      <c r="AM175" s="1" t="s">
        <v>623</v>
      </c>
      <c r="AN175" s="1" t="s">
        <v>124</v>
      </c>
      <c r="AO175" s="6">
        <v>8244.1299999999992</v>
      </c>
      <c r="AP175" s="6">
        <v>0.39019926164331686</v>
      </c>
      <c r="AQ175" s="2" t="str">
        <f>HYPERLINK("https://auction.openprocurement.org/tenders/da713ed82ef148809e324be2424d99d4")</f>
        <v>https://auction.openprocurement.org/tenders/da713ed82ef148809e324be2424d99d4</v>
      </c>
      <c r="AR175" s="7">
        <v>43297.511635086506</v>
      </c>
      <c r="AS175" s="5">
        <v>43299</v>
      </c>
      <c r="AT175" s="5">
        <v>43321</v>
      </c>
      <c r="AU175" s="1" t="s">
        <v>1287</v>
      </c>
      <c r="AV175" s="7">
        <v>43299.56544444344</v>
      </c>
      <c r="AW175" s="1" t="s">
        <v>156</v>
      </c>
      <c r="AX175" s="6">
        <v>12883.87</v>
      </c>
      <c r="AY175" s="5">
        <v>43297</v>
      </c>
      <c r="AZ175" s="5">
        <v>43301</v>
      </c>
      <c r="BA175" s="7">
        <v>43465</v>
      </c>
      <c r="BB175" s="1" t="s">
        <v>1310</v>
      </c>
      <c r="BC175" s="1"/>
      <c r="BD175" s="1" t="s">
        <v>901</v>
      </c>
    </row>
    <row r="176" spans="1:56" hidden="1" x14ac:dyDescent="0.25">
      <c r="A176" s="4">
        <v>171</v>
      </c>
      <c r="B176" s="2" t="str">
        <f>HYPERLINK("https://my.zakupki.prom.ua/remote/dispatcher/state_purchase_view/7395949", "UA-2018-06-11-001282-a")</f>
        <v>UA-2018-06-11-001282-a</v>
      </c>
      <c r="C176" s="2" t="s">
        <v>983</v>
      </c>
      <c r="D176" s="1" t="s">
        <v>823</v>
      </c>
      <c r="E176" s="1" t="s">
        <v>1270</v>
      </c>
      <c r="F176" s="1" t="s">
        <v>381</v>
      </c>
      <c r="G176" s="1" t="s">
        <v>883</v>
      </c>
      <c r="H176" s="1" t="s">
        <v>987</v>
      </c>
      <c r="I176" s="1" t="s">
        <v>905</v>
      </c>
      <c r="J176" s="1" t="s">
        <v>158</v>
      </c>
      <c r="K176" s="1" t="s">
        <v>662</v>
      </c>
      <c r="L176" s="1" t="s">
        <v>1207</v>
      </c>
      <c r="M176" s="1" t="s">
        <v>147</v>
      </c>
      <c r="N176" s="1" t="s">
        <v>147</v>
      </c>
      <c r="O176" s="1" t="s">
        <v>147</v>
      </c>
      <c r="P176" s="5">
        <v>43262</v>
      </c>
      <c r="Q176" s="5">
        <v>43262</v>
      </c>
      <c r="R176" s="5">
        <v>43264</v>
      </c>
      <c r="S176" s="5">
        <v>43264</v>
      </c>
      <c r="T176" s="5">
        <v>43265</v>
      </c>
      <c r="U176" s="1" t="s">
        <v>1285</v>
      </c>
      <c r="V176" s="4">
        <v>1</v>
      </c>
      <c r="W176" s="6">
        <v>5330</v>
      </c>
      <c r="X176" s="1" t="s">
        <v>983</v>
      </c>
      <c r="Y176" s="4">
        <v>3053</v>
      </c>
      <c r="Z176" s="6">
        <v>1.75</v>
      </c>
      <c r="AA176" s="1" t="s">
        <v>1318</v>
      </c>
      <c r="AB176" s="1" t="s">
        <v>540</v>
      </c>
      <c r="AC176" s="1" t="s">
        <v>1202</v>
      </c>
      <c r="AD176" s="1" t="s">
        <v>704</v>
      </c>
      <c r="AE176" s="1" t="s">
        <v>987</v>
      </c>
      <c r="AF176" s="6">
        <v>4599.9799999999996</v>
      </c>
      <c r="AG176" s="6">
        <v>1.5067081559122173</v>
      </c>
      <c r="AH176" s="1" t="s">
        <v>1186</v>
      </c>
      <c r="AI176" s="6">
        <v>730.02000000000044</v>
      </c>
      <c r="AJ176" s="6">
        <v>0.13696435272045035</v>
      </c>
      <c r="AK176" s="1" t="s">
        <v>1186</v>
      </c>
      <c r="AL176" s="1" t="s">
        <v>281</v>
      </c>
      <c r="AM176" s="1" t="s">
        <v>561</v>
      </c>
      <c r="AN176" s="1" t="s">
        <v>73</v>
      </c>
      <c r="AO176" s="6">
        <v>730.02000000000044</v>
      </c>
      <c r="AP176" s="6">
        <v>0.13696435272045035</v>
      </c>
      <c r="AQ176" s="2"/>
      <c r="AR176" s="7">
        <v>43266.403512903817</v>
      </c>
      <c r="AS176" s="5">
        <v>43270</v>
      </c>
      <c r="AT176" s="5">
        <v>43294</v>
      </c>
      <c r="AU176" s="1" t="s">
        <v>1287</v>
      </c>
      <c r="AV176" s="7">
        <v>43270.617777937696</v>
      </c>
      <c r="AW176" s="1" t="s">
        <v>310</v>
      </c>
      <c r="AX176" s="6">
        <v>4599.9799999999996</v>
      </c>
      <c r="AY176" s="5">
        <v>43266</v>
      </c>
      <c r="AZ176" s="5">
        <v>43269</v>
      </c>
      <c r="BA176" s="7">
        <v>43465</v>
      </c>
      <c r="BB176" s="1" t="s">
        <v>1310</v>
      </c>
      <c r="BC176" s="1"/>
      <c r="BD176" s="1" t="s">
        <v>901</v>
      </c>
    </row>
    <row r="177" spans="1:56" hidden="1" x14ac:dyDescent="0.25">
      <c r="A177" s="4">
        <v>172</v>
      </c>
      <c r="B177" s="2" t="str">
        <f>HYPERLINK("https://my.zakupki.prom.ua/remote/dispatcher/state_purchase_view/7385000", "UA-2018-06-08-002597-a")</f>
        <v>UA-2018-06-08-002597-a</v>
      </c>
      <c r="C177" s="2" t="s">
        <v>983</v>
      </c>
      <c r="D177" s="1" t="s">
        <v>736</v>
      </c>
      <c r="E177" s="1" t="s">
        <v>651</v>
      </c>
      <c r="F177" s="1" t="s">
        <v>372</v>
      </c>
      <c r="G177" s="1" t="s">
        <v>883</v>
      </c>
      <c r="H177" s="1" t="s">
        <v>987</v>
      </c>
      <c r="I177" s="1" t="s">
        <v>905</v>
      </c>
      <c r="J177" s="1" t="s">
        <v>158</v>
      </c>
      <c r="K177" s="1" t="s">
        <v>662</v>
      </c>
      <c r="L177" s="1" t="s">
        <v>1207</v>
      </c>
      <c r="M177" s="1" t="s">
        <v>147</v>
      </c>
      <c r="N177" s="1" t="s">
        <v>147</v>
      </c>
      <c r="O177" s="1" t="s">
        <v>147</v>
      </c>
      <c r="P177" s="5">
        <v>43259</v>
      </c>
      <c r="Q177" s="5">
        <v>43259</v>
      </c>
      <c r="R177" s="5">
        <v>43262</v>
      </c>
      <c r="S177" s="5">
        <v>43262</v>
      </c>
      <c r="T177" s="5">
        <v>43263</v>
      </c>
      <c r="U177" s="1" t="s">
        <v>1285</v>
      </c>
      <c r="V177" s="4">
        <v>0</v>
      </c>
      <c r="W177" s="6">
        <v>14050</v>
      </c>
      <c r="X177" s="1" t="s">
        <v>983</v>
      </c>
      <c r="Y177" s="4">
        <v>58</v>
      </c>
      <c r="Z177" s="6">
        <v>242.24</v>
      </c>
      <c r="AA177" s="1" t="s">
        <v>1315</v>
      </c>
      <c r="AB177" s="1" t="s">
        <v>540</v>
      </c>
      <c r="AC177" s="1" t="s">
        <v>1202</v>
      </c>
      <c r="AD177" s="1" t="s">
        <v>704</v>
      </c>
      <c r="AE177" s="1" t="s">
        <v>987</v>
      </c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2"/>
      <c r="AR177" s="1"/>
      <c r="AS177" s="1"/>
      <c r="AT177" s="1"/>
      <c r="AU177" s="1" t="s">
        <v>1312</v>
      </c>
      <c r="AV177" s="7">
        <v>43259.654422520813</v>
      </c>
      <c r="AW177" s="1"/>
      <c r="AX177" s="1"/>
      <c r="AY177" s="5">
        <v>43264</v>
      </c>
      <c r="AZ177" s="5">
        <v>43269</v>
      </c>
      <c r="BA177" s="1"/>
      <c r="BB177" s="1"/>
      <c r="BC177" s="1" t="s">
        <v>1209</v>
      </c>
      <c r="BD177" s="1"/>
    </row>
    <row r="178" spans="1:56" hidden="1" x14ac:dyDescent="0.25">
      <c r="A178" s="4">
        <v>173</v>
      </c>
      <c r="B178" s="2" t="str">
        <f>HYPERLINK("https://my.zakupki.prom.ua/remote/dispatcher/state_purchase_view/7384982", "UA-2018-06-08-002580-a")</f>
        <v>UA-2018-06-08-002580-a</v>
      </c>
      <c r="C178" s="2" t="s">
        <v>983</v>
      </c>
      <c r="D178" s="1" t="s">
        <v>736</v>
      </c>
      <c r="E178" s="1" t="s">
        <v>651</v>
      </c>
      <c r="F178" s="1" t="s">
        <v>372</v>
      </c>
      <c r="G178" s="1" t="s">
        <v>883</v>
      </c>
      <c r="H178" s="1" t="s">
        <v>987</v>
      </c>
      <c r="I178" s="1" t="s">
        <v>905</v>
      </c>
      <c r="J178" s="1" t="s">
        <v>158</v>
      </c>
      <c r="K178" s="1" t="s">
        <v>662</v>
      </c>
      <c r="L178" s="1" t="s">
        <v>1207</v>
      </c>
      <c r="M178" s="1" t="s">
        <v>147</v>
      </c>
      <c r="N178" s="1" t="s">
        <v>147</v>
      </c>
      <c r="O178" s="1" t="s">
        <v>147</v>
      </c>
      <c r="P178" s="5">
        <v>43259</v>
      </c>
      <c r="Q178" s="5">
        <v>43259</v>
      </c>
      <c r="R178" s="5">
        <v>43262</v>
      </c>
      <c r="S178" s="5">
        <v>43262</v>
      </c>
      <c r="T178" s="5">
        <v>43263</v>
      </c>
      <c r="U178" s="7">
        <v>43264.647187499999</v>
      </c>
      <c r="V178" s="4">
        <v>3</v>
      </c>
      <c r="W178" s="6">
        <v>14050</v>
      </c>
      <c r="X178" s="1" t="s">
        <v>983</v>
      </c>
      <c r="Y178" s="4">
        <v>58</v>
      </c>
      <c r="Z178" s="6">
        <v>242.24</v>
      </c>
      <c r="AA178" s="1" t="s">
        <v>1315</v>
      </c>
      <c r="AB178" s="1" t="s">
        <v>540</v>
      </c>
      <c r="AC178" s="1" t="s">
        <v>1202</v>
      </c>
      <c r="AD178" s="1" t="s">
        <v>704</v>
      </c>
      <c r="AE178" s="1" t="s">
        <v>987</v>
      </c>
      <c r="AF178" s="6">
        <v>10646</v>
      </c>
      <c r="AG178" s="6">
        <v>183.55172413793105</v>
      </c>
      <c r="AH178" s="1" t="s">
        <v>650</v>
      </c>
      <c r="AI178" s="6">
        <v>3404</v>
      </c>
      <c r="AJ178" s="6">
        <v>0.24227758007117436</v>
      </c>
      <c r="AK178" s="1" t="s">
        <v>650</v>
      </c>
      <c r="AL178" s="1" t="s">
        <v>256</v>
      </c>
      <c r="AM178" s="1" t="s">
        <v>534</v>
      </c>
      <c r="AN178" s="1" t="s">
        <v>118</v>
      </c>
      <c r="AO178" s="6">
        <v>3404</v>
      </c>
      <c r="AP178" s="6">
        <v>0.24227758007117436</v>
      </c>
      <c r="AQ178" s="2" t="str">
        <f>HYPERLINK("https://auction.openprocurement.org/tenders/b33721a1bbe14c9a82773330dbad96d4")</f>
        <v>https://auction.openprocurement.org/tenders/b33721a1bbe14c9a82773330dbad96d4</v>
      </c>
      <c r="AR178" s="7">
        <v>43265.447937511424</v>
      </c>
      <c r="AS178" s="5">
        <v>43269</v>
      </c>
      <c r="AT178" s="5">
        <v>43292</v>
      </c>
      <c r="AU178" s="1" t="s">
        <v>1287</v>
      </c>
      <c r="AV178" s="7">
        <v>43270.617893099465</v>
      </c>
      <c r="AW178" s="1" t="s">
        <v>302</v>
      </c>
      <c r="AX178" s="6">
        <v>10646</v>
      </c>
      <c r="AY178" s="5">
        <v>43264</v>
      </c>
      <c r="AZ178" s="5">
        <v>43269</v>
      </c>
      <c r="BA178" s="7">
        <v>43465</v>
      </c>
      <c r="BB178" s="1" t="s">
        <v>1310</v>
      </c>
      <c r="BC178" s="1"/>
      <c r="BD178" s="1" t="s">
        <v>901</v>
      </c>
    </row>
    <row r="179" spans="1:56" hidden="1" x14ac:dyDescent="0.25">
      <c r="A179" s="4">
        <v>174</v>
      </c>
      <c r="B179" s="2" t="str">
        <f>HYPERLINK("https://my.zakupki.prom.ua/remote/dispatcher/state_purchase_view/7309101", "UA-2018-06-01-003016-a")</f>
        <v>UA-2018-06-01-003016-a</v>
      </c>
      <c r="C179" s="2" t="s">
        <v>983</v>
      </c>
      <c r="D179" s="1" t="s">
        <v>718</v>
      </c>
      <c r="E179" s="1" t="s">
        <v>1106</v>
      </c>
      <c r="F179" s="1" t="s">
        <v>375</v>
      </c>
      <c r="G179" s="1" t="s">
        <v>883</v>
      </c>
      <c r="H179" s="1" t="s">
        <v>987</v>
      </c>
      <c r="I179" s="1" t="s">
        <v>905</v>
      </c>
      <c r="J179" s="1" t="s">
        <v>158</v>
      </c>
      <c r="K179" s="1" t="s">
        <v>662</v>
      </c>
      <c r="L179" s="1" t="s">
        <v>1207</v>
      </c>
      <c r="M179" s="1" t="s">
        <v>147</v>
      </c>
      <c r="N179" s="1" t="s">
        <v>147</v>
      </c>
      <c r="O179" s="1" t="s">
        <v>147</v>
      </c>
      <c r="P179" s="5">
        <v>43252</v>
      </c>
      <c r="Q179" s="5">
        <v>43252</v>
      </c>
      <c r="R179" s="5">
        <v>43256</v>
      </c>
      <c r="S179" s="5">
        <v>43256</v>
      </c>
      <c r="T179" s="5">
        <v>43258</v>
      </c>
      <c r="U179" s="7">
        <v>43259.591307870367</v>
      </c>
      <c r="V179" s="4">
        <v>3</v>
      </c>
      <c r="W179" s="6">
        <v>4894</v>
      </c>
      <c r="X179" s="1" t="s">
        <v>983</v>
      </c>
      <c r="Y179" s="4">
        <v>200</v>
      </c>
      <c r="Z179" s="6">
        <v>24.47</v>
      </c>
      <c r="AA179" s="1" t="s">
        <v>1316</v>
      </c>
      <c r="AB179" s="1" t="s">
        <v>540</v>
      </c>
      <c r="AC179" s="1" t="s">
        <v>1202</v>
      </c>
      <c r="AD179" s="1" t="s">
        <v>704</v>
      </c>
      <c r="AE179" s="1" t="s">
        <v>987</v>
      </c>
      <c r="AF179" s="6">
        <v>3422</v>
      </c>
      <c r="AG179" s="6">
        <v>17.11</v>
      </c>
      <c r="AH179" s="1" t="s">
        <v>1194</v>
      </c>
      <c r="AI179" s="6">
        <v>1472</v>
      </c>
      <c r="AJ179" s="6">
        <v>0.30077646097261951</v>
      </c>
      <c r="AK179" s="1" t="s">
        <v>1194</v>
      </c>
      <c r="AL179" s="1" t="s">
        <v>447</v>
      </c>
      <c r="AM179" s="1" t="s">
        <v>560</v>
      </c>
      <c r="AN179" s="1" t="s">
        <v>122</v>
      </c>
      <c r="AO179" s="6">
        <v>1472</v>
      </c>
      <c r="AP179" s="6">
        <v>0.30077646097261951</v>
      </c>
      <c r="AQ179" s="2" t="str">
        <f>HYPERLINK("https://auction.openprocurement.org/tenders/d9d7416a46ec47dfba8bbcba372a1932")</f>
        <v>https://auction.openprocurement.org/tenders/d9d7416a46ec47dfba8bbcba372a1932</v>
      </c>
      <c r="AR179" s="7">
        <v>43262.472442396887</v>
      </c>
      <c r="AS179" s="5">
        <v>43264</v>
      </c>
      <c r="AT179" s="5">
        <v>43286</v>
      </c>
      <c r="AU179" s="1" t="s">
        <v>1287</v>
      </c>
      <c r="AV179" s="7">
        <v>43270.65909414192</v>
      </c>
      <c r="AW179" s="1" t="s">
        <v>219</v>
      </c>
      <c r="AX179" s="6">
        <v>3422</v>
      </c>
      <c r="AY179" s="5">
        <v>43259</v>
      </c>
      <c r="AZ179" s="5">
        <v>43269</v>
      </c>
      <c r="BA179" s="7">
        <v>43465</v>
      </c>
      <c r="BB179" s="1" t="s">
        <v>1310</v>
      </c>
      <c r="BC179" s="1"/>
      <c r="BD179" s="1" t="s">
        <v>901</v>
      </c>
    </row>
    <row r="180" spans="1:56" hidden="1" x14ac:dyDescent="0.25">
      <c r="A180" s="4">
        <v>175</v>
      </c>
      <c r="B180" s="2" t="str">
        <f>HYPERLINK("https://my.zakupki.prom.ua/remote/dispatcher/state_purchase_view/7309082", "UA-2018-06-01-003010-a")</f>
        <v>UA-2018-06-01-003010-a</v>
      </c>
      <c r="C180" s="2" t="s">
        <v>983</v>
      </c>
      <c r="D180" s="1" t="s">
        <v>736</v>
      </c>
      <c r="E180" s="1" t="s">
        <v>651</v>
      </c>
      <c r="F180" s="1" t="s">
        <v>372</v>
      </c>
      <c r="G180" s="1" t="s">
        <v>883</v>
      </c>
      <c r="H180" s="1" t="s">
        <v>987</v>
      </c>
      <c r="I180" s="1" t="s">
        <v>905</v>
      </c>
      <c r="J180" s="1" t="s">
        <v>158</v>
      </c>
      <c r="K180" s="1" t="s">
        <v>662</v>
      </c>
      <c r="L180" s="1" t="s">
        <v>1207</v>
      </c>
      <c r="M180" s="1" t="s">
        <v>147</v>
      </c>
      <c r="N180" s="1" t="s">
        <v>147</v>
      </c>
      <c r="O180" s="1" t="s">
        <v>147</v>
      </c>
      <c r="P180" s="5">
        <v>43252</v>
      </c>
      <c r="Q180" s="5">
        <v>43252</v>
      </c>
      <c r="R180" s="5">
        <v>43256</v>
      </c>
      <c r="S180" s="5">
        <v>43256</v>
      </c>
      <c r="T180" s="5">
        <v>43258</v>
      </c>
      <c r="U180" s="7">
        <v>43259.553807870368</v>
      </c>
      <c r="V180" s="4">
        <v>2</v>
      </c>
      <c r="W180" s="6">
        <v>14050</v>
      </c>
      <c r="X180" s="1" t="s">
        <v>983</v>
      </c>
      <c r="Y180" s="4">
        <v>58</v>
      </c>
      <c r="Z180" s="6">
        <v>242.24</v>
      </c>
      <c r="AA180" s="1" t="s">
        <v>1315</v>
      </c>
      <c r="AB180" s="1" t="s">
        <v>540</v>
      </c>
      <c r="AC180" s="1" t="s">
        <v>1202</v>
      </c>
      <c r="AD180" s="1" t="s">
        <v>704</v>
      </c>
      <c r="AE180" s="1" t="s">
        <v>987</v>
      </c>
      <c r="AF180" s="6">
        <v>7302</v>
      </c>
      <c r="AG180" s="6">
        <v>125.89655172413794</v>
      </c>
      <c r="AH180" s="1" t="s">
        <v>650</v>
      </c>
      <c r="AI180" s="6">
        <v>6748</v>
      </c>
      <c r="AJ180" s="6">
        <v>0.4802846975088968</v>
      </c>
      <c r="AK180" s="1"/>
      <c r="AL180" s="1"/>
      <c r="AM180" s="1"/>
      <c r="AN180" s="1"/>
      <c r="AO180" s="1"/>
      <c r="AP180" s="1"/>
      <c r="AQ180" s="2" t="str">
        <f>HYPERLINK("https://auction.openprocurement.org/tenders/631f4d15131e4d87b6e9585d5a724bdd")</f>
        <v>https://auction.openprocurement.org/tenders/631f4d15131e4d87b6e9585d5a724bdd</v>
      </c>
      <c r="AR180" s="7">
        <v>43259.660222136838</v>
      </c>
      <c r="AS180" s="1"/>
      <c r="AT180" s="1"/>
      <c r="AU180" s="1" t="s">
        <v>1288</v>
      </c>
      <c r="AV180" s="7">
        <v>43263.661996420844</v>
      </c>
      <c r="AW180" s="1"/>
      <c r="AX180" s="1"/>
      <c r="AY180" s="5">
        <v>43259</v>
      </c>
      <c r="AZ180" s="5">
        <v>43269</v>
      </c>
      <c r="BA180" s="1"/>
      <c r="BB180" s="1"/>
      <c r="BC180" s="1"/>
      <c r="BD180" s="1"/>
    </row>
    <row r="181" spans="1:56" hidden="1" x14ac:dyDescent="0.25">
      <c r="A181" s="4">
        <v>176</v>
      </c>
      <c r="B181" s="2" t="str">
        <f>HYPERLINK("https://my.zakupki.prom.ua/remote/dispatcher/state_purchase_view/7309032", "UA-2018-06-01-002997-a")</f>
        <v>UA-2018-06-01-002997-a</v>
      </c>
      <c r="C181" s="2" t="s">
        <v>983</v>
      </c>
      <c r="D181" s="1" t="s">
        <v>786</v>
      </c>
      <c r="E181" s="1" t="s">
        <v>1086</v>
      </c>
      <c r="F181" s="1" t="s">
        <v>355</v>
      </c>
      <c r="G181" s="1" t="s">
        <v>883</v>
      </c>
      <c r="H181" s="1" t="s">
        <v>987</v>
      </c>
      <c r="I181" s="1" t="s">
        <v>905</v>
      </c>
      <c r="J181" s="1" t="s">
        <v>158</v>
      </c>
      <c r="K181" s="1" t="s">
        <v>662</v>
      </c>
      <c r="L181" s="1" t="s">
        <v>1207</v>
      </c>
      <c r="M181" s="1" t="s">
        <v>147</v>
      </c>
      <c r="N181" s="1" t="s">
        <v>147</v>
      </c>
      <c r="O181" s="1" t="s">
        <v>147</v>
      </c>
      <c r="P181" s="5">
        <v>43252</v>
      </c>
      <c r="Q181" s="5">
        <v>43252</v>
      </c>
      <c r="R181" s="5">
        <v>43256</v>
      </c>
      <c r="S181" s="5">
        <v>43256</v>
      </c>
      <c r="T181" s="5">
        <v>43258</v>
      </c>
      <c r="U181" s="7">
        <v>43259.615810185183</v>
      </c>
      <c r="V181" s="4">
        <v>2</v>
      </c>
      <c r="W181" s="6">
        <v>17580</v>
      </c>
      <c r="X181" s="1" t="s">
        <v>983</v>
      </c>
      <c r="Y181" s="4">
        <v>8340</v>
      </c>
      <c r="Z181" s="6">
        <v>2.11</v>
      </c>
      <c r="AA181" s="1" t="s">
        <v>1318</v>
      </c>
      <c r="AB181" s="1" t="s">
        <v>540</v>
      </c>
      <c r="AC181" s="1" t="s">
        <v>1202</v>
      </c>
      <c r="AD181" s="1" t="s">
        <v>704</v>
      </c>
      <c r="AE181" s="1" t="s">
        <v>987</v>
      </c>
      <c r="AF181" s="6">
        <v>13766.92</v>
      </c>
      <c r="AG181" s="6">
        <v>1.6507098321342926</v>
      </c>
      <c r="AH181" s="1" t="s">
        <v>1146</v>
      </c>
      <c r="AI181" s="6">
        <v>3813.08</v>
      </c>
      <c r="AJ181" s="6">
        <v>0.21689874857792946</v>
      </c>
      <c r="AK181" s="1" t="s">
        <v>1146</v>
      </c>
      <c r="AL181" s="1" t="s">
        <v>438</v>
      </c>
      <c r="AM181" s="1" t="s">
        <v>558</v>
      </c>
      <c r="AN181" s="1" t="s">
        <v>139</v>
      </c>
      <c r="AO181" s="6">
        <v>3813.08</v>
      </c>
      <c r="AP181" s="6">
        <v>0.21689874857792946</v>
      </c>
      <c r="AQ181" s="2" t="str">
        <f>HYPERLINK("https://auction.openprocurement.org/tenders/406f360d5b794f5f8bcd2b5772086cbe")</f>
        <v>https://auction.openprocurement.org/tenders/406f360d5b794f5f8bcd2b5772086cbe</v>
      </c>
      <c r="AR181" s="7">
        <v>43262.496065258179</v>
      </c>
      <c r="AS181" s="5">
        <v>43264</v>
      </c>
      <c r="AT181" s="5">
        <v>43286</v>
      </c>
      <c r="AU181" s="1" t="s">
        <v>1287</v>
      </c>
      <c r="AV181" s="7">
        <v>43270.618264489996</v>
      </c>
      <c r="AW181" s="1" t="s">
        <v>308</v>
      </c>
      <c r="AX181" s="6">
        <v>13766.92</v>
      </c>
      <c r="AY181" s="5">
        <v>43259</v>
      </c>
      <c r="AZ181" s="5">
        <v>43269</v>
      </c>
      <c r="BA181" s="7">
        <v>43465</v>
      </c>
      <c r="BB181" s="1" t="s">
        <v>1310</v>
      </c>
      <c r="BC181" s="1"/>
      <c r="BD181" s="1" t="s">
        <v>901</v>
      </c>
    </row>
    <row r="182" spans="1:56" hidden="1" x14ac:dyDescent="0.25">
      <c r="A182" s="4">
        <v>177</v>
      </c>
      <c r="B182" s="2" t="str">
        <f>HYPERLINK("https://my.zakupki.prom.ua/remote/dispatcher/state_purchase_view/7308971", "UA-2018-06-01-002985-a")</f>
        <v>UA-2018-06-01-002985-a</v>
      </c>
      <c r="C182" s="2" t="s">
        <v>983</v>
      </c>
      <c r="D182" s="1" t="s">
        <v>765</v>
      </c>
      <c r="E182" s="1" t="s">
        <v>1124</v>
      </c>
      <c r="F182" s="1" t="s">
        <v>381</v>
      </c>
      <c r="G182" s="1" t="s">
        <v>883</v>
      </c>
      <c r="H182" s="1" t="s">
        <v>987</v>
      </c>
      <c r="I182" s="1" t="s">
        <v>905</v>
      </c>
      <c r="J182" s="1" t="s">
        <v>158</v>
      </c>
      <c r="K182" s="1" t="s">
        <v>662</v>
      </c>
      <c r="L182" s="1" t="s">
        <v>1207</v>
      </c>
      <c r="M182" s="1" t="s">
        <v>147</v>
      </c>
      <c r="N182" s="1" t="s">
        <v>147</v>
      </c>
      <c r="O182" s="1" t="s">
        <v>147</v>
      </c>
      <c r="P182" s="5">
        <v>43252</v>
      </c>
      <c r="Q182" s="5">
        <v>43252</v>
      </c>
      <c r="R182" s="5">
        <v>43256</v>
      </c>
      <c r="S182" s="5">
        <v>43256</v>
      </c>
      <c r="T182" s="5">
        <v>43258</v>
      </c>
      <c r="U182" s="1" t="s">
        <v>1285</v>
      </c>
      <c r="V182" s="4">
        <v>1</v>
      </c>
      <c r="W182" s="6">
        <v>4222</v>
      </c>
      <c r="X182" s="1" t="s">
        <v>983</v>
      </c>
      <c r="Y182" s="4">
        <v>10</v>
      </c>
      <c r="Z182" s="6">
        <v>422.2</v>
      </c>
      <c r="AA182" s="1" t="s">
        <v>1318</v>
      </c>
      <c r="AB182" s="1" t="s">
        <v>540</v>
      </c>
      <c r="AC182" s="1" t="s">
        <v>1202</v>
      </c>
      <c r="AD182" s="1" t="s">
        <v>704</v>
      </c>
      <c r="AE182" s="1" t="s">
        <v>987</v>
      </c>
      <c r="AF182" s="6">
        <v>4177.6000000000004</v>
      </c>
      <c r="AG182" s="6">
        <v>417.76000000000005</v>
      </c>
      <c r="AH182" s="1" t="s">
        <v>1177</v>
      </c>
      <c r="AI182" s="6">
        <v>44.399999999999636</v>
      </c>
      <c r="AJ182" s="6">
        <v>1.0516342965419147E-2</v>
      </c>
      <c r="AK182" s="1" t="s">
        <v>1177</v>
      </c>
      <c r="AL182" s="1" t="s">
        <v>432</v>
      </c>
      <c r="AM182" s="1" t="s">
        <v>552</v>
      </c>
      <c r="AN182" s="1" t="s">
        <v>95</v>
      </c>
      <c r="AO182" s="6">
        <v>44.399999999999636</v>
      </c>
      <c r="AP182" s="6">
        <v>1.0516342965419147E-2</v>
      </c>
      <c r="AQ182" s="2"/>
      <c r="AR182" s="7">
        <v>43259.502888007119</v>
      </c>
      <c r="AS182" s="5">
        <v>43263</v>
      </c>
      <c r="AT182" s="5">
        <v>43286</v>
      </c>
      <c r="AU182" s="1" t="s">
        <v>1287</v>
      </c>
      <c r="AV182" s="7">
        <v>43270.618470545356</v>
      </c>
      <c r="AW182" s="1" t="s">
        <v>299</v>
      </c>
      <c r="AX182" s="6">
        <v>4177.6000000000004</v>
      </c>
      <c r="AY182" s="5">
        <v>43259</v>
      </c>
      <c r="AZ182" s="5">
        <v>43269</v>
      </c>
      <c r="BA182" s="7">
        <v>43465</v>
      </c>
      <c r="BB182" s="1" t="s">
        <v>1310</v>
      </c>
      <c r="BC182" s="1"/>
      <c r="BD182" s="1" t="s">
        <v>901</v>
      </c>
    </row>
    <row r="183" spans="1:56" hidden="1" x14ac:dyDescent="0.25">
      <c r="A183" s="4">
        <v>178</v>
      </c>
      <c r="B183" s="2" t="str">
        <f>HYPERLINK("https://my.zakupki.prom.ua/remote/dispatcher/state_purchase_view/7049136", "UA-2018-05-07-001654-a")</f>
        <v>UA-2018-05-07-001654-a</v>
      </c>
      <c r="C183" s="2" t="s">
        <v>983</v>
      </c>
      <c r="D183" s="1" t="s">
        <v>914</v>
      </c>
      <c r="E183" s="1" t="s">
        <v>917</v>
      </c>
      <c r="F183" s="1" t="s">
        <v>324</v>
      </c>
      <c r="G183" s="1" t="s">
        <v>883</v>
      </c>
      <c r="H183" s="1" t="s">
        <v>987</v>
      </c>
      <c r="I183" s="1" t="s">
        <v>905</v>
      </c>
      <c r="J183" s="1" t="s">
        <v>158</v>
      </c>
      <c r="K183" s="1" t="s">
        <v>662</v>
      </c>
      <c r="L183" s="1" t="s">
        <v>1207</v>
      </c>
      <c r="M183" s="1" t="s">
        <v>147</v>
      </c>
      <c r="N183" s="1" t="s">
        <v>147</v>
      </c>
      <c r="O183" s="1" t="s">
        <v>147</v>
      </c>
      <c r="P183" s="5">
        <v>43227</v>
      </c>
      <c r="Q183" s="5">
        <v>43227</v>
      </c>
      <c r="R183" s="5">
        <v>43228</v>
      </c>
      <c r="S183" s="5">
        <v>43228</v>
      </c>
      <c r="T183" s="5">
        <v>43230</v>
      </c>
      <c r="U183" s="7">
        <v>43231.574166666665</v>
      </c>
      <c r="V183" s="4">
        <v>2</v>
      </c>
      <c r="W183" s="6">
        <v>7200</v>
      </c>
      <c r="X183" s="1" t="s">
        <v>983</v>
      </c>
      <c r="Y183" s="4">
        <v>2</v>
      </c>
      <c r="Z183" s="6">
        <v>3600</v>
      </c>
      <c r="AA183" s="1" t="s">
        <v>1318</v>
      </c>
      <c r="AB183" s="1" t="s">
        <v>540</v>
      </c>
      <c r="AC183" s="1" t="s">
        <v>1202</v>
      </c>
      <c r="AD183" s="1" t="s">
        <v>704</v>
      </c>
      <c r="AE183" s="1" t="s">
        <v>987</v>
      </c>
      <c r="AF183" s="6">
        <v>6700</v>
      </c>
      <c r="AG183" s="6">
        <v>3350</v>
      </c>
      <c r="AH183" s="1" t="s">
        <v>1169</v>
      </c>
      <c r="AI183" s="6">
        <v>500</v>
      </c>
      <c r="AJ183" s="6">
        <v>6.9444444444444448E-2</v>
      </c>
      <c r="AK183" s="1" t="s">
        <v>1169</v>
      </c>
      <c r="AL183" s="1" t="s">
        <v>452</v>
      </c>
      <c r="AM183" s="1" t="s">
        <v>546</v>
      </c>
      <c r="AN183" s="1" t="s">
        <v>109</v>
      </c>
      <c r="AO183" s="6">
        <v>500</v>
      </c>
      <c r="AP183" s="6">
        <v>6.9444444444444448E-2</v>
      </c>
      <c r="AQ183" s="2" t="str">
        <f>HYPERLINK("https://auction.openprocurement.org/tenders/a6e43047103e4734a6d06cef76049691")</f>
        <v>https://auction.openprocurement.org/tenders/a6e43047103e4734a6d06cef76049691</v>
      </c>
      <c r="AR183" s="7">
        <v>43234.477737562418</v>
      </c>
      <c r="AS183" s="5">
        <v>43236</v>
      </c>
      <c r="AT183" s="5">
        <v>43258</v>
      </c>
      <c r="AU183" s="1" t="s">
        <v>1287</v>
      </c>
      <c r="AV183" s="7">
        <v>43237.570635029944</v>
      </c>
      <c r="AW183" s="1" t="s">
        <v>275</v>
      </c>
      <c r="AX183" s="6">
        <v>6700</v>
      </c>
      <c r="AY183" s="5">
        <v>43234</v>
      </c>
      <c r="AZ183" s="5">
        <v>43251</v>
      </c>
      <c r="BA183" s="7">
        <v>43465</v>
      </c>
      <c r="BB183" s="1" t="s">
        <v>1310</v>
      </c>
      <c r="BC183" s="1"/>
      <c r="BD183" s="1" t="s">
        <v>901</v>
      </c>
    </row>
    <row r="184" spans="1:56" hidden="1" x14ac:dyDescent="0.25">
      <c r="A184" s="4">
        <v>179</v>
      </c>
      <c r="B184" s="2" t="str">
        <f>HYPERLINK("https://my.zakupki.prom.ua/remote/dispatcher/state_purchase_view/6947364", "UA-2018-04-25-001145-a")</f>
        <v>UA-2018-04-25-001145-a</v>
      </c>
      <c r="C184" s="2" t="s">
        <v>983</v>
      </c>
      <c r="D184" s="1" t="s">
        <v>785</v>
      </c>
      <c r="E184" s="1" t="s">
        <v>1</v>
      </c>
      <c r="F184" s="1" t="s">
        <v>355</v>
      </c>
      <c r="G184" s="1" t="s">
        <v>883</v>
      </c>
      <c r="H184" s="1" t="s">
        <v>987</v>
      </c>
      <c r="I184" s="1" t="s">
        <v>905</v>
      </c>
      <c r="J184" s="1" t="s">
        <v>158</v>
      </c>
      <c r="K184" s="1" t="s">
        <v>662</v>
      </c>
      <c r="L184" s="1" t="s">
        <v>1207</v>
      </c>
      <c r="M184" s="1" t="s">
        <v>147</v>
      </c>
      <c r="N184" s="1" t="s">
        <v>147</v>
      </c>
      <c r="O184" s="1" t="s">
        <v>147</v>
      </c>
      <c r="P184" s="5">
        <v>43215</v>
      </c>
      <c r="Q184" s="5">
        <v>43215</v>
      </c>
      <c r="R184" s="5">
        <v>43217</v>
      </c>
      <c r="S184" s="5">
        <v>43217</v>
      </c>
      <c r="T184" s="5">
        <v>43223</v>
      </c>
      <c r="U184" s="1" t="s">
        <v>1285</v>
      </c>
      <c r="V184" s="4">
        <v>1</v>
      </c>
      <c r="W184" s="6">
        <v>6080</v>
      </c>
      <c r="X184" s="1" t="s">
        <v>983</v>
      </c>
      <c r="Y184" s="4">
        <v>300</v>
      </c>
      <c r="Z184" s="6">
        <v>20.27</v>
      </c>
      <c r="AA184" s="1" t="s">
        <v>1318</v>
      </c>
      <c r="AB184" s="1" t="s">
        <v>540</v>
      </c>
      <c r="AC184" s="1" t="s">
        <v>1202</v>
      </c>
      <c r="AD184" s="1" t="s">
        <v>704</v>
      </c>
      <c r="AE184" s="1" t="s">
        <v>987</v>
      </c>
      <c r="AF184" s="6">
        <v>5985</v>
      </c>
      <c r="AG184" s="6">
        <v>19.95</v>
      </c>
      <c r="AH184" s="1" t="s">
        <v>1166</v>
      </c>
      <c r="AI184" s="6">
        <v>95</v>
      </c>
      <c r="AJ184" s="6">
        <v>1.5625E-2</v>
      </c>
      <c r="AK184" s="1" t="s">
        <v>1166</v>
      </c>
      <c r="AL184" s="1" t="s">
        <v>373</v>
      </c>
      <c r="AM184" s="1" t="s">
        <v>616</v>
      </c>
      <c r="AN184" s="1" t="s">
        <v>47</v>
      </c>
      <c r="AO184" s="6">
        <v>95</v>
      </c>
      <c r="AP184" s="6">
        <v>1.5625E-2</v>
      </c>
      <c r="AQ184" s="2"/>
      <c r="AR184" s="7">
        <v>43224.572341762127</v>
      </c>
      <c r="AS184" s="5">
        <v>43230</v>
      </c>
      <c r="AT184" s="5">
        <v>43247</v>
      </c>
      <c r="AU184" s="1" t="s">
        <v>1287</v>
      </c>
      <c r="AV184" s="7">
        <v>43237.558483501285</v>
      </c>
      <c r="AW184" s="1" t="s">
        <v>263</v>
      </c>
      <c r="AX184" s="6">
        <v>5985</v>
      </c>
      <c r="AY184" s="5">
        <v>43225</v>
      </c>
      <c r="AZ184" s="5">
        <v>43238</v>
      </c>
      <c r="BA184" s="7">
        <v>43465</v>
      </c>
      <c r="BB184" s="1" t="s">
        <v>1310</v>
      </c>
      <c r="BC184" s="1"/>
      <c r="BD184" s="1" t="s">
        <v>901</v>
      </c>
    </row>
    <row r="185" spans="1:56" hidden="1" x14ac:dyDescent="0.25">
      <c r="A185" s="4">
        <v>180</v>
      </c>
      <c r="B185" s="2" t="str">
        <f>HYPERLINK("https://my.zakupki.prom.ua/remote/dispatcher/state_purchase_view/6947194", "UA-2018-04-25-001114-a")</f>
        <v>UA-2018-04-25-001114-a</v>
      </c>
      <c r="C185" s="2" t="s">
        <v>983</v>
      </c>
      <c r="D185" s="1" t="s">
        <v>766</v>
      </c>
      <c r="E185" s="1" t="s">
        <v>7</v>
      </c>
      <c r="F185" s="1" t="s">
        <v>279</v>
      </c>
      <c r="G185" s="1" t="s">
        <v>883</v>
      </c>
      <c r="H185" s="1" t="s">
        <v>987</v>
      </c>
      <c r="I185" s="1" t="s">
        <v>905</v>
      </c>
      <c r="J185" s="1" t="s">
        <v>158</v>
      </c>
      <c r="K185" s="1" t="s">
        <v>662</v>
      </c>
      <c r="L185" s="1" t="s">
        <v>1207</v>
      </c>
      <c r="M185" s="1" t="s">
        <v>147</v>
      </c>
      <c r="N185" s="1" t="s">
        <v>147</v>
      </c>
      <c r="O185" s="1" t="s">
        <v>147</v>
      </c>
      <c r="P185" s="5">
        <v>43215</v>
      </c>
      <c r="Q185" s="5">
        <v>43215</v>
      </c>
      <c r="R185" s="5">
        <v>43217</v>
      </c>
      <c r="S185" s="5">
        <v>43217</v>
      </c>
      <c r="T185" s="5">
        <v>43223</v>
      </c>
      <c r="U185" s="7">
        <v>43224.62605324074</v>
      </c>
      <c r="V185" s="4">
        <v>2</v>
      </c>
      <c r="W185" s="6">
        <v>8000</v>
      </c>
      <c r="X185" s="1" t="s">
        <v>983</v>
      </c>
      <c r="Y185" s="4">
        <v>40</v>
      </c>
      <c r="Z185" s="6">
        <v>200</v>
      </c>
      <c r="AA185" s="1" t="s">
        <v>1316</v>
      </c>
      <c r="AB185" s="1" t="s">
        <v>540</v>
      </c>
      <c r="AC185" s="1" t="s">
        <v>1202</v>
      </c>
      <c r="AD185" s="1" t="s">
        <v>704</v>
      </c>
      <c r="AE185" s="1" t="s">
        <v>987</v>
      </c>
      <c r="AF185" s="6">
        <v>6200</v>
      </c>
      <c r="AG185" s="6">
        <v>155</v>
      </c>
      <c r="AH185" s="1" t="s">
        <v>1147</v>
      </c>
      <c r="AI185" s="6">
        <v>1800</v>
      </c>
      <c r="AJ185" s="6">
        <v>0.22500000000000001</v>
      </c>
      <c r="AK185" s="1" t="s">
        <v>1147</v>
      </c>
      <c r="AL185" s="1" t="s">
        <v>429</v>
      </c>
      <c r="AM185" s="1" t="s">
        <v>628</v>
      </c>
      <c r="AN185" s="1" t="s">
        <v>37</v>
      </c>
      <c r="AO185" s="6">
        <v>1800</v>
      </c>
      <c r="AP185" s="6">
        <v>0.22500000000000001</v>
      </c>
      <c r="AQ185" s="2" t="str">
        <f>HYPERLINK("https://auction.openprocurement.org/tenders/35181c4315114910ba62ffbc27277553")</f>
        <v>https://auction.openprocurement.org/tenders/35181c4315114910ba62ffbc27277553</v>
      </c>
      <c r="AR185" s="7">
        <v>43227.614956930345</v>
      </c>
      <c r="AS185" s="5">
        <v>43231</v>
      </c>
      <c r="AT185" s="5">
        <v>43247</v>
      </c>
      <c r="AU185" s="1" t="s">
        <v>1287</v>
      </c>
      <c r="AV185" s="7">
        <v>43231.65596371267</v>
      </c>
      <c r="AW185" s="1" t="s">
        <v>240</v>
      </c>
      <c r="AX185" s="6">
        <v>6200</v>
      </c>
      <c r="AY185" s="5">
        <v>43225</v>
      </c>
      <c r="AZ185" s="5">
        <v>43238</v>
      </c>
      <c r="BA185" s="7">
        <v>43465</v>
      </c>
      <c r="BB185" s="1" t="s">
        <v>1310</v>
      </c>
      <c r="BC185" s="1"/>
      <c r="BD185" s="1" t="s">
        <v>901</v>
      </c>
    </row>
    <row r="186" spans="1:56" hidden="1" x14ac:dyDescent="0.25">
      <c r="A186" s="4">
        <v>181</v>
      </c>
      <c r="B186" s="2" t="str">
        <f>HYPERLINK("https://my.zakupki.prom.ua/remote/dispatcher/state_purchase_view/6947145", "UA-2018-04-25-001096-a")</f>
        <v>UA-2018-04-25-001096-a</v>
      </c>
      <c r="C186" s="2" t="s">
        <v>983</v>
      </c>
      <c r="D186" s="1" t="s">
        <v>756</v>
      </c>
      <c r="E186" s="1" t="s">
        <v>1038</v>
      </c>
      <c r="F186" s="1" t="s">
        <v>283</v>
      </c>
      <c r="G186" s="1" t="s">
        <v>883</v>
      </c>
      <c r="H186" s="1" t="s">
        <v>987</v>
      </c>
      <c r="I186" s="1" t="s">
        <v>905</v>
      </c>
      <c r="J186" s="1" t="s">
        <v>158</v>
      </c>
      <c r="K186" s="1" t="s">
        <v>662</v>
      </c>
      <c r="L186" s="1" t="s">
        <v>1207</v>
      </c>
      <c r="M186" s="1" t="s">
        <v>147</v>
      </c>
      <c r="N186" s="1" t="s">
        <v>147</v>
      </c>
      <c r="O186" s="1" t="s">
        <v>147</v>
      </c>
      <c r="P186" s="5">
        <v>43215</v>
      </c>
      <c r="Q186" s="5">
        <v>43215</v>
      </c>
      <c r="R186" s="5">
        <v>43217</v>
      </c>
      <c r="S186" s="5">
        <v>43217</v>
      </c>
      <c r="T186" s="5">
        <v>43223</v>
      </c>
      <c r="U186" s="7">
        <v>43224.472754629627</v>
      </c>
      <c r="V186" s="4">
        <v>2</v>
      </c>
      <c r="W186" s="6">
        <v>16584</v>
      </c>
      <c r="X186" s="1" t="s">
        <v>983</v>
      </c>
      <c r="Y186" s="4">
        <v>24</v>
      </c>
      <c r="Z186" s="6">
        <v>691</v>
      </c>
      <c r="AA186" s="1" t="s">
        <v>1318</v>
      </c>
      <c r="AB186" s="1" t="s">
        <v>540</v>
      </c>
      <c r="AC186" s="1" t="s">
        <v>1202</v>
      </c>
      <c r="AD186" s="1" t="s">
        <v>704</v>
      </c>
      <c r="AE186" s="1" t="s">
        <v>987</v>
      </c>
      <c r="AF186" s="6">
        <v>8690</v>
      </c>
      <c r="AG186" s="6">
        <v>362.08333333333331</v>
      </c>
      <c r="AH186" s="1" t="s">
        <v>1141</v>
      </c>
      <c r="AI186" s="6">
        <v>7894</v>
      </c>
      <c r="AJ186" s="6">
        <v>0.47600096478533527</v>
      </c>
      <c r="AK186" s="1" t="s">
        <v>1141</v>
      </c>
      <c r="AL186" s="1" t="s">
        <v>431</v>
      </c>
      <c r="AM186" s="1" t="s">
        <v>623</v>
      </c>
      <c r="AN186" s="1" t="s">
        <v>124</v>
      </c>
      <c r="AO186" s="6">
        <v>7894</v>
      </c>
      <c r="AP186" s="6">
        <v>0.47600096478533527</v>
      </c>
      <c r="AQ186" s="2" t="str">
        <f>HYPERLINK("https://auction.openprocurement.org/tenders/293997bcb2e84984a99cca7f0e84bf15")</f>
        <v>https://auction.openprocurement.org/tenders/293997bcb2e84984a99cca7f0e84bf15</v>
      </c>
      <c r="AR186" s="7">
        <v>43224.573577587813</v>
      </c>
      <c r="AS186" s="5">
        <v>43230</v>
      </c>
      <c r="AT186" s="5">
        <v>43247</v>
      </c>
      <c r="AU186" s="1" t="s">
        <v>1287</v>
      </c>
      <c r="AV186" s="7">
        <v>43230.702831603136</v>
      </c>
      <c r="AW186" s="1" t="s">
        <v>155</v>
      </c>
      <c r="AX186" s="6">
        <v>8690</v>
      </c>
      <c r="AY186" s="5">
        <v>43225</v>
      </c>
      <c r="AZ186" s="5">
        <v>43238</v>
      </c>
      <c r="BA186" s="7">
        <v>43465</v>
      </c>
      <c r="BB186" s="1" t="s">
        <v>1310</v>
      </c>
      <c r="BC186" s="1"/>
      <c r="BD186" s="1" t="s">
        <v>901</v>
      </c>
    </row>
    <row r="187" spans="1:56" hidden="1" x14ac:dyDescent="0.25">
      <c r="A187" s="4">
        <v>182</v>
      </c>
      <c r="B187" s="2" t="str">
        <f>HYPERLINK("https://my.zakupki.prom.ua/remote/dispatcher/state_purchase_view/6776563", "UA-2018-04-06-001622-a")</f>
        <v>UA-2018-04-06-001622-a</v>
      </c>
      <c r="C187" s="2" t="s">
        <v>983</v>
      </c>
      <c r="D187" s="1" t="s">
        <v>808</v>
      </c>
      <c r="E187" s="1" t="s">
        <v>31</v>
      </c>
      <c r="F187" s="1" t="s">
        <v>381</v>
      </c>
      <c r="G187" s="1" t="s">
        <v>883</v>
      </c>
      <c r="H187" s="1" t="s">
        <v>987</v>
      </c>
      <c r="I187" s="1" t="s">
        <v>905</v>
      </c>
      <c r="J187" s="1" t="s">
        <v>158</v>
      </c>
      <c r="K187" s="1" t="s">
        <v>662</v>
      </c>
      <c r="L187" s="1" t="s">
        <v>1207</v>
      </c>
      <c r="M187" s="1" t="s">
        <v>147</v>
      </c>
      <c r="N187" s="1" t="s">
        <v>147</v>
      </c>
      <c r="O187" s="1" t="s">
        <v>147</v>
      </c>
      <c r="P187" s="5">
        <v>43196</v>
      </c>
      <c r="Q187" s="5">
        <v>43196</v>
      </c>
      <c r="R187" s="5">
        <v>43200</v>
      </c>
      <c r="S187" s="5">
        <v>43200</v>
      </c>
      <c r="T187" s="5">
        <v>43202</v>
      </c>
      <c r="U187" s="1" t="s">
        <v>1285</v>
      </c>
      <c r="V187" s="4">
        <v>1</v>
      </c>
      <c r="W187" s="6">
        <v>3991.2</v>
      </c>
      <c r="X187" s="1" t="s">
        <v>983</v>
      </c>
      <c r="Y187" s="4">
        <v>12</v>
      </c>
      <c r="Z187" s="6">
        <v>332.6</v>
      </c>
      <c r="AA187" s="1" t="s">
        <v>1318</v>
      </c>
      <c r="AB187" s="1" t="s">
        <v>540</v>
      </c>
      <c r="AC187" s="1" t="s">
        <v>1202</v>
      </c>
      <c r="AD187" s="1" t="s">
        <v>704</v>
      </c>
      <c r="AE187" s="1" t="s">
        <v>987</v>
      </c>
      <c r="AF187" s="6">
        <v>2522.35</v>
      </c>
      <c r="AG187" s="6">
        <v>210.19583333333333</v>
      </c>
      <c r="AH187" s="1" t="s">
        <v>1062</v>
      </c>
      <c r="AI187" s="6">
        <v>1468.85</v>
      </c>
      <c r="AJ187" s="6">
        <v>0.36802214872719985</v>
      </c>
      <c r="AK187" s="1" t="s">
        <v>1062</v>
      </c>
      <c r="AL187" s="1" t="s">
        <v>200</v>
      </c>
      <c r="AM187" s="1" t="s">
        <v>606</v>
      </c>
      <c r="AN187" s="1" t="s">
        <v>61</v>
      </c>
      <c r="AO187" s="6">
        <v>1468.85</v>
      </c>
      <c r="AP187" s="6">
        <v>0.36802214872719985</v>
      </c>
      <c r="AQ187" s="2"/>
      <c r="AR187" s="7">
        <v>43203.484969172023</v>
      </c>
      <c r="AS187" s="5">
        <v>43207</v>
      </c>
      <c r="AT187" s="5">
        <v>43230</v>
      </c>
      <c r="AU187" s="1" t="s">
        <v>1287</v>
      </c>
      <c r="AV187" s="7">
        <v>43213.362333450881</v>
      </c>
      <c r="AW187" s="1" t="s">
        <v>416</v>
      </c>
      <c r="AX187" s="6">
        <v>2522.35</v>
      </c>
      <c r="AY187" s="5">
        <v>43206</v>
      </c>
      <c r="AZ187" s="5">
        <v>43220</v>
      </c>
      <c r="BA187" s="7">
        <v>43465</v>
      </c>
      <c r="BB187" s="1" t="s">
        <v>1310</v>
      </c>
      <c r="BC187" s="1"/>
      <c r="BD187" s="1" t="s">
        <v>901</v>
      </c>
    </row>
    <row r="188" spans="1:56" hidden="1" x14ac:dyDescent="0.25">
      <c r="A188" s="4">
        <v>183</v>
      </c>
      <c r="B188" s="2" t="str">
        <f>HYPERLINK("https://my.zakupki.prom.ua/remote/dispatcher/state_purchase_view/6776462", "UA-2018-04-06-001605-a")</f>
        <v>UA-2018-04-06-001605-a</v>
      </c>
      <c r="C188" s="2" t="s">
        <v>983</v>
      </c>
      <c r="D188" s="1" t="s">
        <v>821</v>
      </c>
      <c r="E188" s="1" t="s">
        <v>1126</v>
      </c>
      <c r="F188" s="1" t="s">
        <v>381</v>
      </c>
      <c r="G188" s="1" t="s">
        <v>883</v>
      </c>
      <c r="H188" s="1" t="s">
        <v>987</v>
      </c>
      <c r="I188" s="1" t="s">
        <v>905</v>
      </c>
      <c r="J188" s="1" t="s">
        <v>158</v>
      </c>
      <c r="K188" s="1" t="s">
        <v>662</v>
      </c>
      <c r="L188" s="1" t="s">
        <v>1207</v>
      </c>
      <c r="M188" s="1" t="s">
        <v>147</v>
      </c>
      <c r="N188" s="1" t="s">
        <v>147</v>
      </c>
      <c r="O188" s="1" t="s">
        <v>147</v>
      </c>
      <c r="P188" s="5">
        <v>43196</v>
      </c>
      <c r="Q188" s="5">
        <v>43196</v>
      </c>
      <c r="R188" s="5">
        <v>43200</v>
      </c>
      <c r="S188" s="5">
        <v>43200</v>
      </c>
      <c r="T188" s="5">
        <v>43202</v>
      </c>
      <c r="U188" s="1" t="s">
        <v>1285</v>
      </c>
      <c r="V188" s="4">
        <v>1</v>
      </c>
      <c r="W188" s="6">
        <v>7464</v>
      </c>
      <c r="X188" s="1" t="s">
        <v>983</v>
      </c>
      <c r="Y188" s="4">
        <v>11</v>
      </c>
      <c r="Z188" s="6">
        <v>678.55</v>
      </c>
      <c r="AA188" s="1" t="s">
        <v>1318</v>
      </c>
      <c r="AB188" s="1" t="s">
        <v>540</v>
      </c>
      <c r="AC188" s="1" t="s">
        <v>1202</v>
      </c>
      <c r="AD188" s="1" t="s">
        <v>704</v>
      </c>
      <c r="AE188" s="1" t="s">
        <v>987</v>
      </c>
      <c r="AF188" s="6">
        <v>7200.24</v>
      </c>
      <c r="AG188" s="6">
        <v>654.56727272727267</v>
      </c>
      <c r="AH188" s="1" t="s">
        <v>1177</v>
      </c>
      <c r="AI188" s="6">
        <v>263.76000000000022</v>
      </c>
      <c r="AJ188" s="6">
        <v>3.5337620578778164E-2</v>
      </c>
      <c r="AK188" s="1" t="s">
        <v>1177</v>
      </c>
      <c r="AL188" s="1" t="s">
        <v>432</v>
      </c>
      <c r="AM188" s="1" t="s">
        <v>552</v>
      </c>
      <c r="AN188" s="1" t="s">
        <v>95</v>
      </c>
      <c r="AO188" s="6">
        <v>263.76000000000022</v>
      </c>
      <c r="AP188" s="6">
        <v>3.5337620578778164E-2</v>
      </c>
      <c r="AQ188" s="2"/>
      <c r="AR188" s="7">
        <v>43203.484027244929</v>
      </c>
      <c r="AS188" s="5">
        <v>43207</v>
      </c>
      <c r="AT188" s="5">
        <v>43230</v>
      </c>
      <c r="AU188" s="1" t="s">
        <v>1287</v>
      </c>
      <c r="AV188" s="7">
        <v>43208.704769566415</v>
      </c>
      <c r="AW188" s="1" t="s">
        <v>215</v>
      </c>
      <c r="AX188" s="6">
        <v>7200.24</v>
      </c>
      <c r="AY188" s="5">
        <v>43206</v>
      </c>
      <c r="AZ188" s="5">
        <v>43220</v>
      </c>
      <c r="BA188" s="7">
        <v>43465</v>
      </c>
      <c r="BB188" s="1" t="s">
        <v>1310</v>
      </c>
      <c r="BC188" s="1"/>
      <c r="BD188" s="1" t="s">
        <v>901</v>
      </c>
    </row>
    <row r="189" spans="1:56" hidden="1" x14ac:dyDescent="0.25">
      <c r="A189" s="4">
        <v>184</v>
      </c>
      <c r="B189" s="2" t="str">
        <f>HYPERLINK("https://my.zakupki.prom.ua/remote/dispatcher/state_purchase_view/6742729", "UA-2018-04-04-000978-a")</f>
        <v>UA-2018-04-04-000978-a</v>
      </c>
      <c r="C189" s="2" t="s">
        <v>983</v>
      </c>
      <c r="D189" s="1" t="s">
        <v>860</v>
      </c>
      <c r="E189" s="1" t="s">
        <v>909</v>
      </c>
      <c r="F189" s="1" t="s">
        <v>375</v>
      </c>
      <c r="G189" s="1" t="s">
        <v>883</v>
      </c>
      <c r="H189" s="1" t="s">
        <v>987</v>
      </c>
      <c r="I189" s="1" t="s">
        <v>905</v>
      </c>
      <c r="J189" s="1" t="s">
        <v>158</v>
      </c>
      <c r="K189" s="1" t="s">
        <v>662</v>
      </c>
      <c r="L189" s="1" t="s">
        <v>1207</v>
      </c>
      <c r="M189" s="1" t="s">
        <v>147</v>
      </c>
      <c r="N189" s="1" t="s">
        <v>147</v>
      </c>
      <c r="O189" s="1" t="s">
        <v>147</v>
      </c>
      <c r="P189" s="5">
        <v>43194</v>
      </c>
      <c r="Q189" s="5">
        <v>43194</v>
      </c>
      <c r="R189" s="5">
        <v>43196</v>
      </c>
      <c r="S189" s="5">
        <v>43196</v>
      </c>
      <c r="T189" s="5">
        <v>43200</v>
      </c>
      <c r="U189" s="1" t="s">
        <v>1285</v>
      </c>
      <c r="V189" s="4">
        <v>1</v>
      </c>
      <c r="W189" s="6">
        <v>5492</v>
      </c>
      <c r="X189" s="1" t="s">
        <v>983</v>
      </c>
      <c r="Y189" s="4">
        <v>233</v>
      </c>
      <c r="Z189" s="6">
        <v>23.57</v>
      </c>
      <c r="AA189" s="1" t="s">
        <v>1318</v>
      </c>
      <c r="AB189" s="1" t="s">
        <v>540</v>
      </c>
      <c r="AC189" s="1" t="s">
        <v>1202</v>
      </c>
      <c r="AD189" s="1" t="s">
        <v>704</v>
      </c>
      <c r="AE189" s="1" t="s">
        <v>987</v>
      </c>
      <c r="AF189" s="6">
        <v>4988.22</v>
      </c>
      <c r="AG189" s="6">
        <v>21.408669527896997</v>
      </c>
      <c r="AH189" s="1" t="s">
        <v>1145</v>
      </c>
      <c r="AI189" s="6">
        <v>503.77999999999975</v>
      </c>
      <c r="AJ189" s="6">
        <v>9.1729788783685318E-2</v>
      </c>
      <c r="AK189" s="1" t="s">
        <v>1145</v>
      </c>
      <c r="AL189" s="1" t="s">
        <v>440</v>
      </c>
      <c r="AM189" s="1" t="s">
        <v>578</v>
      </c>
      <c r="AN189" s="1" t="s">
        <v>111</v>
      </c>
      <c r="AO189" s="6">
        <v>503.77999999999975</v>
      </c>
      <c r="AP189" s="6">
        <v>9.1729788783685318E-2</v>
      </c>
      <c r="AQ189" s="2"/>
      <c r="AR189" s="7">
        <v>43202.566453242594</v>
      </c>
      <c r="AS189" s="5">
        <v>43206</v>
      </c>
      <c r="AT189" s="5">
        <v>43226</v>
      </c>
      <c r="AU189" s="1" t="s">
        <v>1287</v>
      </c>
      <c r="AV189" s="7">
        <v>43206.673712431773</v>
      </c>
      <c r="AW189" s="1" t="s">
        <v>232</v>
      </c>
      <c r="AX189" s="6">
        <v>4988.22</v>
      </c>
      <c r="AY189" s="5">
        <v>43201</v>
      </c>
      <c r="AZ189" s="5">
        <v>43220</v>
      </c>
      <c r="BA189" s="7">
        <v>43465</v>
      </c>
      <c r="BB189" s="1" t="s">
        <v>1310</v>
      </c>
      <c r="BC189" s="1"/>
      <c r="BD189" s="1" t="s">
        <v>901</v>
      </c>
    </row>
    <row r="190" spans="1:56" hidden="1" x14ac:dyDescent="0.25">
      <c r="A190" s="4">
        <v>185</v>
      </c>
      <c r="B190" s="2" t="str">
        <f>HYPERLINK("https://my.zakupki.prom.ua/remote/dispatcher/state_purchase_view/6667455", "UA-2018-03-28-000425-a")</f>
        <v>UA-2018-03-28-000425-a</v>
      </c>
      <c r="C190" s="2" t="s">
        <v>983</v>
      </c>
      <c r="D190" s="1" t="s">
        <v>717</v>
      </c>
      <c r="E190" s="1" t="s">
        <v>668</v>
      </c>
      <c r="F190" s="1" t="s">
        <v>168</v>
      </c>
      <c r="G190" s="1" t="s">
        <v>883</v>
      </c>
      <c r="H190" s="1" t="s">
        <v>987</v>
      </c>
      <c r="I190" s="1" t="s">
        <v>905</v>
      </c>
      <c r="J190" s="1" t="s">
        <v>158</v>
      </c>
      <c r="K190" s="1" t="s">
        <v>662</v>
      </c>
      <c r="L190" s="1" t="s">
        <v>1207</v>
      </c>
      <c r="M190" s="1" t="s">
        <v>147</v>
      </c>
      <c r="N190" s="1" t="s">
        <v>147</v>
      </c>
      <c r="O190" s="1" t="s">
        <v>147</v>
      </c>
      <c r="P190" s="5">
        <v>43187</v>
      </c>
      <c r="Q190" s="5">
        <v>43187</v>
      </c>
      <c r="R190" s="5">
        <v>43188</v>
      </c>
      <c r="S190" s="5">
        <v>43188</v>
      </c>
      <c r="T190" s="5">
        <v>43189</v>
      </c>
      <c r="U190" s="7">
        <v>43192.614837962959</v>
      </c>
      <c r="V190" s="4">
        <v>2</v>
      </c>
      <c r="W190" s="6">
        <v>29700</v>
      </c>
      <c r="X190" s="1" t="s">
        <v>983</v>
      </c>
      <c r="Y190" s="4">
        <v>1080</v>
      </c>
      <c r="Z190" s="6">
        <v>27.5</v>
      </c>
      <c r="AA190" s="1" t="s">
        <v>1299</v>
      </c>
      <c r="AB190" s="1" t="s">
        <v>540</v>
      </c>
      <c r="AC190" s="1" t="s">
        <v>1202</v>
      </c>
      <c r="AD190" s="1" t="s">
        <v>704</v>
      </c>
      <c r="AE190" s="1" t="s">
        <v>987</v>
      </c>
      <c r="AF190" s="6">
        <v>28900.799999999999</v>
      </c>
      <c r="AG190" s="6">
        <v>26.759999999999998</v>
      </c>
      <c r="AH190" s="1" t="s">
        <v>1152</v>
      </c>
      <c r="AI190" s="6">
        <v>799.20000000000073</v>
      </c>
      <c r="AJ190" s="6">
        <v>2.6909090909090935E-2</v>
      </c>
      <c r="AK190" s="1" t="s">
        <v>1152</v>
      </c>
      <c r="AL190" s="1" t="s">
        <v>448</v>
      </c>
      <c r="AM190" s="1" t="s">
        <v>160</v>
      </c>
      <c r="AN190" s="1" t="s">
        <v>51</v>
      </c>
      <c r="AO190" s="6">
        <v>799.20000000000073</v>
      </c>
      <c r="AP190" s="6">
        <v>2.6909090909090935E-2</v>
      </c>
      <c r="AQ190" s="2" t="str">
        <f>HYPERLINK("https://auction.openprocurement.org/tenders/8b3e73d32ce54944b9343706b4faa4c8")</f>
        <v>https://auction.openprocurement.org/tenders/8b3e73d32ce54944b9343706b4faa4c8</v>
      </c>
      <c r="AR190" s="7">
        <v>43192.654336734384</v>
      </c>
      <c r="AS190" s="5">
        <v>43194</v>
      </c>
      <c r="AT190" s="5">
        <v>43218</v>
      </c>
      <c r="AU190" s="1" t="s">
        <v>1287</v>
      </c>
      <c r="AV190" s="7">
        <v>43203.397265478816</v>
      </c>
      <c r="AW190" s="1" t="s">
        <v>217</v>
      </c>
      <c r="AX190" s="6">
        <v>28900.799999999999</v>
      </c>
      <c r="AY190" s="5">
        <v>43192</v>
      </c>
      <c r="AZ190" s="5">
        <v>43465</v>
      </c>
      <c r="BA190" s="7">
        <v>43465</v>
      </c>
      <c r="BB190" s="1" t="s">
        <v>1310</v>
      </c>
      <c r="BC190" s="1"/>
      <c r="BD190" s="1" t="s">
        <v>901</v>
      </c>
    </row>
    <row r="191" spans="1:56" hidden="1" x14ac:dyDescent="0.25">
      <c r="A191" s="4">
        <v>186</v>
      </c>
      <c r="B191" s="2" t="str">
        <f>HYPERLINK("https://my.zakupki.prom.ua/remote/dispatcher/state_purchase_view/6608682", "UA-2018-03-22-001507-b")</f>
        <v>UA-2018-03-22-001507-b</v>
      </c>
      <c r="C191" s="2" t="s">
        <v>983</v>
      </c>
      <c r="D191" s="1" t="s">
        <v>751</v>
      </c>
      <c r="E191" s="1" t="s">
        <v>690</v>
      </c>
      <c r="F191" s="1" t="s">
        <v>355</v>
      </c>
      <c r="G191" s="1" t="s">
        <v>883</v>
      </c>
      <c r="H191" s="1" t="s">
        <v>987</v>
      </c>
      <c r="I191" s="1" t="s">
        <v>905</v>
      </c>
      <c r="J191" s="1" t="s">
        <v>158</v>
      </c>
      <c r="K191" s="1" t="s">
        <v>662</v>
      </c>
      <c r="L191" s="1" t="s">
        <v>1207</v>
      </c>
      <c r="M191" s="1" t="s">
        <v>147</v>
      </c>
      <c r="N191" s="1" t="s">
        <v>147</v>
      </c>
      <c r="O191" s="1" t="s">
        <v>147</v>
      </c>
      <c r="P191" s="5">
        <v>43181</v>
      </c>
      <c r="Q191" s="5">
        <v>43181</v>
      </c>
      <c r="R191" s="5">
        <v>43185</v>
      </c>
      <c r="S191" s="5">
        <v>43185</v>
      </c>
      <c r="T191" s="5">
        <v>43188</v>
      </c>
      <c r="U191" s="7">
        <v>43189.51489583333</v>
      </c>
      <c r="V191" s="4">
        <v>3</v>
      </c>
      <c r="W191" s="6">
        <v>24759</v>
      </c>
      <c r="X191" s="1" t="s">
        <v>983</v>
      </c>
      <c r="Y191" s="4">
        <v>8200</v>
      </c>
      <c r="Z191" s="6">
        <v>3.02</v>
      </c>
      <c r="AA191" s="1" t="s">
        <v>1318</v>
      </c>
      <c r="AB191" s="1" t="s">
        <v>540</v>
      </c>
      <c r="AC191" s="1" t="s">
        <v>1202</v>
      </c>
      <c r="AD191" s="1" t="s">
        <v>704</v>
      </c>
      <c r="AE191" s="1" t="s">
        <v>987</v>
      </c>
      <c r="AF191" s="6">
        <v>11881</v>
      </c>
      <c r="AG191" s="6">
        <v>1.4489024390243903</v>
      </c>
      <c r="AH191" s="1" t="s">
        <v>1166</v>
      </c>
      <c r="AI191" s="6">
        <v>12878</v>
      </c>
      <c r="AJ191" s="6">
        <v>0.52013409265317667</v>
      </c>
      <c r="AK191" s="1" t="s">
        <v>1166</v>
      </c>
      <c r="AL191" s="1" t="s">
        <v>373</v>
      </c>
      <c r="AM191" s="1" t="s">
        <v>616</v>
      </c>
      <c r="AN191" s="1" t="s">
        <v>47</v>
      </c>
      <c r="AO191" s="6">
        <v>12878</v>
      </c>
      <c r="AP191" s="6">
        <v>0.52013409265317667</v>
      </c>
      <c r="AQ191" s="2" t="str">
        <f>HYPERLINK("https://auction.openprocurement.org/tenders/4b153218552a40b480f65b66126caf88")</f>
        <v>https://auction.openprocurement.org/tenders/4b153218552a40b480f65b66126caf88</v>
      </c>
      <c r="AR191" s="7">
        <v>43192.620640416331</v>
      </c>
      <c r="AS191" s="5">
        <v>43194</v>
      </c>
      <c r="AT191" s="5">
        <v>43215</v>
      </c>
      <c r="AU191" s="1" t="s">
        <v>1287</v>
      </c>
      <c r="AV191" s="7">
        <v>43202.706009333793</v>
      </c>
      <c r="AW191" s="1" t="s">
        <v>222</v>
      </c>
      <c r="AX191" s="6">
        <v>11881</v>
      </c>
      <c r="AY191" s="5">
        <v>43192</v>
      </c>
      <c r="AZ191" s="5">
        <v>43206</v>
      </c>
      <c r="BA191" s="7">
        <v>43465</v>
      </c>
      <c r="BB191" s="1" t="s">
        <v>1310</v>
      </c>
      <c r="BC191" s="1"/>
      <c r="BD191" s="1" t="s">
        <v>901</v>
      </c>
    </row>
    <row r="192" spans="1:56" hidden="1" x14ac:dyDescent="0.25">
      <c r="A192" s="4">
        <v>187</v>
      </c>
      <c r="B192" s="2" t="str">
        <f>HYPERLINK("https://my.zakupki.prom.ua/remote/dispatcher/state_purchase_view/6502498", "UA-2018-03-14-000894-c")</f>
        <v>UA-2018-03-14-000894-c</v>
      </c>
      <c r="C192" s="2" t="s">
        <v>983</v>
      </c>
      <c r="D192" s="1" t="s">
        <v>925</v>
      </c>
      <c r="E192" s="1" t="s">
        <v>647</v>
      </c>
      <c r="F192" s="1" t="s">
        <v>504</v>
      </c>
      <c r="G192" s="1" t="s">
        <v>883</v>
      </c>
      <c r="H192" s="1" t="s">
        <v>987</v>
      </c>
      <c r="I192" s="1" t="s">
        <v>905</v>
      </c>
      <c r="J192" s="1" t="s">
        <v>158</v>
      </c>
      <c r="K192" s="1" t="s">
        <v>662</v>
      </c>
      <c r="L192" s="1" t="s">
        <v>1207</v>
      </c>
      <c r="M192" s="1" t="s">
        <v>147</v>
      </c>
      <c r="N192" s="1" t="s">
        <v>147</v>
      </c>
      <c r="O192" s="1" t="s">
        <v>147</v>
      </c>
      <c r="P192" s="5">
        <v>43173</v>
      </c>
      <c r="Q192" s="5">
        <v>43173</v>
      </c>
      <c r="R192" s="5">
        <v>43174</v>
      </c>
      <c r="S192" s="5">
        <v>43174</v>
      </c>
      <c r="T192" s="5">
        <v>43175</v>
      </c>
      <c r="U192" s="7">
        <v>43178.466469907406</v>
      </c>
      <c r="V192" s="4">
        <v>2</v>
      </c>
      <c r="W192" s="6">
        <v>5351.62</v>
      </c>
      <c r="X192" s="1" t="s">
        <v>983</v>
      </c>
      <c r="Y192" s="4">
        <v>12</v>
      </c>
      <c r="Z192" s="6">
        <v>445.97</v>
      </c>
      <c r="AA192" s="1" t="s">
        <v>1307</v>
      </c>
      <c r="AB192" s="1" t="s">
        <v>540</v>
      </c>
      <c r="AC192" s="1" t="s">
        <v>1202</v>
      </c>
      <c r="AD192" s="1" t="s">
        <v>704</v>
      </c>
      <c r="AE192" s="1" t="s">
        <v>987</v>
      </c>
      <c r="AF192" s="6">
        <v>4940</v>
      </c>
      <c r="AG192" s="6">
        <v>411.66666666666669</v>
      </c>
      <c r="AH192" s="1" t="s">
        <v>1164</v>
      </c>
      <c r="AI192" s="6">
        <v>411.61999999999989</v>
      </c>
      <c r="AJ192" s="6">
        <v>7.6915027599119501E-2</v>
      </c>
      <c r="AK192" s="1" t="s">
        <v>1164</v>
      </c>
      <c r="AL192" s="1" t="s">
        <v>405</v>
      </c>
      <c r="AM192" s="1" t="s">
        <v>621</v>
      </c>
      <c r="AN192" s="1" t="s">
        <v>76</v>
      </c>
      <c r="AO192" s="6">
        <v>411.61999999999989</v>
      </c>
      <c r="AP192" s="6">
        <v>7.6915027599119501E-2</v>
      </c>
      <c r="AQ192" s="2" t="str">
        <f>HYPERLINK("https://auction.openprocurement.org/tenders/64fcf7755dc64278bcbf460c5c6ad669")</f>
        <v>https://auction.openprocurement.org/tenders/64fcf7755dc64278bcbf460c5c6ad669</v>
      </c>
      <c r="AR192" s="7">
        <v>43179.585597125624</v>
      </c>
      <c r="AS192" s="5">
        <v>43181</v>
      </c>
      <c r="AT192" s="5">
        <v>43204</v>
      </c>
      <c r="AU192" s="1" t="s">
        <v>1287</v>
      </c>
      <c r="AV192" s="7">
        <v>43182.565120166895</v>
      </c>
      <c r="AW192" s="1" t="s">
        <v>214</v>
      </c>
      <c r="AX192" s="6">
        <v>4940</v>
      </c>
      <c r="AY192" s="5">
        <v>43179</v>
      </c>
      <c r="AZ192" s="5">
        <v>43189</v>
      </c>
      <c r="BA192" s="7">
        <v>43465</v>
      </c>
      <c r="BB192" s="1" t="s">
        <v>1310</v>
      </c>
      <c r="BC192" s="1"/>
      <c r="BD192" s="1" t="s">
        <v>901</v>
      </c>
    </row>
    <row r="193" spans="1:56" hidden="1" x14ac:dyDescent="0.25">
      <c r="A193" s="4">
        <v>188</v>
      </c>
      <c r="B193" s="2" t="str">
        <f>HYPERLINK("https://my.zakupki.prom.ua/remote/dispatcher/state_purchase_view/6350945", "UA-2018-02-27-001288-c")</f>
        <v>UA-2018-02-27-001288-c</v>
      </c>
      <c r="C193" s="2" t="s">
        <v>983</v>
      </c>
      <c r="D193" s="1" t="s">
        <v>789</v>
      </c>
      <c r="E193" s="1" t="s">
        <v>181</v>
      </c>
      <c r="F193" s="1" t="s">
        <v>368</v>
      </c>
      <c r="G193" s="1" t="s">
        <v>883</v>
      </c>
      <c r="H193" s="1" t="s">
        <v>987</v>
      </c>
      <c r="I193" s="1" t="s">
        <v>905</v>
      </c>
      <c r="J193" s="1" t="s">
        <v>158</v>
      </c>
      <c r="K193" s="1" t="s">
        <v>662</v>
      </c>
      <c r="L193" s="1" t="s">
        <v>1207</v>
      </c>
      <c r="M193" s="1" t="s">
        <v>147</v>
      </c>
      <c r="N193" s="1" t="s">
        <v>147</v>
      </c>
      <c r="O193" s="1" t="s">
        <v>147</v>
      </c>
      <c r="P193" s="5">
        <v>43158</v>
      </c>
      <c r="Q193" s="5">
        <v>43158</v>
      </c>
      <c r="R193" s="5">
        <v>43162</v>
      </c>
      <c r="S193" s="5">
        <v>43162</v>
      </c>
      <c r="T193" s="5">
        <v>43166</v>
      </c>
      <c r="U193" s="1" t="s">
        <v>1285</v>
      </c>
      <c r="V193" s="4">
        <v>1</v>
      </c>
      <c r="W193" s="6">
        <v>3965.44</v>
      </c>
      <c r="X193" s="1" t="s">
        <v>983</v>
      </c>
      <c r="Y193" s="4">
        <v>8</v>
      </c>
      <c r="Z193" s="6">
        <v>495.68</v>
      </c>
      <c r="AA193" s="1" t="s">
        <v>1315</v>
      </c>
      <c r="AB193" s="1" t="s">
        <v>540</v>
      </c>
      <c r="AC193" s="1" t="s">
        <v>1202</v>
      </c>
      <c r="AD193" s="1" t="s">
        <v>704</v>
      </c>
      <c r="AE193" s="1" t="s">
        <v>987</v>
      </c>
      <c r="AF193" s="6">
        <v>2465.2800000000002</v>
      </c>
      <c r="AG193" s="6">
        <v>308.16000000000003</v>
      </c>
      <c r="AH193" s="1" t="s">
        <v>1159</v>
      </c>
      <c r="AI193" s="6">
        <v>1500.1599999999999</v>
      </c>
      <c r="AJ193" s="6">
        <v>0.3783085861846352</v>
      </c>
      <c r="AK193" s="1" t="s">
        <v>1159</v>
      </c>
      <c r="AL193" s="1" t="s">
        <v>261</v>
      </c>
      <c r="AM193" s="1" t="s">
        <v>553</v>
      </c>
      <c r="AN193" s="1" t="s">
        <v>62</v>
      </c>
      <c r="AO193" s="6">
        <v>1500.1599999999999</v>
      </c>
      <c r="AP193" s="6">
        <v>0.3783085861846352</v>
      </c>
      <c r="AQ193" s="2"/>
      <c r="AR193" s="7">
        <v>43171.394611165015</v>
      </c>
      <c r="AS193" s="5">
        <v>43173</v>
      </c>
      <c r="AT193" s="5">
        <v>43192</v>
      </c>
      <c r="AU193" s="1" t="s">
        <v>1287</v>
      </c>
      <c r="AV193" s="7">
        <v>43179.591812829181</v>
      </c>
      <c r="AW193" s="1" t="s">
        <v>204</v>
      </c>
      <c r="AX193" s="6">
        <v>2465.2800000000002</v>
      </c>
      <c r="AY193" s="5">
        <v>43171</v>
      </c>
      <c r="AZ193" s="5">
        <v>43190</v>
      </c>
      <c r="BA193" s="7">
        <v>43465</v>
      </c>
      <c r="BB193" s="1" t="s">
        <v>1310</v>
      </c>
      <c r="BC193" s="1"/>
      <c r="BD193" s="1" t="s">
        <v>901</v>
      </c>
    </row>
    <row r="194" spans="1:56" hidden="1" x14ac:dyDescent="0.25">
      <c r="A194" s="4">
        <v>189</v>
      </c>
      <c r="B194" s="2" t="str">
        <f>HYPERLINK("https://my.zakupki.prom.ua/remote/dispatcher/state_purchase_view/6243969", "UA-2018-02-19-001961-c")</f>
        <v>UA-2018-02-19-001961-c</v>
      </c>
      <c r="C194" s="2" t="s">
        <v>983</v>
      </c>
      <c r="D194" s="1" t="s">
        <v>788</v>
      </c>
      <c r="E194" s="1" t="s">
        <v>180</v>
      </c>
      <c r="F194" s="1" t="s">
        <v>368</v>
      </c>
      <c r="G194" s="1" t="s">
        <v>883</v>
      </c>
      <c r="H194" s="1" t="s">
        <v>987</v>
      </c>
      <c r="I194" s="1" t="s">
        <v>905</v>
      </c>
      <c r="J194" s="1" t="s">
        <v>158</v>
      </c>
      <c r="K194" s="1" t="s">
        <v>662</v>
      </c>
      <c r="L194" s="1" t="s">
        <v>1207</v>
      </c>
      <c r="M194" s="1" t="s">
        <v>147</v>
      </c>
      <c r="N194" s="1" t="s">
        <v>147</v>
      </c>
      <c r="O194" s="1" t="s">
        <v>147</v>
      </c>
      <c r="P194" s="5">
        <v>43150</v>
      </c>
      <c r="Q194" s="5">
        <v>43150</v>
      </c>
      <c r="R194" s="5">
        <v>43152</v>
      </c>
      <c r="S194" s="5">
        <v>43152</v>
      </c>
      <c r="T194" s="5">
        <v>43157</v>
      </c>
      <c r="U194" s="1" t="s">
        <v>1285</v>
      </c>
      <c r="V194" s="4">
        <v>0</v>
      </c>
      <c r="W194" s="6">
        <v>3016</v>
      </c>
      <c r="X194" s="1" t="s">
        <v>983</v>
      </c>
      <c r="Y194" s="4">
        <v>8</v>
      </c>
      <c r="Z194" s="6">
        <v>377</v>
      </c>
      <c r="AA194" s="1" t="s">
        <v>1315</v>
      </c>
      <c r="AB194" s="1" t="s">
        <v>540</v>
      </c>
      <c r="AC194" s="1" t="s">
        <v>1202</v>
      </c>
      <c r="AD194" s="1" t="s">
        <v>704</v>
      </c>
      <c r="AE194" s="1" t="s">
        <v>987</v>
      </c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2"/>
      <c r="AR194" s="1"/>
      <c r="AS194" s="1"/>
      <c r="AT194" s="1"/>
      <c r="AU194" s="1" t="s">
        <v>1288</v>
      </c>
      <c r="AV194" s="7">
        <v>43157.692218140568</v>
      </c>
      <c r="AW194" s="1"/>
      <c r="AX194" s="1"/>
      <c r="AY194" s="5">
        <v>43160</v>
      </c>
      <c r="AZ194" s="5">
        <v>43190</v>
      </c>
      <c r="BA194" s="1"/>
      <c r="BB194" s="1"/>
      <c r="BC194" s="1"/>
      <c r="BD194" s="1"/>
    </row>
    <row r="195" spans="1:56" hidden="1" x14ac:dyDescent="0.25">
      <c r="A195" s="4">
        <v>190</v>
      </c>
      <c r="B195" s="2" t="str">
        <f>HYPERLINK("https://my.zakupki.prom.ua/remote/dispatcher/state_purchase_view/6243637", "UA-2018-02-19-001933-c")</f>
        <v>UA-2018-02-19-001933-c</v>
      </c>
      <c r="C195" s="2" t="s">
        <v>983</v>
      </c>
      <c r="D195" s="1" t="s">
        <v>784</v>
      </c>
      <c r="E195" s="1" t="s">
        <v>183</v>
      </c>
      <c r="F195" s="1" t="s">
        <v>355</v>
      </c>
      <c r="G195" s="1" t="s">
        <v>883</v>
      </c>
      <c r="H195" s="1" t="s">
        <v>987</v>
      </c>
      <c r="I195" s="1" t="s">
        <v>905</v>
      </c>
      <c r="J195" s="1" t="s">
        <v>158</v>
      </c>
      <c r="K195" s="1" t="s">
        <v>662</v>
      </c>
      <c r="L195" s="1" t="s">
        <v>1207</v>
      </c>
      <c r="M195" s="1" t="s">
        <v>147</v>
      </c>
      <c r="N195" s="1" t="s">
        <v>147</v>
      </c>
      <c r="O195" s="1" t="s">
        <v>147</v>
      </c>
      <c r="P195" s="5">
        <v>43150</v>
      </c>
      <c r="Q195" s="5">
        <v>43150</v>
      </c>
      <c r="R195" s="5">
        <v>43152</v>
      </c>
      <c r="S195" s="5">
        <v>43152</v>
      </c>
      <c r="T195" s="5">
        <v>43157</v>
      </c>
      <c r="U195" s="7">
        <v>43158.500879629632</v>
      </c>
      <c r="V195" s="4">
        <v>4</v>
      </c>
      <c r="W195" s="6">
        <v>5652</v>
      </c>
      <c r="X195" s="1" t="s">
        <v>983</v>
      </c>
      <c r="Y195" s="4">
        <v>400</v>
      </c>
      <c r="Z195" s="6">
        <v>14.13</v>
      </c>
      <c r="AA195" s="1" t="s">
        <v>1318</v>
      </c>
      <c r="AB195" s="1" t="s">
        <v>540</v>
      </c>
      <c r="AC195" s="1" t="s">
        <v>1202</v>
      </c>
      <c r="AD195" s="1" t="s">
        <v>704</v>
      </c>
      <c r="AE195" s="1" t="s">
        <v>987</v>
      </c>
      <c r="AF195" s="6">
        <v>4280</v>
      </c>
      <c r="AG195" s="6">
        <v>10.7</v>
      </c>
      <c r="AH195" s="1" t="s">
        <v>1151</v>
      </c>
      <c r="AI195" s="6">
        <v>1372</v>
      </c>
      <c r="AJ195" s="6">
        <v>0.24274593064401981</v>
      </c>
      <c r="AK195" s="1" t="s">
        <v>1151</v>
      </c>
      <c r="AL195" s="1" t="s">
        <v>425</v>
      </c>
      <c r="AM195" s="1" t="s">
        <v>634</v>
      </c>
      <c r="AN195" s="1" t="s">
        <v>420</v>
      </c>
      <c r="AO195" s="6">
        <v>1372</v>
      </c>
      <c r="AP195" s="6">
        <v>0.24274593064401981</v>
      </c>
      <c r="AQ195" s="2" t="str">
        <f>HYPERLINK("https://auction.openprocurement.org/tenders/dbb5213a5bd041a4a0ed231bb6194549")</f>
        <v>https://auction.openprocurement.org/tenders/dbb5213a5bd041a4a0ed231bb6194549</v>
      </c>
      <c r="AR195" s="7">
        <v>43158.610014369006</v>
      </c>
      <c r="AS195" s="5">
        <v>43160</v>
      </c>
      <c r="AT195" s="5">
        <v>43182</v>
      </c>
      <c r="AU195" s="1" t="s">
        <v>1287</v>
      </c>
      <c r="AV195" s="7">
        <v>43165.417483331446</v>
      </c>
      <c r="AW195" s="1" t="s">
        <v>462</v>
      </c>
      <c r="AX195" s="6">
        <v>4280</v>
      </c>
      <c r="AY195" s="5">
        <v>43160</v>
      </c>
      <c r="AZ195" s="5">
        <v>43190</v>
      </c>
      <c r="BA195" s="7">
        <v>43465</v>
      </c>
      <c r="BB195" s="1" t="s">
        <v>1310</v>
      </c>
      <c r="BC195" s="1"/>
      <c r="BD195" s="1" t="s">
        <v>901</v>
      </c>
    </row>
    <row r="196" spans="1:56" hidden="1" x14ac:dyDescent="0.25">
      <c r="A196" s="4">
        <v>191</v>
      </c>
      <c r="B196" s="2" t="str">
        <f>HYPERLINK("https://my.zakupki.prom.ua/remote/dispatcher/state_purchase_view/6243328", "UA-2018-02-19-001906-c")</f>
        <v>UA-2018-02-19-001906-c</v>
      </c>
      <c r="C196" s="2" t="s">
        <v>983</v>
      </c>
      <c r="D196" s="1" t="s">
        <v>859</v>
      </c>
      <c r="E196" s="1" t="s">
        <v>1115</v>
      </c>
      <c r="F196" s="1" t="s">
        <v>375</v>
      </c>
      <c r="G196" s="1" t="s">
        <v>883</v>
      </c>
      <c r="H196" s="1" t="s">
        <v>987</v>
      </c>
      <c r="I196" s="1" t="s">
        <v>905</v>
      </c>
      <c r="J196" s="1" t="s">
        <v>158</v>
      </c>
      <c r="K196" s="1" t="s">
        <v>662</v>
      </c>
      <c r="L196" s="1" t="s">
        <v>1207</v>
      </c>
      <c r="M196" s="1" t="s">
        <v>147</v>
      </c>
      <c r="N196" s="1" t="s">
        <v>147</v>
      </c>
      <c r="O196" s="1" t="s">
        <v>147</v>
      </c>
      <c r="P196" s="5">
        <v>43150</v>
      </c>
      <c r="Q196" s="5">
        <v>43150</v>
      </c>
      <c r="R196" s="5">
        <v>43152</v>
      </c>
      <c r="S196" s="5">
        <v>43152</v>
      </c>
      <c r="T196" s="5">
        <v>43157</v>
      </c>
      <c r="U196" s="1" t="s">
        <v>1285</v>
      </c>
      <c r="V196" s="4">
        <v>1</v>
      </c>
      <c r="W196" s="6">
        <v>5417</v>
      </c>
      <c r="X196" s="1" t="s">
        <v>983</v>
      </c>
      <c r="Y196" s="4">
        <v>300</v>
      </c>
      <c r="Z196" s="6">
        <v>18.059999999999999</v>
      </c>
      <c r="AA196" s="1" t="s">
        <v>1318</v>
      </c>
      <c r="AB196" s="1" t="s">
        <v>540</v>
      </c>
      <c r="AC196" s="1" t="s">
        <v>1202</v>
      </c>
      <c r="AD196" s="1" t="s">
        <v>704</v>
      </c>
      <c r="AE196" s="1" t="s">
        <v>987</v>
      </c>
      <c r="AF196" s="6">
        <v>5406</v>
      </c>
      <c r="AG196" s="6">
        <v>18.02</v>
      </c>
      <c r="AH196" s="1" t="s">
        <v>1007</v>
      </c>
      <c r="AI196" s="6">
        <v>11</v>
      </c>
      <c r="AJ196" s="6">
        <v>2.0306442680450435E-3</v>
      </c>
      <c r="AK196" s="1" t="s">
        <v>1007</v>
      </c>
      <c r="AL196" s="1" t="s">
        <v>406</v>
      </c>
      <c r="AM196" s="1" t="s">
        <v>542</v>
      </c>
      <c r="AN196" s="1" t="s">
        <v>75</v>
      </c>
      <c r="AO196" s="6">
        <v>11</v>
      </c>
      <c r="AP196" s="6">
        <v>2.0306442680450435E-3</v>
      </c>
      <c r="AQ196" s="2"/>
      <c r="AR196" s="7">
        <v>43158.608878280917</v>
      </c>
      <c r="AS196" s="5">
        <v>43160</v>
      </c>
      <c r="AT196" s="5">
        <v>43182</v>
      </c>
      <c r="AU196" s="1" t="s">
        <v>1287</v>
      </c>
      <c r="AV196" s="7">
        <v>43172.600260130326</v>
      </c>
      <c r="AW196" s="1" t="s">
        <v>194</v>
      </c>
      <c r="AX196" s="6">
        <v>5406</v>
      </c>
      <c r="AY196" s="5">
        <v>43160</v>
      </c>
      <c r="AZ196" s="5">
        <v>43190</v>
      </c>
      <c r="BA196" s="7">
        <v>43465</v>
      </c>
      <c r="BB196" s="1" t="s">
        <v>1310</v>
      </c>
      <c r="BC196" s="1"/>
      <c r="BD196" s="1" t="s">
        <v>901</v>
      </c>
    </row>
    <row r="197" spans="1:56" hidden="1" x14ac:dyDescent="0.25">
      <c r="A197" s="4">
        <v>192</v>
      </c>
      <c r="B197" s="2" t="str">
        <f>HYPERLINK("https://my.zakupki.prom.ua/remote/dispatcher/state_purchase_view/6242491", "UA-2018-02-19-001815-c")</f>
        <v>UA-2018-02-19-001815-c</v>
      </c>
      <c r="C197" s="2" t="s">
        <v>983</v>
      </c>
      <c r="D197" s="1" t="s">
        <v>742</v>
      </c>
      <c r="E197" s="1" t="s">
        <v>657</v>
      </c>
      <c r="F197" s="1" t="s">
        <v>377</v>
      </c>
      <c r="G197" s="1" t="s">
        <v>883</v>
      </c>
      <c r="H197" s="1" t="s">
        <v>987</v>
      </c>
      <c r="I197" s="1" t="s">
        <v>905</v>
      </c>
      <c r="J197" s="1" t="s">
        <v>158</v>
      </c>
      <c r="K197" s="1" t="s">
        <v>662</v>
      </c>
      <c r="L197" s="1" t="s">
        <v>1207</v>
      </c>
      <c r="M197" s="1" t="s">
        <v>147</v>
      </c>
      <c r="N197" s="1" t="s">
        <v>147</v>
      </c>
      <c r="O197" s="1" t="s">
        <v>147</v>
      </c>
      <c r="P197" s="5">
        <v>43150</v>
      </c>
      <c r="Q197" s="5">
        <v>43150</v>
      </c>
      <c r="R197" s="5">
        <v>43152</v>
      </c>
      <c r="S197" s="5">
        <v>43152</v>
      </c>
      <c r="T197" s="5">
        <v>43157</v>
      </c>
      <c r="U197" s="7">
        <v>43158.575185185182</v>
      </c>
      <c r="V197" s="4">
        <v>2</v>
      </c>
      <c r="W197" s="6">
        <v>15000</v>
      </c>
      <c r="X197" s="1" t="s">
        <v>983</v>
      </c>
      <c r="Y197" s="4">
        <v>4</v>
      </c>
      <c r="Z197" s="6">
        <v>3750</v>
      </c>
      <c r="AA197" s="1" t="s">
        <v>1315</v>
      </c>
      <c r="AB197" s="1" t="s">
        <v>540</v>
      </c>
      <c r="AC197" s="1" t="s">
        <v>1202</v>
      </c>
      <c r="AD197" s="1" t="s">
        <v>704</v>
      </c>
      <c r="AE197" s="1" t="s">
        <v>987</v>
      </c>
      <c r="AF197" s="6">
        <v>14924.96</v>
      </c>
      <c r="AG197" s="6">
        <v>3731.24</v>
      </c>
      <c r="AH197" s="1" t="s">
        <v>1150</v>
      </c>
      <c r="AI197" s="6">
        <v>75.040000000000873</v>
      </c>
      <c r="AJ197" s="6">
        <v>5.0026666666667247E-3</v>
      </c>
      <c r="AK197" s="1" t="s">
        <v>1150</v>
      </c>
      <c r="AL197" s="1" t="s">
        <v>409</v>
      </c>
      <c r="AM197" s="1" t="s">
        <v>630</v>
      </c>
      <c r="AN197" s="1" t="s">
        <v>82</v>
      </c>
      <c r="AO197" s="6">
        <v>75.040000000000873</v>
      </c>
      <c r="AP197" s="6">
        <v>5.0026666666667247E-3</v>
      </c>
      <c r="AQ197" s="2" t="str">
        <f>HYPERLINK("https://auction.openprocurement.org/tenders/1848d254d1fc4f3894d8cc5434f58d8d")</f>
        <v>https://auction.openprocurement.org/tenders/1848d254d1fc4f3894d8cc5434f58d8d</v>
      </c>
      <c r="AR197" s="7">
        <v>43158.61262288053</v>
      </c>
      <c r="AS197" s="5">
        <v>43160</v>
      </c>
      <c r="AT197" s="5">
        <v>43182</v>
      </c>
      <c r="AU197" s="1" t="s">
        <v>1287</v>
      </c>
      <c r="AV197" s="7">
        <v>43179.58972173075</v>
      </c>
      <c r="AW197" s="1" t="s">
        <v>231</v>
      </c>
      <c r="AX197" s="6">
        <v>14924.96</v>
      </c>
      <c r="AY197" s="5">
        <v>43160</v>
      </c>
      <c r="AZ197" s="5">
        <v>43190</v>
      </c>
      <c r="BA197" s="7">
        <v>43465</v>
      </c>
      <c r="BB197" s="1" t="s">
        <v>1310</v>
      </c>
      <c r="BC197" s="1"/>
      <c r="BD197" s="1" t="s">
        <v>901</v>
      </c>
    </row>
    <row r="198" spans="1:56" hidden="1" x14ac:dyDescent="0.25">
      <c r="A198" s="4">
        <v>193</v>
      </c>
      <c r="B198" s="2" t="str">
        <f>HYPERLINK("https://my.zakupki.prom.ua/remote/dispatcher/state_purchase_view/6146486", "UA-2018-02-13-000893-b")</f>
        <v>UA-2018-02-13-000893-b</v>
      </c>
      <c r="C198" s="2" t="s">
        <v>983</v>
      </c>
      <c r="D198" s="1" t="s">
        <v>817</v>
      </c>
      <c r="E198" s="1" t="s">
        <v>1080</v>
      </c>
      <c r="F198" s="1" t="s">
        <v>381</v>
      </c>
      <c r="G198" s="1" t="s">
        <v>883</v>
      </c>
      <c r="H198" s="1" t="s">
        <v>987</v>
      </c>
      <c r="I198" s="1" t="s">
        <v>905</v>
      </c>
      <c r="J198" s="1" t="s">
        <v>158</v>
      </c>
      <c r="K198" s="1" t="s">
        <v>662</v>
      </c>
      <c r="L198" s="1" t="s">
        <v>1207</v>
      </c>
      <c r="M198" s="1" t="s">
        <v>147</v>
      </c>
      <c r="N198" s="1" t="s">
        <v>147</v>
      </c>
      <c r="O198" s="1" t="s">
        <v>147</v>
      </c>
      <c r="P198" s="5">
        <v>43144</v>
      </c>
      <c r="Q198" s="5">
        <v>43144</v>
      </c>
      <c r="R198" s="5">
        <v>43145</v>
      </c>
      <c r="S198" s="5">
        <v>43145</v>
      </c>
      <c r="T198" s="5">
        <v>43146</v>
      </c>
      <c r="U198" s="1" t="s">
        <v>1285</v>
      </c>
      <c r="V198" s="4">
        <v>1</v>
      </c>
      <c r="W198" s="6">
        <v>7720</v>
      </c>
      <c r="X198" s="1" t="s">
        <v>983</v>
      </c>
      <c r="Y198" s="4">
        <v>4</v>
      </c>
      <c r="Z198" s="6">
        <v>1930</v>
      </c>
      <c r="AA198" s="1" t="s">
        <v>1301</v>
      </c>
      <c r="AB198" s="1" t="s">
        <v>540</v>
      </c>
      <c r="AC198" s="1" t="s">
        <v>1202</v>
      </c>
      <c r="AD198" s="1" t="s">
        <v>704</v>
      </c>
      <c r="AE198" s="1" t="s">
        <v>987</v>
      </c>
      <c r="AF198" s="6">
        <v>7700</v>
      </c>
      <c r="AG198" s="6">
        <v>1925</v>
      </c>
      <c r="AH198" s="1" t="s">
        <v>1245</v>
      </c>
      <c r="AI198" s="6">
        <v>20</v>
      </c>
      <c r="AJ198" s="6">
        <v>2.5906735751295338E-3</v>
      </c>
      <c r="AK198" s="1" t="s">
        <v>1245</v>
      </c>
      <c r="AL198" s="1" t="s">
        <v>245</v>
      </c>
      <c r="AM198" s="1" t="s">
        <v>571</v>
      </c>
      <c r="AN198" s="1" t="s">
        <v>103</v>
      </c>
      <c r="AO198" s="6">
        <v>20</v>
      </c>
      <c r="AP198" s="6">
        <v>2.5906735751295338E-3</v>
      </c>
      <c r="AQ198" s="2"/>
      <c r="AR198" s="7">
        <v>43147.352870738774</v>
      </c>
      <c r="AS198" s="5">
        <v>43151</v>
      </c>
      <c r="AT198" s="5">
        <v>43175</v>
      </c>
      <c r="AU198" s="1" t="s">
        <v>1287</v>
      </c>
      <c r="AV198" s="7">
        <v>43179.58766690427</v>
      </c>
      <c r="AW198" s="1" t="s">
        <v>196</v>
      </c>
      <c r="AX198" s="6">
        <v>7700</v>
      </c>
      <c r="AY198" s="5">
        <v>43150</v>
      </c>
      <c r="AZ198" s="5">
        <v>43159</v>
      </c>
      <c r="BA198" s="7">
        <v>43465</v>
      </c>
      <c r="BB198" s="1" t="s">
        <v>1310</v>
      </c>
      <c r="BC198" s="1"/>
      <c r="BD198" s="1" t="s">
        <v>901</v>
      </c>
    </row>
    <row r="199" spans="1:56" hidden="1" x14ac:dyDescent="0.25">
      <c r="A199" s="4">
        <v>194</v>
      </c>
      <c r="B199" s="2" t="str">
        <f>HYPERLINK("https://my.zakupki.prom.ua/remote/dispatcher/state_purchase_view/6004041", "UA-2018-02-05-002193-a")</f>
        <v>UA-2018-02-05-002193-a</v>
      </c>
      <c r="C199" s="2" t="s">
        <v>983</v>
      </c>
      <c r="D199" s="1" t="s">
        <v>742</v>
      </c>
      <c r="E199" s="1" t="s">
        <v>657</v>
      </c>
      <c r="F199" s="1" t="s">
        <v>377</v>
      </c>
      <c r="G199" s="1" t="s">
        <v>883</v>
      </c>
      <c r="H199" s="1" t="s">
        <v>987</v>
      </c>
      <c r="I199" s="1" t="s">
        <v>905</v>
      </c>
      <c r="J199" s="1" t="s">
        <v>158</v>
      </c>
      <c r="K199" s="1" t="s">
        <v>662</v>
      </c>
      <c r="L199" s="1" t="s">
        <v>1207</v>
      </c>
      <c r="M199" s="1" t="s">
        <v>147</v>
      </c>
      <c r="N199" s="1" t="s">
        <v>147</v>
      </c>
      <c r="O199" s="1" t="s">
        <v>147</v>
      </c>
      <c r="P199" s="5">
        <v>43136</v>
      </c>
      <c r="Q199" s="5">
        <v>43136</v>
      </c>
      <c r="R199" s="5">
        <v>43138</v>
      </c>
      <c r="S199" s="5">
        <v>43138</v>
      </c>
      <c r="T199" s="5">
        <v>43140</v>
      </c>
      <c r="U199" s="7">
        <v>43143.513124999998</v>
      </c>
      <c r="V199" s="4">
        <v>2</v>
      </c>
      <c r="W199" s="6">
        <v>15000</v>
      </c>
      <c r="X199" s="1" t="s">
        <v>983</v>
      </c>
      <c r="Y199" s="4">
        <v>4</v>
      </c>
      <c r="Z199" s="6">
        <v>3750</v>
      </c>
      <c r="AA199" s="1" t="s">
        <v>1315</v>
      </c>
      <c r="AB199" s="1" t="s">
        <v>540</v>
      </c>
      <c r="AC199" s="1" t="s">
        <v>1202</v>
      </c>
      <c r="AD199" s="1" t="s">
        <v>704</v>
      </c>
      <c r="AE199" s="1" t="s">
        <v>987</v>
      </c>
      <c r="AF199" s="6">
        <v>14924.96</v>
      </c>
      <c r="AG199" s="6">
        <v>3731.24</v>
      </c>
      <c r="AH199" s="1" t="s">
        <v>1150</v>
      </c>
      <c r="AI199" s="6">
        <v>75.040000000000873</v>
      </c>
      <c r="AJ199" s="6">
        <v>5.0026666666667247E-3</v>
      </c>
      <c r="AK199" s="1" t="s">
        <v>1150</v>
      </c>
      <c r="AL199" s="1" t="s">
        <v>409</v>
      </c>
      <c r="AM199" s="1" t="s">
        <v>630</v>
      </c>
      <c r="AN199" s="1" t="s">
        <v>82</v>
      </c>
      <c r="AO199" s="6">
        <v>75.040000000000873</v>
      </c>
      <c r="AP199" s="6">
        <v>5.0026666666667247E-3</v>
      </c>
      <c r="AQ199" s="2" t="str">
        <f>HYPERLINK("https://auction.openprocurement.org/tenders/9b0a294234dc412586fc2084b44ab4ac")</f>
        <v>https://auction.openprocurement.org/tenders/9b0a294234dc412586fc2084b44ab4ac</v>
      </c>
      <c r="AR199" s="7">
        <v>43143.613580335674</v>
      </c>
      <c r="AS199" s="5">
        <v>43145</v>
      </c>
      <c r="AT199" s="5">
        <v>43168</v>
      </c>
      <c r="AU199" s="1" t="s">
        <v>1287</v>
      </c>
      <c r="AV199" s="7">
        <v>43147.45592255918</v>
      </c>
      <c r="AW199" s="1" t="s">
        <v>526</v>
      </c>
      <c r="AX199" s="6">
        <v>14924.96</v>
      </c>
      <c r="AY199" s="5">
        <v>43143</v>
      </c>
      <c r="AZ199" s="5">
        <v>43159</v>
      </c>
      <c r="BA199" s="7">
        <v>43465</v>
      </c>
      <c r="BB199" s="1" t="s">
        <v>1310</v>
      </c>
      <c r="BC199" s="1"/>
      <c r="BD199" s="1" t="s">
        <v>901</v>
      </c>
    </row>
    <row r="200" spans="1:56" hidden="1" x14ac:dyDescent="0.25">
      <c r="A200" s="4">
        <v>195</v>
      </c>
      <c r="B200" s="2" t="str">
        <f>HYPERLINK("https://my.zakupki.prom.ua/remote/dispatcher/state_purchase_view/5977028", "UA-2018-02-02-003016-b")</f>
        <v>UA-2018-02-02-003016-b</v>
      </c>
      <c r="C200" s="2" t="s">
        <v>983</v>
      </c>
      <c r="D200" s="1" t="s">
        <v>778</v>
      </c>
      <c r="E200" s="1" t="s">
        <v>1024</v>
      </c>
      <c r="F200" s="1" t="s">
        <v>171</v>
      </c>
      <c r="G200" s="1" t="s">
        <v>883</v>
      </c>
      <c r="H200" s="1" t="s">
        <v>987</v>
      </c>
      <c r="I200" s="1" t="s">
        <v>905</v>
      </c>
      <c r="J200" s="1" t="s">
        <v>158</v>
      </c>
      <c r="K200" s="1" t="s">
        <v>662</v>
      </c>
      <c r="L200" s="1" t="s">
        <v>1207</v>
      </c>
      <c r="M200" s="1" t="s">
        <v>147</v>
      </c>
      <c r="N200" s="1" t="s">
        <v>147</v>
      </c>
      <c r="O200" s="1" t="s">
        <v>147</v>
      </c>
      <c r="P200" s="5">
        <v>43133</v>
      </c>
      <c r="Q200" s="5">
        <v>43133</v>
      </c>
      <c r="R200" s="5">
        <v>43137</v>
      </c>
      <c r="S200" s="5">
        <v>43137</v>
      </c>
      <c r="T200" s="5">
        <v>43139</v>
      </c>
      <c r="U200" s="1" t="s">
        <v>1285</v>
      </c>
      <c r="V200" s="4">
        <v>1</v>
      </c>
      <c r="W200" s="6">
        <v>6180</v>
      </c>
      <c r="X200" s="1" t="s">
        <v>983</v>
      </c>
      <c r="Y200" s="4">
        <v>60</v>
      </c>
      <c r="Z200" s="6">
        <v>103</v>
      </c>
      <c r="AA200" s="1" t="s">
        <v>1297</v>
      </c>
      <c r="AB200" s="1" t="s">
        <v>540</v>
      </c>
      <c r="AC200" s="1" t="s">
        <v>1202</v>
      </c>
      <c r="AD200" s="1" t="s">
        <v>704</v>
      </c>
      <c r="AE200" s="1" t="s">
        <v>987</v>
      </c>
      <c r="AF200" s="6">
        <v>6075</v>
      </c>
      <c r="AG200" s="6">
        <v>101.25</v>
      </c>
      <c r="AH200" s="1" t="s">
        <v>1236</v>
      </c>
      <c r="AI200" s="6">
        <v>105</v>
      </c>
      <c r="AJ200" s="6">
        <v>1.6990291262135922E-2</v>
      </c>
      <c r="AK200" s="1" t="s">
        <v>1236</v>
      </c>
      <c r="AL200" s="1" t="s">
        <v>311</v>
      </c>
      <c r="AM200" s="1" t="s">
        <v>590</v>
      </c>
      <c r="AN200" s="1" t="s">
        <v>49</v>
      </c>
      <c r="AO200" s="6">
        <v>105</v>
      </c>
      <c r="AP200" s="6">
        <v>1.6990291262135922E-2</v>
      </c>
      <c r="AQ200" s="2"/>
      <c r="AR200" s="7">
        <v>43143.423185431398</v>
      </c>
      <c r="AS200" s="5">
        <v>43145</v>
      </c>
      <c r="AT200" s="5">
        <v>43167</v>
      </c>
      <c r="AU200" s="1" t="s">
        <v>1287</v>
      </c>
      <c r="AV200" s="7">
        <v>43151.43694256647</v>
      </c>
      <c r="AW200" s="1" t="s">
        <v>194</v>
      </c>
      <c r="AX200" s="6">
        <v>6075</v>
      </c>
      <c r="AY200" s="5">
        <v>43143</v>
      </c>
      <c r="AZ200" s="5">
        <v>43159</v>
      </c>
      <c r="BA200" s="7">
        <v>43465</v>
      </c>
      <c r="BB200" s="1" t="s">
        <v>1310</v>
      </c>
      <c r="BC200" s="1"/>
      <c r="BD200" s="1" t="s">
        <v>901</v>
      </c>
    </row>
    <row r="201" spans="1:56" hidden="1" x14ac:dyDescent="0.25">
      <c r="A201" s="4">
        <v>196</v>
      </c>
      <c r="B201" s="2" t="str">
        <f>HYPERLINK("https://my.zakupki.prom.ua/remote/dispatcher/state_purchase_view/5976416", "UA-2018-02-02-002958-b")</f>
        <v>UA-2018-02-02-002958-b</v>
      </c>
      <c r="C201" s="2" t="s">
        <v>983</v>
      </c>
      <c r="D201" s="1" t="s">
        <v>819</v>
      </c>
      <c r="E201" s="1" t="s">
        <v>1080</v>
      </c>
      <c r="F201" s="1" t="s">
        <v>381</v>
      </c>
      <c r="G201" s="1" t="s">
        <v>883</v>
      </c>
      <c r="H201" s="1" t="s">
        <v>987</v>
      </c>
      <c r="I201" s="1" t="s">
        <v>905</v>
      </c>
      <c r="J201" s="1" t="s">
        <v>158</v>
      </c>
      <c r="K201" s="1" t="s">
        <v>662</v>
      </c>
      <c r="L201" s="1" t="s">
        <v>1207</v>
      </c>
      <c r="M201" s="1" t="s">
        <v>147</v>
      </c>
      <c r="N201" s="1" t="s">
        <v>147</v>
      </c>
      <c r="O201" s="1" t="s">
        <v>147</v>
      </c>
      <c r="P201" s="5">
        <v>43133</v>
      </c>
      <c r="Q201" s="5">
        <v>43133</v>
      </c>
      <c r="R201" s="5">
        <v>43137</v>
      </c>
      <c r="S201" s="5">
        <v>43137</v>
      </c>
      <c r="T201" s="5">
        <v>43139</v>
      </c>
      <c r="U201" s="1" t="s">
        <v>1285</v>
      </c>
      <c r="V201" s="4">
        <v>0</v>
      </c>
      <c r="W201" s="6">
        <v>6100</v>
      </c>
      <c r="X201" s="1" t="s">
        <v>983</v>
      </c>
      <c r="Y201" s="4">
        <v>4</v>
      </c>
      <c r="Z201" s="6">
        <v>1525</v>
      </c>
      <c r="AA201" s="1" t="s">
        <v>1301</v>
      </c>
      <c r="AB201" s="1" t="s">
        <v>540</v>
      </c>
      <c r="AC201" s="1" t="s">
        <v>1202</v>
      </c>
      <c r="AD201" s="1" t="s">
        <v>704</v>
      </c>
      <c r="AE201" s="1" t="s">
        <v>987</v>
      </c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2"/>
      <c r="AR201" s="1"/>
      <c r="AS201" s="1"/>
      <c r="AT201" s="1"/>
      <c r="AU201" s="1" t="s">
        <v>1288</v>
      </c>
      <c r="AV201" s="7">
        <v>43139.644283687347</v>
      </c>
      <c r="AW201" s="1"/>
      <c r="AX201" s="1"/>
      <c r="AY201" s="5">
        <v>43143</v>
      </c>
      <c r="AZ201" s="5">
        <v>43159</v>
      </c>
      <c r="BA201" s="1"/>
      <c r="BB201" s="1"/>
      <c r="BC201" s="1"/>
      <c r="BD201" s="1"/>
    </row>
    <row r="202" spans="1:56" hidden="1" x14ac:dyDescent="0.25">
      <c r="A202" s="4">
        <v>197</v>
      </c>
      <c r="B202" s="2" t="str">
        <f>HYPERLINK("https://my.zakupki.prom.ua/remote/dispatcher/state_purchase_view/5975965", "UA-2018-02-02-002912-b")</f>
        <v>UA-2018-02-02-002912-b</v>
      </c>
      <c r="C202" s="2" t="s">
        <v>983</v>
      </c>
      <c r="D202" s="1" t="s">
        <v>814</v>
      </c>
      <c r="E202" s="1" t="s">
        <v>958</v>
      </c>
      <c r="F202" s="1" t="s">
        <v>381</v>
      </c>
      <c r="G202" s="1" t="s">
        <v>883</v>
      </c>
      <c r="H202" s="1" t="s">
        <v>987</v>
      </c>
      <c r="I202" s="1" t="s">
        <v>905</v>
      </c>
      <c r="J202" s="1" t="s">
        <v>158</v>
      </c>
      <c r="K202" s="1" t="s">
        <v>662</v>
      </c>
      <c r="L202" s="1" t="s">
        <v>1207</v>
      </c>
      <c r="M202" s="1" t="s">
        <v>147</v>
      </c>
      <c r="N202" s="1" t="s">
        <v>147</v>
      </c>
      <c r="O202" s="1" t="s">
        <v>147</v>
      </c>
      <c r="P202" s="5">
        <v>43133</v>
      </c>
      <c r="Q202" s="5">
        <v>43133</v>
      </c>
      <c r="R202" s="5">
        <v>43137</v>
      </c>
      <c r="S202" s="5">
        <v>43137</v>
      </c>
      <c r="T202" s="5">
        <v>43139</v>
      </c>
      <c r="U202" s="1" t="s">
        <v>1285</v>
      </c>
      <c r="V202" s="4">
        <v>1</v>
      </c>
      <c r="W202" s="6">
        <v>7381</v>
      </c>
      <c r="X202" s="1" t="s">
        <v>983</v>
      </c>
      <c r="Y202" s="4">
        <v>6069</v>
      </c>
      <c r="Z202" s="6">
        <v>1.22</v>
      </c>
      <c r="AA202" s="1" t="s">
        <v>1319</v>
      </c>
      <c r="AB202" s="1" t="s">
        <v>540</v>
      </c>
      <c r="AC202" s="1" t="s">
        <v>1202</v>
      </c>
      <c r="AD202" s="1" t="s">
        <v>704</v>
      </c>
      <c r="AE202" s="1" t="s">
        <v>987</v>
      </c>
      <c r="AF202" s="6">
        <v>6030</v>
      </c>
      <c r="AG202" s="6">
        <v>0.99357390014829461</v>
      </c>
      <c r="AH202" s="1" t="s">
        <v>1235</v>
      </c>
      <c r="AI202" s="6">
        <v>1351</v>
      </c>
      <c r="AJ202" s="6">
        <v>0.18303752879013685</v>
      </c>
      <c r="AK202" s="1" t="s">
        <v>1235</v>
      </c>
      <c r="AL202" s="1" t="s">
        <v>273</v>
      </c>
      <c r="AM202" s="1" t="s">
        <v>543</v>
      </c>
      <c r="AN202" s="1" t="s">
        <v>43</v>
      </c>
      <c r="AO202" s="6">
        <v>1351</v>
      </c>
      <c r="AP202" s="6">
        <v>0.18303752879013685</v>
      </c>
      <c r="AQ202" s="2"/>
      <c r="AR202" s="7">
        <v>43143.421637095889</v>
      </c>
      <c r="AS202" s="5">
        <v>43145</v>
      </c>
      <c r="AT202" s="5">
        <v>43167</v>
      </c>
      <c r="AU202" s="1" t="s">
        <v>1287</v>
      </c>
      <c r="AV202" s="7">
        <v>43151.447084285137</v>
      </c>
      <c r="AW202" s="1" t="s">
        <v>192</v>
      </c>
      <c r="AX202" s="6">
        <v>6030</v>
      </c>
      <c r="AY202" s="5">
        <v>43143</v>
      </c>
      <c r="AZ202" s="5">
        <v>43159</v>
      </c>
      <c r="BA202" s="7">
        <v>43465</v>
      </c>
      <c r="BB202" s="1" t="s">
        <v>1310</v>
      </c>
      <c r="BC202" s="1"/>
      <c r="BD202" s="1" t="s">
        <v>901</v>
      </c>
    </row>
    <row r="203" spans="1:56" hidden="1" x14ac:dyDescent="0.25">
      <c r="A203" s="4">
        <v>198</v>
      </c>
      <c r="B203" s="2" t="str">
        <f>HYPERLINK("https://my.zakupki.prom.ua/remote/dispatcher/state_purchase_view/5793456", "UA-2018-01-26-002256-b")</f>
        <v>UA-2018-01-26-002256-b</v>
      </c>
      <c r="C203" s="2" t="s">
        <v>983</v>
      </c>
      <c r="D203" s="1" t="s">
        <v>757</v>
      </c>
      <c r="E203" s="1" t="s">
        <v>21</v>
      </c>
      <c r="F203" s="1" t="s">
        <v>283</v>
      </c>
      <c r="G203" s="1" t="s">
        <v>883</v>
      </c>
      <c r="H203" s="1" t="s">
        <v>987</v>
      </c>
      <c r="I203" s="1" t="s">
        <v>905</v>
      </c>
      <c r="J203" s="1" t="s">
        <v>158</v>
      </c>
      <c r="K203" s="1" t="s">
        <v>662</v>
      </c>
      <c r="L203" s="1" t="s">
        <v>1207</v>
      </c>
      <c r="M203" s="1" t="s">
        <v>147</v>
      </c>
      <c r="N203" s="1" t="s">
        <v>147</v>
      </c>
      <c r="O203" s="1" t="s">
        <v>147</v>
      </c>
      <c r="P203" s="5">
        <v>43126</v>
      </c>
      <c r="Q203" s="5">
        <v>43126</v>
      </c>
      <c r="R203" s="5">
        <v>43130</v>
      </c>
      <c r="S203" s="5">
        <v>43130</v>
      </c>
      <c r="T203" s="5">
        <v>43132</v>
      </c>
      <c r="U203" s="7">
        <v>43133.533449074072</v>
      </c>
      <c r="V203" s="4">
        <v>3</v>
      </c>
      <c r="W203" s="6">
        <v>18143.09</v>
      </c>
      <c r="X203" s="1" t="s">
        <v>983</v>
      </c>
      <c r="Y203" s="4">
        <v>18</v>
      </c>
      <c r="Z203" s="6">
        <v>1007.95</v>
      </c>
      <c r="AA203" s="1" t="s">
        <v>1319</v>
      </c>
      <c r="AB203" s="1" t="s">
        <v>540</v>
      </c>
      <c r="AC203" s="1" t="s">
        <v>1202</v>
      </c>
      <c r="AD203" s="1" t="s">
        <v>704</v>
      </c>
      <c r="AE203" s="1" t="s">
        <v>987</v>
      </c>
      <c r="AF203" s="6">
        <v>8960</v>
      </c>
      <c r="AG203" s="6">
        <v>497.77777777777777</v>
      </c>
      <c r="AH203" s="1" t="s">
        <v>1141</v>
      </c>
      <c r="AI203" s="6">
        <v>9183.09</v>
      </c>
      <c r="AJ203" s="6">
        <v>0.50614807069799028</v>
      </c>
      <c r="AK203" s="1" t="s">
        <v>1141</v>
      </c>
      <c r="AL203" s="1" t="s">
        <v>431</v>
      </c>
      <c r="AM203" s="1" t="s">
        <v>623</v>
      </c>
      <c r="AN203" s="1" t="s">
        <v>125</v>
      </c>
      <c r="AO203" s="6">
        <v>9183.09</v>
      </c>
      <c r="AP203" s="6">
        <v>0.50614807069799028</v>
      </c>
      <c r="AQ203" s="2" t="str">
        <f>HYPERLINK("https://auction.openprocurement.org/tenders/4807f418d7eb42bbaaab9cd959ccb6dd")</f>
        <v>https://auction.openprocurement.org/tenders/4807f418d7eb42bbaaab9cd959ccb6dd</v>
      </c>
      <c r="AR203" s="7">
        <v>43136.426209814024</v>
      </c>
      <c r="AS203" s="5">
        <v>43138</v>
      </c>
      <c r="AT203" s="5">
        <v>43160</v>
      </c>
      <c r="AU203" s="1" t="s">
        <v>1287</v>
      </c>
      <c r="AV203" s="7">
        <v>43153.696522122984</v>
      </c>
      <c r="AW203" s="1" t="s">
        <v>152</v>
      </c>
      <c r="AX203" s="6">
        <v>8960</v>
      </c>
      <c r="AY203" s="5">
        <v>43136</v>
      </c>
      <c r="AZ203" s="5">
        <v>43159</v>
      </c>
      <c r="BA203" s="7">
        <v>43465</v>
      </c>
      <c r="BB203" s="1" t="s">
        <v>1310</v>
      </c>
      <c r="BC203" s="1"/>
      <c r="BD203" s="1" t="s">
        <v>901</v>
      </c>
    </row>
    <row r="204" spans="1:56" hidden="1" x14ac:dyDescent="0.25">
      <c r="A204" s="4">
        <v>199</v>
      </c>
      <c r="B204" s="2" t="str">
        <f>HYPERLINK("https://my.zakupki.prom.ua/remote/dispatcher/state_purchase_view/5791297", "UA-2018-01-26-001960-b")</f>
        <v>UA-2018-01-26-001960-b</v>
      </c>
      <c r="C204" s="2" t="s">
        <v>983</v>
      </c>
      <c r="D204" s="1" t="s">
        <v>778</v>
      </c>
      <c r="E204" s="1" t="s">
        <v>1024</v>
      </c>
      <c r="F204" s="1" t="s">
        <v>171</v>
      </c>
      <c r="G204" s="1" t="s">
        <v>883</v>
      </c>
      <c r="H204" s="1" t="s">
        <v>987</v>
      </c>
      <c r="I204" s="1" t="s">
        <v>905</v>
      </c>
      <c r="J204" s="1" t="s">
        <v>158</v>
      </c>
      <c r="K204" s="1" t="s">
        <v>662</v>
      </c>
      <c r="L204" s="1" t="s">
        <v>1207</v>
      </c>
      <c r="M204" s="1" t="s">
        <v>147</v>
      </c>
      <c r="N204" s="1" t="s">
        <v>147</v>
      </c>
      <c r="O204" s="1" t="s">
        <v>147</v>
      </c>
      <c r="P204" s="5">
        <v>43126</v>
      </c>
      <c r="Q204" s="5">
        <v>43126</v>
      </c>
      <c r="R204" s="5">
        <v>43130</v>
      </c>
      <c r="S204" s="5">
        <v>43130</v>
      </c>
      <c r="T204" s="5">
        <v>43132</v>
      </c>
      <c r="U204" s="1" t="s">
        <v>1285</v>
      </c>
      <c r="V204" s="4">
        <v>0</v>
      </c>
      <c r="W204" s="6">
        <v>3900</v>
      </c>
      <c r="X204" s="1" t="s">
        <v>983</v>
      </c>
      <c r="Y204" s="4">
        <v>40</v>
      </c>
      <c r="Z204" s="6">
        <v>97.5</v>
      </c>
      <c r="AA204" s="1" t="s">
        <v>1297</v>
      </c>
      <c r="AB204" s="1" t="s">
        <v>540</v>
      </c>
      <c r="AC204" s="1" t="s">
        <v>1202</v>
      </c>
      <c r="AD204" s="1" t="s">
        <v>704</v>
      </c>
      <c r="AE204" s="1" t="s">
        <v>987</v>
      </c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2"/>
      <c r="AR204" s="1"/>
      <c r="AS204" s="1"/>
      <c r="AT204" s="1"/>
      <c r="AU204" s="1" t="s">
        <v>1288</v>
      </c>
      <c r="AV204" s="7">
        <v>43132.593299607972</v>
      </c>
      <c r="AW204" s="1"/>
      <c r="AX204" s="1"/>
      <c r="AY204" s="5">
        <v>43136</v>
      </c>
      <c r="AZ204" s="5">
        <v>43159</v>
      </c>
      <c r="BA204" s="1"/>
      <c r="BB204" s="1"/>
      <c r="BC204" s="1"/>
      <c r="BD204" s="1"/>
    </row>
    <row r="205" spans="1:56" hidden="1" x14ac:dyDescent="0.25">
      <c r="A205" s="4">
        <v>200</v>
      </c>
      <c r="B205" s="2" t="str">
        <f>HYPERLINK("https://my.zakupki.prom.ua/remote/dispatcher/state_purchase_view/5790493", "UA-2018-01-26-001898-b")</f>
        <v>UA-2018-01-26-001898-b</v>
      </c>
      <c r="C205" s="2" t="s">
        <v>983</v>
      </c>
      <c r="D205" s="1" t="s">
        <v>819</v>
      </c>
      <c r="E205" s="1" t="s">
        <v>1080</v>
      </c>
      <c r="F205" s="1" t="s">
        <v>381</v>
      </c>
      <c r="G205" s="1" t="s">
        <v>883</v>
      </c>
      <c r="H205" s="1" t="s">
        <v>987</v>
      </c>
      <c r="I205" s="1" t="s">
        <v>905</v>
      </c>
      <c r="J205" s="1" t="s">
        <v>158</v>
      </c>
      <c r="K205" s="1" t="s">
        <v>662</v>
      </c>
      <c r="L205" s="1" t="s">
        <v>1207</v>
      </c>
      <c r="M205" s="1" t="s">
        <v>147</v>
      </c>
      <c r="N205" s="1" t="s">
        <v>147</v>
      </c>
      <c r="O205" s="1" t="s">
        <v>147</v>
      </c>
      <c r="P205" s="5">
        <v>43126</v>
      </c>
      <c r="Q205" s="5">
        <v>43126</v>
      </c>
      <c r="R205" s="5">
        <v>43130</v>
      </c>
      <c r="S205" s="5">
        <v>43130</v>
      </c>
      <c r="T205" s="5">
        <v>43132</v>
      </c>
      <c r="U205" s="1" t="s">
        <v>1285</v>
      </c>
      <c r="V205" s="4">
        <v>0</v>
      </c>
      <c r="W205" s="6">
        <v>3050</v>
      </c>
      <c r="X205" s="1" t="s">
        <v>983</v>
      </c>
      <c r="Y205" s="4">
        <v>2</v>
      </c>
      <c r="Z205" s="6">
        <v>1525</v>
      </c>
      <c r="AA205" s="1" t="s">
        <v>1319</v>
      </c>
      <c r="AB205" s="1" t="s">
        <v>540</v>
      </c>
      <c r="AC205" s="1" t="s">
        <v>1202</v>
      </c>
      <c r="AD205" s="1" t="s">
        <v>704</v>
      </c>
      <c r="AE205" s="1" t="s">
        <v>987</v>
      </c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2"/>
      <c r="AR205" s="1"/>
      <c r="AS205" s="1"/>
      <c r="AT205" s="1"/>
      <c r="AU205" s="1" t="s">
        <v>1288</v>
      </c>
      <c r="AV205" s="7">
        <v>43132.588456767466</v>
      </c>
      <c r="AW205" s="1"/>
      <c r="AX205" s="1"/>
      <c r="AY205" s="5">
        <v>43136</v>
      </c>
      <c r="AZ205" s="5">
        <v>43159</v>
      </c>
      <c r="BA205" s="1"/>
      <c r="BB205" s="1"/>
      <c r="BC205" s="1"/>
      <c r="BD205" s="1"/>
    </row>
    <row r="206" spans="1:56" hidden="1" x14ac:dyDescent="0.25">
      <c r="A206" s="4">
        <v>201</v>
      </c>
      <c r="B206" s="2" t="str">
        <f>HYPERLINK("https://my.zakupki.prom.ua/remote/dispatcher/state_purchase_view/5789830", "UA-2018-01-26-001870-b")</f>
        <v>UA-2018-01-26-001870-b</v>
      </c>
      <c r="C206" s="2" t="s">
        <v>983</v>
      </c>
      <c r="D206" s="1" t="s">
        <v>815</v>
      </c>
      <c r="E206" s="1" t="s">
        <v>959</v>
      </c>
      <c r="F206" s="1" t="s">
        <v>381</v>
      </c>
      <c r="G206" s="1" t="s">
        <v>883</v>
      </c>
      <c r="H206" s="1" t="s">
        <v>987</v>
      </c>
      <c r="I206" s="1" t="s">
        <v>905</v>
      </c>
      <c r="J206" s="1" t="s">
        <v>158</v>
      </c>
      <c r="K206" s="1" t="s">
        <v>662</v>
      </c>
      <c r="L206" s="1" t="s">
        <v>1207</v>
      </c>
      <c r="M206" s="1" t="s">
        <v>147</v>
      </c>
      <c r="N206" s="1" t="s">
        <v>147</v>
      </c>
      <c r="O206" s="1" t="s">
        <v>147</v>
      </c>
      <c r="P206" s="5">
        <v>43126</v>
      </c>
      <c r="Q206" s="5">
        <v>43126</v>
      </c>
      <c r="R206" s="5">
        <v>43130</v>
      </c>
      <c r="S206" s="5">
        <v>43130</v>
      </c>
      <c r="T206" s="5">
        <v>43132</v>
      </c>
      <c r="U206" s="1" t="s">
        <v>1285</v>
      </c>
      <c r="V206" s="4">
        <v>0</v>
      </c>
      <c r="W206" s="6">
        <v>3527.13</v>
      </c>
      <c r="X206" s="1" t="s">
        <v>983</v>
      </c>
      <c r="Y206" s="4">
        <v>35</v>
      </c>
      <c r="Z206" s="6">
        <v>100.78</v>
      </c>
      <c r="AA206" s="1" t="s">
        <v>1319</v>
      </c>
      <c r="AB206" s="1" t="s">
        <v>540</v>
      </c>
      <c r="AC206" s="1" t="s">
        <v>1202</v>
      </c>
      <c r="AD206" s="1" t="s">
        <v>704</v>
      </c>
      <c r="AE206" s="1" t="s">
        <v>987</v>
      </c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2"/>
      <c r="AR206" s="1"/>
      <c r="AS206" s="1"/>
      <c r="AT206" s="1"/>
      <c r="AU206" s="1" t="s">
        <v>1288</v>
      </c>
      <c r="AV206" s="7">
        <v>43132.586378750835</v>
      </c>
      <c r="AW206" s="1"/>
      <c r="AX206" s="1"/>
      <c r="AY206" s="5">
        <v>43136</v>
      </c>
      <c r="AZ206" s="5">
        <v>43159</v>
      </c>
      <c r="BA206" s="1"/>
      <c r="BB206" s="1"/>
      <c r="BC206" s="1"/>
      <c r="BD206" s="1"/>
    </row>
    <row r="207" spans="1:56" hidden="1" x14ac:dyDescent="0.25">
      <c r="A207" s="4">
        <v>202</v>
      </c>
      <c r="B207" s="2" t="str">
        <f>HYPERLINK("https://my.zakupki.prom.ua/remote/dispatcher/state_purchase_view/5788943", "UA-2018-01-26-001816-b")</f>
        <v>UA-2018-01-26-001816-b</v>
      </c>
      <c r="C207" s="2" t="s">
        <v>983</v>
      </c>
      <c r="D207" s="1" t="s">
        <v>825</v>
      </c>
      <c r="E207" s="1" t="s">
        <v>1276</v>
      </c>
      <c r="F207" s="1" t="s">
        <v>381</v>
      </c>
      <c r="G207" s="1" t="s">
        <v>883</v>
      </c>
      <c r="H207" s="1" t="s">
        <v>987</v>
      </c>
      <c r="I207" s="1" t="s">
        <v>905</v>
      </c>
      <c r="J207" s="1" t="s">
        <v>158</v>
      </c>
      <c r="K207" s="1" t="s">
        <v>662</v>
      </c>
      <c r="L207" s="1" t="s">
        <v>1207</v>
      </c>
      <c r="M207" s="1" t="s">
        <v>147</v>
      </c>
      <c r="N207" s="1" t="s">
        <v>147</v>
      </c>
      <c r="O207" s="1" t="s">
        <v>147</v>
      </c>
      <c r="P207" s="5">
        <v>43126</v>
      </c>
      <c r="Q207" s="5">
        <v>43126</v>
      </c>
      <c r="R207" s="5">
        <v>43130</v>
      </c>
      <c r="S207" s="5">
        <v>43130</v>
      </c>
      <c r="T207" s="5">
        <v>43132</v>
      </c>
      <c r="U207" s="1" t="s">
        <v>1285</v>
      </c>
      <c r="V207" s="4">
        <v>1</v>
      </c>
      <c r="W207" s="6">
        <v>3169</v>
      </c>
      <c r="X207" s="1" t="s">
        <v>983</v>
      </c>
      <c r="Y207" s="4">
        <v>22</v>
      </c>
      <c r="Z207" s="6">
        <v>144.05000000000001</v>
      </c>
      <c r="AA207" s="1" t="s">
        <v>1319</v>
      </c>
      <c r="AB207" s="1" t="s">
        <v>540</v>
      </c>
      <c r="AC207" s="1" t="s">
        <v>1202</v>
      </c>
      <c r="AD207" s="1" t="s">
        <v>704</v>
      </c>
      <c r="AE207" s="1" t="s">
        <v>987</v>
      </c>
      <c r="AF207" s="6">
        <v>3000.78</v>
      </c>
      <c r="AG207" s="6">
        <v>136.39909090909092</v>
      </c>
      <c r="AH207" s="1" t="s">
        <v>1186</v>
      </c>
      <c r="AI207" s="6">
        <v>168.2199999999998</v>
      </c>
      <c r="AJ207" s="6">
        <v>5.3082991479962073E-2</v>
      </c>
      <c r="AK207" s="1" t="s">
        <v>1186</v>
      </c>
      <c r="AL207" s="1" t="s">
        <v>281</v>
      </c>
      <c r="AM207" s="1" t="s">
        <v>561</v>
      </c>
      <c r="AN207" s="1" t="s">
        <v>73</v>
      </c>
      <c r="AO207" s="6">
        <v>168.2199999999998</v>
      </c>
      <c r="AP207" s="6">
        <v>5.3082991479962073E-2</v>
      </c>
      <c r="AQ207" s="2"/>
      <c r="AR207" s="7">
        <v>43133.463018952709</v>
      </c>
      <c r="AS207" s="5">
        <v>43137</v>
      </c>
      <c r="AT207" s="5">
        <v>43160</v>
      </c>
      <c r="AU207" s="1" t="s">
        <v>1287</v>
      </c>
      <c r="AV207" s="7">
        <v>43151.353764655498</v>
      </c>
      <c r="AW207" s="1" t="s">
        <v>500</v>
      </c>
      <c r="AX207" s="6">
        <v>3000.78</v>
      </c>
      <c r="AY207" s="5">
        <v>43136</v>
      </c>
      <c r="AZ207" s="5">
        <v>43159</v>
      </c>
      <c r="BA207" s="7">
        <v>43465</v>
      </c>
      <c r="BB207" s="1" t="s">
        <v>1310</v>
      </c>
      <c r="BC207" s="1"/>
      <c r="BD207" s="1" t="s">
        <v>901</v>
      </c>
    </row>
    <row r="208" spans="1:56" hidden="1" x14ac:dyDescent="0.25">
      <c r="A208" s="4">
        <v>203</v>
      </c>
      <c r="B208" s="2" t="str">
        <f>HYPERLINK("https://my.zakupki.prom.ua/remote/dispatcher/state_purchase_view/5430577", "UA-2018-01-15-002408-a")</f>
        <v>UA-2018-01-15-002408-a</v>
      </c>
      <c r="C208" s="2" t="s">
        <v>983</v>
      </c>
      <c r="D208" s="1" t="s">
        <v>476</v>
      </c>
      <c r="E208" s="1" t="s">
        <v>1051</v>
      </c>
      <c r="F208" s="1" t="s">
        <v>475</v>
      </c>
      <c r="G208" s="1" t="s">
        <v>883</v>
      </c>
      <c r="H208" s="1" t="s">
        <v>987</v>
      </c>
      <c r="I208" s="1" t="s">
        <v>905</v>
      </c>
      <c r="J208" s="1" t="s">
        <v>158</v>
      </c>
      <c r="K208" s="1" t="s">
        <v>662</v>
      </c>
      <c r="L208" s="1" t="s">
        <v>1207</v>
      </c>
      <c r="M208" s="1" t="s">
        <v>147</v>
      </c>
      <c r="N208" s="1" t="s">
        <v>147</v>
      </c>
      <c r="O208" s="1" t="s">
        <v>147</v>
      </c>
      <c r="P208" s="5">
        <v>43115</v>
      </c>
      <c r="Q208" s="5">
        <v>43115</v>
      </c>
      <c r="R208" s="5">
        <v>43118</v>
      </c>
      <c r="S208" s="5">
        <v>43118</v>
      </c>
      <c r="T208" s="5">
        <v>43122</v>
      </c>
      <c r="U208" s="1" t="s">
        <v>1285</v>
      </c>
      <c r="V208" s="4">
        <v>1</v>
      </c>
      <c r="W208" s="6">
        <v>53024</v>
      </c>
      <c r="X208" s="1" t="s">
        <v>983</v>
      </c>
      <c r="Y208" s="4">
        <v>6</v>
      </c>
      <c r="Z208" s="6">
        <v>8837.33</v>
      </c>
      <c r="AA208" s="1" t="s">
        <v>1307</v>
      </c>
      <c r="AB208" s="1" t="s">
        <v>540</v>
      </c>
      <c r="AC208" s="1" t="s">
        <v>1202</v>
      </c>
      <c r="AD208" s="1" t="s">
        <v>704</v>
      </c>
      <c r="AE208" s="1" t="s">
        <v>987</v>
      </c>
      <c r="AF208" s="6">
        <v>53024</v>
      </c>
      <c r="AG208" s="6">
        <v>8837.3333333333339</v>
      </c>
      <c r="AH208" s="1" t="s">
        <v>1171</v>
      </c>
      <c r="AI208" s="1"/>
      <c r="AJ208" s="1"/>
      <c r="AK208" s="1" t="s">
        <v>1171</v>
      </c>
      <c r="AL208" s="1" t="s">
        <v>262</v>
      </c>
      <c r="AM208" s="1" t="s">
        <v>624</v>
      </c>
      <c r="AN208" s="1" t="s">
        <v>65</v>
      </c>
      <c r="AO208" s="1"/>
      <c r="AP208" s="1"/>
      <c r="AQ208" s="2"/>
      <c r="AR208" s="7">
        <v>43123.501902598175</v>
      </c>
      <c r="AS208" s="5">
        <v>43125</v>
      </c>
      <c r="AT208" s="5">
        <v>43148</v>
      </c>
      <c r="AU208" s="1" t="s">
        <v>1287</v>
      </c>
      <c r="AV208" s="7">
        <v>43136.622443136097</v>
      </c>
      <c r="AW208" s="1" t="s">
        <v>490</v>
      </c>
      <c r="AX208" s="6">
        <v>53024</v>
      </c>
      <c r="AY208" s="5">
        <v>43122</v>
      </c>
      <c r="AZ208" s="5">
        <v>43465</v>
      </c>
      <c r="BA208" s="7">
        <v>43465</v>
      </c>
      <c r="BB208" s="1" t="s">
        <v>1310</v>
      </c>
      <c r="BC208" s="1"/>
      <c r="BD208" s="1" t="s">
        <v>901</v>
      </c>
    </row>
    <row r="209" spans="1:56" hidden="1" x14ac:dyDescent="0.25">
      <c r="A209" s="4">
        <v>204</v>
      </c>
      <c r="B209" s="2" t="str">
        <f>HYPERLINK("https://my.zakupki.prom.ua/remote/dispatcher/state_purchase_view/5429386", "UA-2018-01-15-002308-a")</f>
        <v>UA-2018-01-15-002308-a</v>
      </c>
      <c r="C209" s="2" t="s">
        <v>983</v>
      </c>
      <c r="D209" s="1" t="s">
        <v>472</v>
      </c>
      <c r="E209" s="1" t="s">
        <v>27</v>
      </c>
      <c r="F209" s="1" t="s">
        <v>473</v>
      </c>
      <c r="G209" s="1" t="s">
        <v>883</v>
      </c>
      <c r="H209" s="1" t="s">
        <v>987</v>
      </c>
      <c r="I209" s="1" t="s">
        <v>905</v>
      </c>
      <c r="J209" s="1" t="s">
        <v>158</v>
      </c>
      <c r="K209" s="1" t="s">
        <v>662</v>
      </c>
      <c r="L209" s="1" t="s">
        <v>1207</v>
      </c>
      <c r="M209" s="1" t="s">
        <v>147</v>
      </c>
      <c r="N209" s="1" t="s">
        <v>147</v>
      </c>
      <c r="O209" s="1" t="s">
        <v>147</v>
      </c>
      <c r="P209" s="5">
        <v>43115</v>
      </c>
      <c r="Q209" s="5">
        <v>43115</v>
      </c>
      <c r="R209" s="5">
        <v>43117</v>
      </c>
      <c r="S209" s="5">
        <v>43117</v>
      </c>
      <c r="T209" s="5">
        <v>43119</v>
      </c>
      <c r="U209" s="7">
        <v>43122.548009259262</v>
      </c>
      <c r="V209" s="4">
        <v>2</v>
      </c>
      <c r="W209" s="6">
        <v>6520</v>
      </c>
      <c r="X209" s="1" t="s">
        <v>983</v>
      </c>
      <c r="Y209" s="4">
        <v>3</v>
      </c>
      <c r="Z209" s="6">
        <v>2173.33</v>
      </c>
      <c r="AA209" s="1" t="s">
        <v>1307</v>
      </c>
      <c r="AB209" s="1" t="s">
        <v>540</v>
      </c>
      <c r="AC209" s="1" t="s">
        <v>1202</v>
      </c>
      <c r="AD209" s="1" t="s">
        <v>704</v>
      </c>
      <c r="AE209" s="1" t="s">
        <v>987</v>
      </c>
      <c r="AF209" s="6">
        <v>6400</v>
      </c>
      <c r="AG209" s="6">
        <v>2133.3333333333335</v>
      </c>
      <c r="AH209" s="1" t="s">
        <v>1262</v>
      </c>
      <c r="AI209" s="6">
        <v>120</v>
      </c>
      <c r="AJ209" s="6">
        <v>1.8404907975460124E-2</v>
      </c>
      <c r="AK209" s="1" t="s">
        <v>1262</v>
      </c>
      <c r="AL209" s="1" t="s">
        <v>304</v>
      </c>
      <c r="AM209" s="1" t="s">
        <v>577</v>
      </c>
      <c r="AN209" s="1" t="s">
        <v>50</v>
      </c>
      <c r="AO209" s="6">
        <v>120</v>
      </c>
      <c r="AP209" s="6">
        <v>1.8404907975460124E-2</v>
      </c>
      <c r="AQ209" s="2" t="str">
        <f>HYPERLINK("https://auction.openprocurement.org/tenders/ca51b9f7113243fc82cc9d4d7e49e8cb")</f>
        <v>https://auction.openprocurement.org/tenders/ca51b9f7113243fc82cc9d4d7e49e8cb</v>
      </c>
      <c r="AR209" s="7">
        <v>43123.50290381955</v>
      </c>
      <c r="AS209" s="5">
        <v>43125</v>
      </c>
      <c r="AT209" s="5">
        <v>43147</v>
      </c>
      <c r="AU209" s="1" t="s">
        <v>1287</v>
      </c>
      <c r="AV209" s="7">
        <v>43136.623309202048</v>
      </c>
      <c r="AW209" s="1" t="s">
        <v>316</v>
      </c>
      <c r="AX209" s="6">
        <v>6400</v>
      </c>
      <c r="AY209" s="5">
        <v>43122</v>
      </c>
      <c r="AZ209" s="5">
        <v>43465</v>
      </c>
      <c r="BA209" s="7">
        <v>43465</v>
      </c>
      <c r="BB209" s="1" t="s">
        <v>1310</v>
      </c>
      <c r="BC209" s="1"/>
      <c r="BD209" s="1" t="s">
        <v>901</v>
      </c>
    </row>
    <row r="210" spans="1:56" hidden="1" x14ac:dyDescent="0.25">
      <c r="A210" s="4">
        <v>205</v>
      </c>
      <c r="B210" s="2" t="str">
        <f>HYPERLINK("https://my.zakupki.prom.ua/remote/dispatcher/state_purchase_view/5429188", "UA-2018-01-15-002252-a")</f>
        <v>UA-2018-01-15-002252-a</v>
      </c>
      <c r="C210" s="2" t="s">
        <v>983</v>
      </c>
      <c r="D210" s="1" t="s">
        <v>795</v>
      </c>
      <c r="E210" s="1" t="s">
        <v>709</v>
      </c>
      <c r="F210" s="1" t="s">
        <v>379</v>
      </c>
      <c r="G210" s="1" t="s">
        <v>883</v>
      </c>
      <c r="H210" s="1" t="s">
        <v>987</v>
      </c>
      <c r="I210" s="1" t="s">
        <v>905</v>
      </c>
      <c r="J210" s="1" t="s">
        <v>158</v>
      </c>
      <c r="K210" s="1" t="s">
        <v>662</v>
      </c>
      <c r="L210" s="1" t="s">
        <v>1207</v>
      </c>
      <c r="M210" s="1" t="s">
        <v>147</v>
      </c>
      <c r="N210" s="1" t="s">
        <v>147</v>
      </c>
      <c r="O210" s="1" t="s">
        <v>147</v>
      </c>
      <c r="P210" s="5">
        <v>43115</v>
      </c>
      <c r="Q210" s="5">
        <v>43115</v>
      </c>
      <c r="R210" s="5">
        <v>43117</v>
      </c>
      <c r="S210" s="5">
        <v>43117</v>
      </c>
      <c r="T210" s="5">
        <v>43119</v>
      </c>
      <c r="U210" s="7">
        <v>43122.600405092591</v>
      </c>
      <c r="V210" s="4">
        <v>3</v>
      </c>
      <c r="W210" s="6">
        <v>6979</v>
      </c>
      <c r="X210" s="1" t="s">
        <v>983</v>
      </c>
      <c r="Y210" s="4">
        <v>25</v>
      </c>
      <c r="Z210" s="6">
        <v>279.16000000000003</v>
      </c>
      <c r="AA210" s="1" t="s">
        <v>1319</v>
      </c>
      <c r="AB210" s="1" t="s">
        <v>540</v>
      </c>
      <c r="AC210" s="1" t="s">
        <v>1202</v>
      </c>
      <c r="AD210" s="1" t="s">
        <v>704</v>
      </c>
      <c r="AE210" s="1" t="s">
        <v>987</v>
      </c>
      <c r="AF210" s="6">
        <v>4950</v>
      </c>
      <c r="AG210" s="6">
        <v>198</v>
      </c>
      <c r="AH210" s="1" t="s">
        <v>988</v>
      </c>
      <c r="AI210" s="6">
        <v>2029</v>
      </c>
      <c r="AJ210" s="6">
        <v>0.29072933084969194</v>
      </c>
      <c r="AK210" s="1" t="s">
        <v>988</v>
      </c>
      <c r="AL210" s="1" t="s">
        <v>301</v>
      </c>
      <c r="AM210" s="1" t="s">
        <v>598</v>
      </c>
      <c r="AN210" s="1" t="s">
        <v>83</v>
      </c>
      <c r="AO210" s="6">
        <v>2029</v>
      </c>
      <c r="AP210" s="6">
        <v>0.29072933084969194</v>
      </c>
      <c r="AQ210" s="2" t="str">
        <f>HYPERLINK("https://auction.openprocurement.org/tenders/f8971ed8c731402b9ae487df6fb0f5f0")</f>
        <v>https://auction.openprocurement.org/tenders/f8971ed8c731402b9ae487df6fb0f5f0</v>
      </c>
      <c r="AR210" s="7">
        <v>43122.660035446861</v>
      </c>
      <c r="AS210" s="5">
        <v>43124</v>
      </c>
      <c r="AT210" s="5">
        <v>43147</v>
      </c>
      <c r="AU210" s="1" t="s">
        <v>1287</v>
      </c>
      <c r="AV210" s="7">
        <v>43136.580990274801</v>
      </c>
      <c r="AW210" s="1" t="s">
        <v>467</v>
      </c>
      <c r="AX210" s="6">
        <v>4950</v>
      </c>
      <c r="AY210" s="5">
        <v>43122</v>
      </c>
      <c r="AZ210" s="5">
        <v>43131</v>
      </c>
      <c r="BA210" s="7">
        <v>43465</v>
      </c>
      <c r="BB210" s="1" t="s">
        <v>1310</v>
      </c>
      <c r="BC210" s="1"/>
      <c r="BD210" s="1" t="s">
        <v>901</v>
      </c>
    </row>
    <row r="211" spans="1:56" hidden="1" x14ac:dyDescent="0.25">
      <c r="A211" s="4">
        <v>206</v>
      </c>
      <c r="B211" s="2" t="str">
        <f>HYPERLINK("https://my.zakupki.prom.ua/remote/dispatcher/state_purchase_view/5428738", "UA-2018-01-15-002188-a")</f>
        <v>UA-2018-01-15-002188-a</v>
      </c>
      <c r="C211" s="2" t="s">
        <v>983</v>
      </c>
      <c r="D211" s="1" t="s">
        <v>822</v>
      </c>
      <c r="E211" s="1" t="s">
        <v>1218</v>
      </c>
      <c r="F211" s="1" t="s">
        <v>381</v>
      </c>
      <c r="G211" s="1" t="s">
        <v>883</v>
      </c>
      <c r="H211" s="1" t="s">
        <v>987</v>
      </c>
      <c r="I211" s="1" t="s">
        <v>905</v>
      </c>
      <c r="J211" s="1" t="s">
        <v>158</v>
      </c>
      <c r="K211" s="1" t="s">
        <v>662</v>
      </c>
      <c r="L211" s="1" t="s">
        <v>1207</v>
      </c>
      <c r="M211" s="1" t="s">
        <v>147</v>
      </c>
      <c r="N211" s="1" t="s">
        <v>147</v>
      </c>
      <c r="O211" s="1" t="s">
        <v>147</v>
      </c>
      <c r="P211" s="5">
        <v>43115</v>
      </c>
      <c r="Q211" s="5">
        <v>43115</v>
      </c>
      <c r="R211" s="5">
        <v>43117</v>
      </c>
      <c r="S211" s="5">
        <v>43117</v>
      </c>
      <c r="T211" s="5">
        <v>43119</v>
      </c>
      <c r="U211" s="7">
        <v>43122.503460648149</v>
      </c>
      <c r="V211" s="4">
        <v>4</v>
      </c>
      <c r="W211" s="6">
        <v>5186.5600000000004</v>
      </c>
      <c r="X211" s="1" t="s">
        <v>983</v>
      </c>
      <c r="Y211" s="4">
        <v>10</v>
      </c>
      <c r="Z211" s="6">
        <v>518.66</v>
      </c>
      <c r="AA211" s="1" t="s">
        <v>1319</v>
      </c>
      <c r="AB211" s="1" t="s">
        <v>540</v>
      </c>
      <c r="AC211" s="1" t="s">
        <v>1202</v>
      </c>
      <c r="AD211" s="1" t="s">
        <v>704</v>
      </c>
      <c r="AE211" s="1" t="s">
        <v>987</v>
      </c>
      <c r="AF211" s="6">
        <v>4558</v>
      </c>
      <c r="AG211" s="6">
        <v>455.8</v>
      </c>
      <c r="AH211" s="1" t="s">
        <v>1235</v>
      </c>
      <c r="AI211" s="6">
        <v>628.5600000000004</v>
      </c>
      <c r="AJ211" s="6">
        <v>0.12119015301085891</v>
      </c>
      <c r="AK211" s="1" t="s">
        <v>1235</v>
      </c>
      <c r="AL211" s="1" t="s">
        <v>273</v>
      </c>
      <c r="AM211" s="1" t="s">
        <v>543</v>
      </c>
      <c r="AN211" s="1" t="s">
        <v>43</v>
      </c>
      <c r="AO211" s="6">
        <v>628.5600000000004</v>
      </c>
      <c r="AP211" s="6">
        <v>0.12119015301085891</v>
      </c>
      <c r="AQ211" s="2" t="str">
        <f>HYPERLINK("https://auction.openprocurement.org/tenders/478521194ef7434f87edc7b880df538c")</f>
        <v>https://auction.openprocurement.org/tenders/478521194ef7434f87edc7b880df538c</v>
      </c>
      <c r="AR211" s="7">
        <v>43122.593723949962</v>
      </c>
      <c r="AS211" s="5">
        <v>43124</v>
      </c>
      <c r="AT211" s="5">
        <v>43147</v>
      </c>
      <c r="AU211" s="1" t="s">
        <v>1287</v>
      </c>
      <c r="AV211" s="7">
        <v>43126.514344108102</v>
      </c>
      <c r="AW211" s="1" t="s">
        <v>316</v>
      </c>
      <c r="AX211" s="6">
        <v>4558</v>
      </c>
      <c r="AY211" s="5">
        <v>43122</v>
      </c>
      <c r="AZ211" s="5">
        <v>43131</v>
      </c>
      <c r="BA211" s="7">
        <v>43465</v>
      </c>
      <c r="BB211" s="1" t="s">
        <v>1310</v>
      </c>
      <c r="BC211" s="1"/>
      <c r="BD211" s="1" t="s">
        <v>901</v>
      </c>
    </row>
    <row r="212" spans="1:56" hidden="1" x14ac:dyDescent="0.25">
      <c r="A212" s="4">
        <v>207</v>
      </c>
      <c r="B212" s="2" t="str">
        <f>HYPERLINK("https://my.zakupki.prom.ua/remote/dispatcher/state_purchase_view/5428291", "UA-2018-01-15-002160-a")</f>
        <v>UA-2018-01-15-002160-a</v>
      </c>
      <c r="C212" s="2" t="s">
        <v>983</v>
      </c>
      <c r="D212" s="1" t="s">
        <v>820</v>
      </c>
      <c r="E212" s="1" t="s">
        <v>1083</v>
      </c>
      <c r="F212" s="1" t="s">
        <v>381</v>
      </c>
      <c r="G212" s="1" t="s">
        <v>883</v>
      </c>
      <c r="H212" s="1" t="s">
        <v>987</v>
      </c>
      <c r="I212" s="1" t="s">
        <v>905</v>
      </c>
      <c r="J212" s="1" t="s">
        <v>158</v>
      </c>
      <c r="K212" s="1" t="s">
        <v>662</v>
      </c>
      <c r="L212" s="1" t="s">
        <v>1207</v>
      </c>
      <c r="M212" s="1" t="s">
        <v>147</v>
      </c>
      <c r="N212" s="1" t="s">
        <v>147</v>
      </c>
      <c r="O212" s="1" t="s">
        <v>147</v>
      </c>
      <c r="P212" s="5">
        <v>43115</v>
      </c>
      <c r="Q212" s="5">
        <v>43115</v>
      </c>
      <c r="R212" s="5">
        <v>43117</v>
      </c>
      <c r="S212" s="5">
        <v>43117</v>
      </c>
      <c r="T212" s="5">
        <v>43119</v>
      </c>
      <c r="U212" s="7">
        <v>43122.64806712963</v>
      </c>
      <c r="V212" s="4">
        <v>2</v>
      </c>
      <c r="W212" s="6">
        <v>4257.7</v>
      </c>
      <c r="X212" s="1" t="s">
        <v>983</v>
      </c>
      <c r="Y212" s="4">
        <v>4</v>
      </c>
      <c r="Z212" s="6">
        <v>1064.42</v>
      </c>
      <c r="AA212" s="1" t="s">
        <v>1319</v>
      </c>
      <c r="AB212" s="1" t="s">
        <v>540</v>
      </c>
      <c r="AC212" s="1" t="s">
        <v>1202</v>
      </c>
      <c r="AD212" s="1" t="s">
        <v>704</v>
      </c>
      <c r="AE212" s="1" t="s">
        <v>987</v>
      </c>
      <c r="AF212" s="6">
        <v>3980</v>
      </c>
      <c r="AG212" s="6">
        <v>995</v>
      </c>
      <c r="AH212" s="1" t="s">
        <v>1254</v>
      </c>
      <c r="AI212" s="6">
        <v>277.69999999999982</v>
      </c>
      <c r="AJ212" s="6">
        <v>6.522300772717661E-2</v>
      </c>
      <c r="AK212" s="1" t="s">
        <v>1254</v>
      </c>
      <c r="AL212" s="1" t="s">
        <v>315</v>
      </c>
      <c r="AM212" s="1" t="s">
        <v>531</v>
      </c>
      <c r="AN212" s="1" t="s">
        <v>146</v>
      </c>
      <c r="AO212" s="6">
        <v>277.69999999999982</v>
      </c>
      <c r="AP212" s="6">
        <v>6.522300772717661E-2</v>
      </c>
      <c r="AQ212" s="2" t="str">
        <f>HYPERLINK("https://auction.openprocurement.org/tenders/46c0f18d3e2744cd92e138564227da53")</f>
        <v>https://auction.openprocurement.org/tenders/46c0f18d3e2744cd92e138564227da53</v>
      </c>
      <c r="AR212" s="7">
        <v>43123.504644802917</v>
      </c>
      <c r="AS212" s="5">
        <v>43125</v>
      </c>
      <c r="AT212" s="5">
        <v>43147</v>
      </c>
      <c r="AU212" s="1" t="s">
        <v>1287</v>
      </c>
      <c r="AV212" s="7">
        <v>43151.351654215061</v>
      </c>
      <c r="AW212" s="1" t="s">
        <v>514</v>
      </c>
      <c r="AX212" s="6">
        <v>3980</v>
      </c>
      <c r="AY212" s="5">
        <v>43122</v>
      </c>
      <c r="AZ212" s="5">
        <v>43131</v>
      </c>
      <c r="BA212" s="7">
        <v>43465</v>
      </c>
      <c r="BB212" s="1" t="s">
        <v>1310</v>
      </c>
      <c r="BC212" s="1"/>
      <c r="BD212" s="1" t="s">
        <v>901</v>
      </c>
    </row>
    <row r="213" spans="1:56" hidden="1" x14ac:dyDescent="0.25">
      <c r="A213" s="4">
        <v>208</v>
      </c>
      <c r="B213" s="2" t="str">
        <f>HYPERLINK("https://my.zakupki.prom.ua/remote/dispatcher/state_purchase_view/5428173", "UA-2018-01-15-002126-a")</f>
        <v>UA-2018-01-15-002126-a</v>
      </c>
      <c r="C213" s="2" t="s">
        <v>983</v>
      </c>
      <c r="D213" s="1" t="s">
        <v>1124</v>
      </c>
      <c r="E213" s="1" t="s">
        <v>1124</v>
      </c>
      <c r="F213" s="1" t="s">
        <v>381</v>
      </c>
      <c r="G213" s="1" t="s">
        <v>883</v>
      </c>
      <c r="H213" s="1" t="s">
        <v>987</v>
      </c>
      <c r="I213" s="1" t="s">
        <v>905</v>
      </c>
      <c r="J213" s="1" t="s">
        <v>158</v>
      </c>
      <c r="K213" s="1" t="s">
        <v>662</v>
      </c>
      <c r="L213" s="1" t="s">
        <v>1207</v>
      </c>
      <c r="M213" s="1" t="s">
        <v>147</v>
      </c>
      <c r="N213" s="1" t="s">
        <v>147</v>
      </c>
      <c r="O213" s="1" t="s">
        <v>147</v>
      </c>
      <c r="P213" s="5">
        <v>43115</v>
      </c>
      <c r="Q213" s="5">
        <v>43115</v>
      </c>
      <c r="R213" s="5">
        <v>43117</v>
      </c>
      <c r="S213" s="5">
        <v>43117</v>
      </c>
      <c r="T213" s="5">
        <v>43119</v>
      </c>
      <c r="U213" s="1" t="s">
        <v>1285</v>
      </c>
      <c r="V213" s="4">
        <v>1</v>
      </c>
      <c r="W213" s="6">
        <v>4719.62</v>
      </c>
      <c r="X213" s="1" t="s">
        <v>983</v>
      </c>
      <c r="Y213" s="4">
        <v>10</v>
      </c>
      <c r="Z213" s="6">
        <v>471.96</v>
      </c>
      <c r="AA213" s="1" t="s">
        <v>1319</v>
      </c>
      <c r="AB213" s="1" t="s">
        <v>540</v>
      </c>
      <c r="AC213" s="1" t="s">
        <v>1202</v>
      </c>
      <c r="AD213" s="1" t="s">
        <v>704</v>
      </c>
      <c r="AE213" s="1" t="s">
        <v>987</v>
      </c>
      <c r="AF213" s="6">
        <v>4560.7</v>
      </c>
      <c r="AG213" s="6">
        <v>456.07</v>
      </c>
      <c r="AH213" s="1" t="s">
        <v>1177</v>
      </c>
      <c r="AI213" s="6">
        <v>158.92000000000007</v>
      </c>
      <c r="AJ213" s="6">
        <v>3.3672202423076447E-2</v>
      </c>
      <c r="AK213" s="1" t="s">
        <v>1177</v>
      </c>
      <c r="AL213" s="1" t="s">
        <v>432</v>
      </c>
      <c r="AM213" s="1" t="s">
        <v>552</v>
      </c>
      <c r="AN213" s="1" t="s">
        <v>95</v>
      </c>
      <c r="AO213" s="6">
        <v>158.92000000000007</v>
      </c>
      <c r="AP213" s="6">
        <v>3.3672202423076447E-2</v>
      </c>
      <c r="AQ213" s="2"/>
      <c r="AR213" s="7">
        <v>43122.419302210212</v>
      </c>
      <c r="AS213" s="5">
        <v>43124</v>
      </c>
      <c r="AT213" s="5">
        <v>43147</v>
      </c>
      <c r="AU213" s="1" t="s">
        <v>1287</v>
      </c>
      <c r="AV213" s="7">
        <v>43126.499300980598</v>
      </c>
      <c r="AW213" s="1" t="s">
        <v>207</v>
      </c>
      <c r="AX213" s="6">
        <v>4560.7</v>
      </c>
      <c r="AY213" s="5">
        <v>43122</v>
      </c>
      <c r="AZ213" s="5">
        <v>43131</v>
      </c>
      <c r="BA213" s="7">
        <v>43465</v>
      </c>
      <c r="BB213" s="1" t="s">
        <v>1310</v>
      </c>
      <c r="BC213" s="1"/>
      <c r="BD213" s="1" t="s">
        <v>901</v>
      </c>
    </row>
    <row r="214" spans="1:56" hidden="1" x14ac:dyDescent="0.25">
      <c r="A214" s="4">
        <v>209</v>
      </c>
      <c r="B214" s="2" t="str">
        <f>HYPERLINK("https://my.zakupki.prom.ua/remote/dispatcher/state_purchase_view/5428048", "UA-2018-01-15-002100-a")</f>
        <v>UA-2018-01-15-002100-a</v>
      </c>
      <c r="C214" s="2" t="s">
        <v>983</v>
      </c>
      <c r="D214" s="1" t="s">
        <v>816</v>
      </c>
      <c r="E214" s="1" t="s">
        <v>970</v>
      </c>
      <c r="F214" s="1" t="s">
        <v>381</v>
      </c>
      <c r="G214" s="1" t="s">
        <v>883</v>
      </c>
      <c r="H214" s="1" t="s">
        <v>987</v>
      </c>
      <c r="I214" s="1" t="s">
        <v>905</v>
      </c>
      <c r="J214" s="1" t="s">
        <v>158</v>
      </c>
      <c r="K214" s="1" t="s">
        <v>662</v>
      </c>
      <c r="L214" s="1" t="s">
        <v>1207</v>
      </c>
      <c r="M214" s="1" t="s">
        <v>174</v>
      </c>
      <c r="N214" s="1" t="s">
        <v>147</v>
      </c>
      <c r="O214" s="1" t="s">
        <v>147</v>
      </c>
      <c r="P214" s="5">
        <v>43115</v>
      </c>
      <c r="Q214" s="5">
        <v>43115</v>
      </c>
      <c r="R214" s="5">
        <v>43117</v>
      </c>
      <c r="S214" s="5">
        <v>43117</v>
      </c>
      <c r="T214" s="5">
        <v>43119</v>
      </c>
      <c r="U214" s="1" t="s">
        <v>1285</v>
      </c>
      <c r="V214" s="4">
        <v>1</v>
      </c>
      <c r="W214" s="6">
        <v>7485.11</v>
      </c>
      <c r="X214" s="1" t="s">
        <v>983</v>
      </c>
      <c r="Y214" s="4">
        <v>13</v>
      </c>
      <c r="Z214" s="6">
        <v>575.78</v>
      </c>
      <c r="AA214" s="1" t="s">
        <v>1319</v>
      </c>
      <c r="AB214" s="1" t="s">
        <v>540</v>
      </c>
      <c r="AC214" s="1" t="s">
        <v>1202</v>
      </c>
      <c r="AD214" s="1" t="s">
        <v>704</v>
      </c>
      <c r="AE214" s="1" t="s">
        <v>987</v>
      </c>
      <c r="AF214" s="6">
        <v>7418.08</v>
      </c>
      <c r="AG214" s="6">
        <v>570.62153846153842</v>
      </c>
      <c r="AH214" s="1" t="s">
        <v>1177</v>
      </c>
      <c r="AI214" s="6">
        <v>67.029999999999745</v>
      </c>
      <c r="AJ214" s="6">
        <v>8.9551122161197032E-3</v>
      </c>
      <c r="AK214" s="1" t="s">
        <v>1177</v>
      </c>
      <c r="AL214" s="1" t="s">
        <v>432</v>
      </c>
      <c r="AM214" s="1" t="s">
        <v>552</v>
      </c>
      <c r="AN214" s="1" t="s">
        <v>95</v>
      </c>
      <c r="AO214" s="6">
        <v>67.029999999999745</v>
      </c>
      <c r="AP214" s="6">
        <v>8.9551122161197032E-3</v>
      </c>
      <c r="AQ214" s="2"/>
      <c r="AR214" s="7">
        <v>43122.417888267722</v>
      </c>
      <c r="AS214" s="5">
        <v>43124</v>
      </c>
      <c r="AT214" s="5">
        <v>43147</v>
      </c>
      <c r="AU214" s="1" t="s">
        <v>1287</v>
      </c>
      <c r="AV214" s="7">
        <v>43126.519648014189</v>
      </c>
      <c r="AW214" s="1" t="s">
        <v>205</v>
      </c>
      <c r="AX214" s="6">
        <v>7418.08</v>
      </c>
      <c r="AY214" s="5">
        <v>43122</v>
      </c>
      <c r="AZ214" s="5">
        <v>43131</v>
      </c>
      <c r="BA214" s="7">
        <v>43465</v>
      </c>
      <c r="BB214" s="1" t="s">
        <v>1310</v>
      </c>
      <c r="BC214" s="1"/>
      <c r="BD214" s="1" t="s">
        <v>901</v>
      </c>
    </row>
    <row r="215" spans="1:56" hidden="1" x14ac:dyDescent="0.25">
      <c r="A215" s="4">
        <v>210</v>
      </c>
      <c r="B215" s="2" t="str">
        <f>HYPERLINK("https://my.zakupki.prom.ua/remote/dispatcher/state_purchase_view/4932392", "UA-2017-12-08-003471-c")</f>
        <v>UA-2017-12-08-003471-c</v>
      </c>
      <c r="C215" s="2" t="s">
        <v>983</v>
      </c>
      <c r="D215" s="1" t="s">
        <v>757</v>
      </c>
      <c r="E215" s="1" t="s">
        <v>22</v>
      </c>
      <c r="F215" s="1" t="s">
        <v>283</v>
      </c>
      <c r="G215" s="1" t="s">
        <v>883</v>
      </c>
      <c r="H215" s="1" t="s">
        <v>987</v>
      </c>
      <c r="I215" s="1" t="s">
        <v>905</v>
      </c>
      <c r="J215" s="1" t="s">
        <v>158</v>
      </c>
      <c r="K215" s="1" t="s">
        <v>662</v>
      </c>
      <c r="L215" s="1" t="s">
        <v>1207</v>
      </c>
      <c r="M215" s="1" t="s">
        <v>147</v>
      </c>
      <c r="N215" s="1" t="s">
        <v>147</v>
      </c>
      <c r="O215" s="1" t="s">
        <v>147</v>
      </c>
      <c r="P215" s="5">
        <v>43077</v>
      </c>
      <c r="Q215" s="5">
        <v>43077</v>
      </c>
      <c r="R215" s="5">
        <v>43080</v>
      </c>
      <c r="S215" s="5">
        <v>43080</v>
      </c>
      <c r="T215" s="5">
        <v>43082</v>
      </c>
      <c r="U215" s="1" t="s">
        <v>1285</v>
      </c>
      <c r="V215" s="4">
        <v>1</v>
      </c>
      <c r="W215" s="6">
        <v>10839.06</v>
      </c>
      <c r="X215" s="1" t="s">
        <v>983</v>
      </c>
      <c r="Y215" s="4">
        <v>20</v>
      </c>
      <c r="Z215" s="6">
        <v>541.95000000000005</v>
      </c>
      <c r="AA215" s="1" t="s">
        <v>1319</v>
      </c>
      <c r="AB215" s="1" t="s">
        <v>540</v>
      </c>
      <c r="AC215" s="1" t="s">
        <v>1202</v>
      </c>
      <c r="AD215" s="1" t="s">
        <v>704</v>
      </c>
      <c r="AE215" s="1" t="s">
        <v>987</v>
      </c>
      <c r="AF215" s="6">
        <v>10839</v>
      </c>
      <c r="AG215" s="6">
        <v>541.95000000000005</v>
      </c>
      <c r="AH215" s="1" t="s">
        <v>1266</v>
      </c>
      <c r="AI215" s="6">
        <v>5.9999999999490683E-2</v>
      </c>
      <c r="AJ215" s="6">
        <v>5.5355353692562534E-6</v>
      </c>
      <c r="AK215" s="1" t="s">
        <v>1266</v>
      </c>
      <c r="AL215" s="1" t="s">
        <v>325</v>
      </c>
      <c r="AM215" s="1" t="s">
        <v>615</v>
      </c>
      <c r="AN215" s="1" t="s">
        <v>135</v>
      </c>
      <c r="AO215" s="6">
        <v>5.9999999999490683E-2</v>
      </c>
      <c r="AP215" s="6">
        <v>5.5355353692562534E-6</v>
      </c>
      <c r="AQ215" s="2"/>
      <c r="AR215" s="7">
        <v>43083.488231035983</v>
      </c>
      <c r="AS215" s="5">
        <v>43087</v>
      </c>
      <c r="AT215" s="5">
        <v>43110</v>
      </c>
      <c r="AU215" s="1" t="s">
        <v>1287</v>
      </c>
      <c r="AV215" s="7">
        <v>43088.487751261564</v>
      </c>
      <c r="AW215" s="1" t="s">
        <v>463</v>
      </c>
      <c r="AX215" s="6">
        <v>10839</v>
      </c>
      <c r="AY215" s="5">
        <v>43084</v>
      </c>
      <c r="AZ215" s="5">
        <v>43098</v>
      </c>
      <c r="BA215" s="7">
        <v>43100</v>
      </c>
      <c r="BB215" s="1" t="s">
        <v>1310</v>
      </c>
      <c r="BC215" s="1"/>
      <c r="BD215" s="1" t="s">
        <v>901</v>
      </c>
    </row>
    <row r="216" spans="1:56" hidden="1" x14ac:dyDescent="0.25">
      <c r="A216" s="4">
        <v>211</v>
      </c>
      <c r="B216" s="2" t="str">
        <f>HYPERLINK("https://my.zakupki.prom.ua/remote/dispatcher/state_purchase_view/4929129", "UA-2017-12-08-002947-c")</f>
        <v>UA-2017-12-08-002947-c</v>
      </c>
      <c r="C216" s="2" t="s">
        <v>983</v>
      </c>
      <c r="D216" s="1" t="s">
        <v>1124</v>
      </c>
      <c r="E216" s="1" t="s">
        <v>1124</v>
      </c>
      <c r="F216" s="1" t="s">
        <v>381</v>
      </c>
      <c r="G216" s="1" t="s">
        <v>883</v>
      </c>
      <c r="H216" s="1" t="s">
        <v>987</v>
      </c>
      <c r="I216" s="1" t="s">
        <v>905</v>
      </c>
      <c r="J216" s="1" t="s">
        <v>158</v>
      </c>
      <c r="K216" s="1" t="s">
        <v>662</v>
      </c>
      <c r="L216" s="1" t="s">
        <v>1207</v>
      </c>
      <c r="M216" s="1" t="s">
        <v>147</v>
      </c>
      <c r="N216" s="1" t="s">
        <v>147</v>
      </c>
      <c r="O216" s="1" t="s">
        <v>147</v>
      </c>
      <c r="P216" s="5">
        <v>43077</v>
      </c>
      <c r="Q216" s="5">
        <v>43077</v>
      </c>
      <c r="R216" s="5">
        <v>43081</v>
      </c>
      <c r="S216" s="5">
        <v>43081</v>
      </c>
      <c r="T216" s="5">
        <v>43082</v>
      </c>
      <c r="U216" s="1" t="s">
        <v>1285</v>
      </c>
      <c r="V216" s="4">
        <v>1</v>
      </c>
      <c r="W216" s="6">
        <v>4080</v>
      </c>
      <c r="X216" s="1" t="s">
        <v>983</v>
      </c>
      <c r="Y216" s="4">
        <v>10</v>
      </c>
      <c r="Z216" s="6">
        <v>408</v>
      </c>
      <c r="AA216" s="1" t="s">
        <v>1319</v>
      </c>
      <c r="AB216" s="1" t="s">
        <v>540</v>
      </c>
      <c r="AC216" s="1" t="s">
        <v>1202</v>
      </c>
      <c r="AD216" s="1" t="s">
        <v>704</v>
      </c>
      <c r="AE216" s="1" t="s">
        <v>987</v>
      </c>
      <c r="AF216" s="6">
        <v>4074</v>
      </c>
      <c r="AG216" s="6">
        <v>407.4</v>
      </c>
      <c r="AH216" s="1" t="s">
        <v>1177</v>
      </c>
      <c r="AI216" s="6">
        <v>6</v>
      </c>
      <c r="AJ216" s="6">
        <v>1.4705882352941176E-3</v>
      </c>
      <c r="AK216" s="1" t="s">
        <v>1177</v>
      </c>
      <c r="AL216" s="1" t="s">
        <v>432</v>
      </c>
      <c r="AM216" s="1" t="s">
        <v>552</v>
      </c>
      <c r="AN216" s="1" t="s">
        <v>95</v>
      </c>
      <c r="AO216" s="6">
        <v>6</v>
      </c>
      <c r="AP216" s="6">
        <v>1.4705882352941176E-3</v>
      </c>
      <c r="AQ216" s="2"/>
      <c r="AR216" s="7">
        <v>43083.43232887367</v>
      </c>
      <c r="AS216" s="5">
        <v>43087</v>
      </c>
      <c r="AT216" s="5">
        <v>43111</v>
      </c>
      <c r="AU216" s="1" t="s">
        <v>1287</v>
      </c>
      <c r="AV216" s="7">
        <v>43088.442444547232</v>
      </c>
      <c r="AW216" s="1" t="s">
        <v>455</v>
      </c>
      <c r="AX216" s="6">
        <v>4074</v>
      </c>
      <c r="AY216" s="5">
        <v>43084</v>
      </c>
      <c r="AZ216" s="5">
        <v>43098</v>
      </c>
      <c r="BA216" s="7">
        <v>43100</v>
      </c>
      <c r="BB216" s="1" t="s">
        <v>1310</v>
      </c>
      <c r="BC216" s="1"/>
      <c r="BD216" s="1" t="s">
        <v>901</v>
      </c>
    </row>
    <row r="217" spans="1:56" hidden="1" x14ac:dyDescent="0.25">
      <c r="A217" s="4">
        <v>212</v>
      </c>
      <c r="B217" s="2" t="str">
        <f>HYPERLINK("https://my.zakupki.prom.ua/remote/dispatcher/state_purchase_view/4927599", "UA-2017-12-08-002624-c")</f>
        <v>UA-2017-12-08-002624-c</v>
      </c>
      <c r="C217" s="2" t="s">
        <v>983</v>
      </c>
      <c r="D217" s="1" t="s">
        <v>813</v>
      </c>
      <c r="E217" s="1" t="s">
        <v>664</v>
      </c>
      <c r="F217" s="1" t="s">
        <v>381</v>
      </c>
      <c r="G217" s="1" t="s">
        <v>883</v>
      </c>
      <c r="H217" s="1" t="s">
        <v>987</v>
      </c>
      <c r="I217" s="1" t="s">
        <v>905</v>
      </c>
      <c r="J217" s="1" t="s">
        <v>158</v>
      </c>
      <c r="K217" s="1" t="s">
        <v>662</v>
      </c>
      <c r="L217" s="1" t="s">
        <v>1207</v>
      </c>
      <c r="M217" s="1" t="s">
        <v>147</v>
      </c>
      <c r="N217" s="1" t="s">
        <v>147</v>
      </c>
      <c r="O217" s="1" t="s">
        <v>147</v>
      </c>
      <c r="P217" s="5">
        <v>43077</v>
      </c>
      <c r="Q217" s="5">
        <v>43077</v>
      </c>
      <c r="R217" s="5">
        <v>43081</v>
      </c>
      <c r="S217" s="5">
        <v>43081</v>
      </c>
      <c r="T217" s="5">
        <v>43083</v>
      </c>
      <c r="U217" s="1" t="s">
        <v>1285</v>
      </c>
      <c r="V217" s="4">
        <v>1</v>
      </c>
      <c r="W217" s="6">
        <v>9830.14</v>
      </c>
      <c r="X217" s="1" t="s">
        <v>983</v>
      </c>
      <c r="Y217" s="4">
        <v>5069</v>
      </c>
      <c r="Z217" s="6">
        <v>1.94</v>
      </c>
      <c r="AA217" s="1" t="s">
        <v>1319</v>
      </c>
      <c r="AB217" s="1" t="s">
        <v>540</v>
      </c>
      <c r="AC217" s="1" t="s">
        <v>1202</v>
      </c>
      <c r="AD217" s="1" t="s">
        <v>704</v>
      </c>
      <c r="AE217" s="1" t="s">
        <v>987</v>
      </c>
      <c r="AF217" s="6">
        <v>9106.1299999999992</v>
      </c>
      <c r="AG217" s="6">
        <v>1.7964351943184058</v>
      </c>
      <c r="AH217" s="1" t="s">
        <v>1186</v>
      </c>
      <c r="AI217" s="6">
        <v>724.01000000000022</v>
      </c>
      <c r="AJ217" s="6">
        <v>7.3652053785602273E-2</v>
      </c>
      <c r="AK217" s="1" t="s">
        <v>1186</v>
      </c>
      <c r="AL217" s="1" t="s">
        <v>281</v>
      </c>
      <c r="AM217" s="1" t="s">
        <v>561</v>
      </c>
      <c r="AN217" s="1" t="s">
        <v>73</v>
      </c>
      <c r="AO217" s="6">
        <v>724.01000000000022</v>
      </c>
      <c r="AP217" s="6">
        <v>7.3652053785602273E-2</v>
      </c>
      <c r="AQ217" s="2"/>
      <c r="AR217" s="7">
        <v>43083.679837173724</v>
      </c>
      <c r="AS217" s="5">
        <v>43087</v>
      </c>
      <c r="AT217" s="5">
        <v>43111</v>
      </c>
      <c r="AU217" s="1" t="s">
        <v>1287</v>
      </c>
      <c r="AV217" s="7">
        <v>43088.460174519481</v>
      </c>
      <c r="AW217" s="1" t="s">
        <v>457</v>
      </c>
      <c r="AX217" s="6">
        <v>9106.1299999999992</v>
      </c>
      <c r="AY217" s="5">
        <v>43087</v>
      </c>
      <c r="AZ217" s="5">
        <v>43098</v>
      </c>
      <c r="BA217" s="7">
        <v>43100</v>
      </c>
      <c r="BB217" s="1" t="s">
        <v>1310</v>
      </c>
      <c r="BC217" s="1"/>
      <c r="BD217" s="1" t="s">
        <v>901</v>
      </c>
    </row>
    <row r="218" spans="1:56" hidden="1" x14ac:dyDescent="0.25">
      <c r="A218" s="4">
        <v>213</v>
      </c>
      <c r="B218" s="2" t="str">
        <f>HYPERLINK("https://my.zakupki.prom.ua/remote/dispatcher/state_purchase_view/4924229", "UA-2017-12-08-002065-c")</f>
        <v>UA-2017-12-08-002065-c</v>
      </c>
      <c r="C218" s="2" t="s">
        <v>983</v>
      </c>
      <c r="D218" s="1" t="s">
        <v>915</v>
      </c>
      <c r="E218" s="1" t="s">
        <v>915</v>
      </c>
      <c r="F218" s="1" t="s">
        <v>324</v>
      </c>
      <c r="G218" s="1" t="s">
        <v>883</v>
      </c>
      <c r="H218" s="1" t="s">
        <v>987</v>
      </c>
      <c r="I218" s="1" t="s">
        <v>905</v>
      </c>
      <c r="J218" s="1" t="s">
        <v>158</v>
      </c>
      <c r="K218" s="1" t="s">
        <v>662</v>
      </c>
      <c r="L218" s="1" t="s">
        <v>1207</v>
      </c>
      <c r="M218" s="1" t="s">
        <v>147</v>
      </c>
      <c r="N218" s="1" t="s">
        <v>147</v>
      </c>
      <c r="O218" s="1" t="s">
        <v>147</v>
      </c>
      <c r="P218" s="5">
        <v>43077</v>
      </c>
      <c r="Q218" s="5">
        <v>43077</v>
      </c>
      <c r="R218" s="5">
        <v>43080</v>
      </c>
      <c r="S218" s="5">
        <v>43080</v>
      </c>
      <c r="T218" s="5">
        <v>43081</v>
      </c>
      <c r="U218" s="7">
        <v>43082.61142361111</v>
      </c>
      <c r="V218" s="4">
        <v>2</v>
      </c>
      <c r="W218" s="6">
        <v>7097.41</v>
      </c>
      <c r="X218" s="1" t="s">
        <v>983</v>
      </c>
      <c r="Y218" s="4">
        <v>2</v>
      </c>
      <c r="Z218" s="6">
        <v>3548.7</v>
      </c>
      <c r="AA218" s="1" t="s">
        <v>1319</v>
      </c>
      <c r="AB218" s="1" t="s">
        <v>540</v>
      </c>
      <c r="AC218" s="1" t="s">
        <v>1202</v>
      </c>
      <c r="AD218" s="1" t="s">
        <v>704</v>
      </c>
      <c r="AE218" s="1" t="s">
        <v>987</v>
      </c>
      <c r="AF218" s="6">
        <v>6828</v>
      </c>
      <c r="AG218" s="6">
        <v>3414</v>
      </c>
      <c r="AH218" s="1" t="s">
        <v>1240</v>
      </c>
      <c r="AI218" s="6">
        <v>269.40999999999985</v>
      </c>
      <c r="AJ218" s="6">
        <v>3.795891740789948E-2</v>
      </c>
      <c r="AK218" s="1" t="s">
        <v>1248</v>
      </c>
      <c r="AL218" s="1" t="s">
        <v>305</v>
      </c>
      <c r="AM218" s="1" t="s">
        <v>617</v>
      </c>
      <c r="AN218" s="1" t="s">
        <v>48</v>
      </c>
      <c r="AO218" s="6">
        <v>234.40999999999985</v>
      </c>
      <c r="AP218" s="6">
        <v>3.3027541032573833E-2</v>
      </c>
      <c r="AQ218" s="2" t="str">
        <f>HYPERLINK("https://auction.openprocurement.org/tenders/b97805caa623448d97c74be063033859")</f>
        <v>https://auction.openprocurement.org/tenders/b97805caa623448d97c74be063033859</v>
      </c>
      <c r="AR218" s="7">
        <v>43083.431324360732</v>
      </c>
      <c r="AS218" s="5">
        <v>43087</v>
      </c>
      <c r="AT218" s="5">
        <v>43110</v>
      </c>
      <c r="AU218" s="1" t="s">
        <v>1287</v>
      </c>
      <c r="AV218" s="7">
        <v>43103.455787834791</v>
      </c>
      <c r="AW218" s="1" t="s">
        <v>462</v>
      </c>
      <c r="AX218" s="6">
        <v>6863</v>
      </c>
      <c r="AY218" s="5">
        <v>43082</v>
      </c>
      <c r="AZ218" s="5">
        <v>43098</v>
      </c>
      <c r="BA218" s="7">
        <v>43100</v>
      </c>
      <c r="BB218" s="1" t="s">
        <v>1310</v>
      </c>
      <c r="BC218" s="1"/>
      <c r="BD218" s="1" t="s">
        <v>901</v>
      </c>
    </row>
    <row r="219" spans="1:56" hidden="1" x14ac:dyDescent="0.25">
      <c r="A219" s="4">
        <v>214</v>
      </c>
      <c r="B219" s="2" t="str">
        <f>HYPERLINK("https://my.zakupki.prom.ua/remote/dispatcher/state_purchase_view/4876579", "UA-2017-12-06-000738-c")</f>
        <v>UA-2017-12-06-000738-c</v>
      </c>
      <c r="C219" s="2" t="s">
        <v>983</v>
      </c>
      <c r="D219" s="1" t="s">
        <v>779</v>
      </c>
      <c r="E219" s="1" t="s">
        <v>677</v>
      </c>
      <c r="F219" s="1" t="s">
        <v>279</v>
      </c>
      <c r="G219" s="1" t="s">
        <v>883</v>
      </c>
      <c r="H219" s="1" t="s">
        <v>987</v>
      </c>
      <c r="I219" s="1" t="s">
        <v>905</v>
      </c>
      <c r="J219" s="1" t="s">
        <v>158</v>
      </c>
      <c r="K219" s="1" t="s">
        <v>662</v>
      </c>
      <c r="L219" s="1" t="s">
        <v>1207</v>
      </c>
      <c r="M219" s="1" t="s">
        <v>147</v>
      </c>
      <c r="N219" s="1" t="s">
        <v>147</v>
      </c>
      <c r="O219" s="1" t="s">
        <v>147</v>
      </c>
      <c r="P219" s="5">
        <v>43075</v>
      </c>
      <c r="Q219" s="5">
        <v>43075</v>
      </c>
      <c r="R219" s="5">
        <v>43076</v>
      </c>
      <c r="S219" s="5">
        <v>43076</v>
      </c>
      <c r="T219" s="5">
        <v>43077</v>
      </c>
      <c r="U219" s="1" t="s">
        <v>1285</v>
      </c>
      <c r="V219" s="4">
        <v>0</v>
      </c>
      <c r="W219" s="6">
        <v>7823.75</v>
      </c>
      <c r="X219" s="1" t="s">
        <v>983</v>
      </c>
      <c r="Y219" s="4">
        <v>12</v>
      </c>
      <c r="Z219" s="6">
        <v>651.98</v>
      </c>
      <c r="AA219" s="1" t="s">
        <v>1319</v>
      </c>
      <c r="AB219" s="1" t="s">
        <v>540</v>
      </c>
      <c r="AC219" s="1" t="s">
        <v>1202</v>
      </c>
      <c r="AD219" s="1" t="s">
        <v>704</v>
      </c>
      <c r="AE219" s="1" t="s">
        <v>987</v>
      </c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2"/>
      <c r="AR219" s="1"/>
      <c r="AS219" s="1"/>
      <c r="AT219" s="1"/>
      <c r="AU219" s="1" t="s">
        <v>1288</v>
      </c>
      <c r="AV219" s="7">
        <v>43077.544490157976</v>
      </c>
      <c r="AW219" s="1"/>
      <c r="AX219" s="1"/>
      <c r="AY219" s="5">
        <v>43080</v>
      </c>
      <c r="AZ219" s="5">
        <v>43098</v>
      </c>
      <c r="BA219" s="1"/>
      <c r="BB219" s="1"/>
      <c r="BC219" s="1"/>
      <c r="BD219" s="1"/>
    </row>
    <row r="220" spans="1:56" hidden="1" x14ac:dyDescent="0.25">
      <c r="A220" s="4">
        <v>215</v>
      </c>
      <c r="B220" s="2" t="str">
        <f>HYPERLINK("https://my.zakupki.prom.ua/remote/dispatcher/state_purchase_view/4868388", "UA-2017-12-05-003486-c")</f>
        <v>UA-2017-12-05-003486-c</v>
      </c>
      <c r="C220" s="2" t="s">
        <v>983</v>
      </c>
      <c r="D220" s="1" t="s">
        <v>915</v>
      </c>
      <c r="E220" s="1" t="s">
        <v>915</v>
      </c>
      <c r="F220" s="1" t="s">
        <v>324</v>
      </c>
      <c r="G220" s="1" t="s">
        <v>883</v>
      </c>
      <c r="H220" s="1" t="s">
        <v>987</v>
      </c>
      <c r="I220" s="1" t="s">
        <v>905</v>
      </c>
      <c r="J220" s="1" t="s">
        <v>158</v>
      </c>
      <c r="K220" s="1" t="s">
        <v>662</v>
      </c>
      <c r="L220" s="1" t="s">
        <v>1207</v>
      </c>
      <c r="M220" s="1" t="s">
        <v>147</v>
      </c>
      <c r="N220" s="1" t="s">
        <v>147</v>
      </c>
      <c r="O220" s="1" t="s">
        <v>147</v>
      </c>
      <c r="P220" s="5">
        <v>43074</v>
      </c>
      <c r="Q220" s="5">
        <v>43074</v>
      </c>
      <c r="R220" s="5">
        <v>43075</v>
      </c>
      <c r="S220" s="5">
        <v>43075</v>
      </c>
      <c r="T220" s="5">
        <v>43076</v>
      </c>
      <c r="U220" s="1" t="s">
        <v>1285</v>
      </c>
      <c r="V220" s="4">
        <v>0</v>
      </c>
      <c r="W220" s="6">
        <v>7097.41</v>
      </c>
      <c r="X220" s="1" t="s">
        <v>983</v>
      </c>
      <c r="Y220" s="4">
        <v>2</v>
      </c>
      <c r="Z220" s="6">
        <v>3548.7</v>
      </c>
      <c r="AA220" s="1" t="s">
        <v>1319</v>
      </c>
      <c r="AB220" s="1" t="s">
        <v>540</v>
      </c>
      <c r="AC220" s="1" t="s">
        <v>1202</v>
      </c>
      <c r="AD220" s="1" t="s">
        <v>704</v>
      </c>
      <c r="AE220" s="1" t="s">
        <v>987</v>
      </c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2"/>
      <c r="AR220" s="1"/>
      <c r="AS220" s="1"/>
      <c r="AT220" s="1"/>
      <c r="AU220" s="1" t="s">
        <v>1288</v>
      </c>
      <c r="AV220" s="7">
        <v>43076.877859439432</v>
      </c>
      <c r="AW220" s="1"/>
      <c r="AX220" s="1"/>
      <c r="AY220" s="5">
        <v>43080</v>
      </c>
      <c r="AZ220" s="5">
        <v>43098</v>
      </c>
      <c r="BA220" s="1"/>
      <c r="BB220" s="1"/>
      <c r="BC220" s="1"/>
      <c r="BD220" s="1"/>
    </row>
    <row r="221" spans="1:56" hidden="1" x14ac:dyDescent="0.25">
      <c r="A221" s="4">
        <v>216</v>
      </c>
      <c r="B221" s="2" t="str">
        <f>HYPERLINK("https://my.zakupki.prom.ua/remote/dispatcher/state_purchase_view/4868200", "UA-2017-12-05-003443-c")</f>
        <v>UA-2017-12-05-003443-c</v>
      </c>
      <c r="C221" s="2" t="s">
        <v>983</v>
      </c>
      <c r="D221" s="1" t="s">
        <v>913</v>
      </c>
      <c r="E221" s="1" t="s">
        <v>913</v>
      </c>
      <c r="F221" s="1" t="s">
        <v>324</v>
      </c>
      <c r="G221" s="1" t="s">
        <v>883</v>
      </c>
      <c r="H221" s="1" t="s">
        <v>987</v>
      </c>
      <c r="I221" s="1" t="s">
        <v>905</v>
      </c>
      <c r="J221" s="1" t="s">
        <v>158</v>
      </c>
      <c r="K221" s="1" t="s">
        <v>662</v>
      </c>
      <c r="L221" s="1" t="s">
        <v>1207</v>
      </c>
      <c r="M221" s="1" t="s">
        <v>147</v>
      </c>
      <c r="N221" s="1" t="s">
        <v>147</v>
      </c>
      <c r="O221" s="1" t="s">
        <v>147</v>
      </c>
      <c r="P221" s="5">
        <v>43074</v>
      </c>
      <c r="Q221" s="5">
        <v>43074</v>
      </c>
      <c r="R221" s="5">
        <v>43075</v>
      </c>
      <c r="S221" s="5">
        <v>43075</v>
      </c>
      <c r="T221" s="5">
        <v>43076</v>
      </c>
      <c r="U221" s="1" t="s">
        <v>1285</v>
      </c>
      <c r="V221" s="4">
        <v>1</v>
      </c>
      <c r="W221" s="6">
        <v>8515</v>
      </c>
      <c r="X221" s="1" t="s">
        <v>983</v>
      </c>
      <c r="Y221" s="4">
        <v>1</v>
      </c>
      <c r="Z221" s="6">
        <v>8515</v>
      </c>
      <c r="AA221" s="1" t="s">
        <v>1319</v>
      </c>
      <c r="AB221" s="1" t="s">
        <v>540</v>
      </c>
      <c r="AC221" s="1" t="s">
        <v>1202</v>
      </c>
      <c r="AD221" s="1" t="s">
        <v>704</v>
      </c>
      <c r="AE221" s="1" t="s">
        <v>987</v>
      </c>
      <c r="AF221" s="6">
        <v>8500</v>
      </c>
      <c r="AG221" s="6">
        <v>8500</v>
      </c>
      <c r="AH221" s="1" t="s">
        <v>1230</v>
      </c>
      <c r="AI221" s="6">
        <v>15</v>
      </c>
      <c r="AJ221" s="6">
        <v>1.7615971814445098E-3</v>
      </c>
      <c r="AK221" s="1" t="s">
        <v>1230</v>
      </c>
      <c r="AL221" s="1" t="s">
        <v>320</v>
      </c>
      <c r="AM221" s="1" t="s">
        <v>501</v>
      </c>
      <c r="AN221" s="1" t="s">
        <v>96</v>
      </c>
      <c r="AO221" s="6">
        <v>15</v>
      </c>
      <c r="AP221" s="6">
        <v>1.7615971814445098E-3</v>
      </c>
      <c r="AQ221" s="2"/>
      <c r="AR221" s="7">
        <v>43081.444237934615</v>
      </c>
      <c r="AS221" s="5">
        <v>43083</v>
      </c>
      <c r="AT221" s="5">
        <v>43105</v>
      </c>
      <c r="AU221" s="1" t="s">
        <v>1287</v>
      </c>
      <c r="AV221" s="7">
        <v>43087.576815330765</v>
      </c>
      <c r="AW221" s="1" t="s">
        <v>445</v>
      </c>
      <c r="AX221" s="6">
        <v>8500</v>
      </c>
      <c r="AY221" s="5">
        <v>43080</v>
      </c>
      <c r="AZ221" s="5">
        <v>43098</v>
      </c>
      <c r="BA221" s="7">
        <v>43100</v>
      </c>
      <c r="BB221" s="1" t="s">
        <v>1310</v>
      </c>
      <c r="BC221" s="1"/>
      <c r="BD221" s="1" t="s">
        <v>901</v>
      </c>
    </row>
    <row r="222" spans="1:56" hidden="1" x14ac:dyDescent="0.25">
      <c r="A222" s="4">
        <v>217</v>
      </c>
      <c r="B222" s="2" t="str">
        <f>HYPERLINK("https://my.zakupki.prom.ua/remote/dispatcher/state_purchase_view/4820850", "UA-2017-12-01-002019-c")</f>
        <v>UA-2017-12-01-002019-c</v>
      </c>
      <c r="C222" s="2" t="s">
        <v>983</v>
      </c>
      <c r="D222" s="1" t="s">
        <v>809</v>
      </c>
      <c r="E222" s="1" t="s">
        <v>32</v>
      </c>
      <c r="F222" s="1" t="s">
        <v>381</v>
      </c>
      <c r="G222" s="1" t="s">
        <v>883</v>
      </c>
      <c r="H222" s="1" t="s">
        <v>987</v>
      </c>
      <c r="I222" s="1" t="s">
        <v>905</v>
      </c>
      <c r="J222" s="1" t="s">
        <v>158</v>
      </c>
      <c r="K222" s="1" t="s">
        <v>662</v>
      </c>
      <c r="L222" s="1" t="s">
        <v>1207</v>
      </c>
      <c r="M222" s="1" t="s">
        <v>147</v>
      </c>
      <c r="N222" s="1" t="s">
        <v>147</v>
      </c>
      <c r="O222" s="1" t="s">
        <v>147</v>
      </c>
      <c r="P222" s="5">
        <v>43070</v>
      </c>
      <c r="Q222" s="5">
        <v>43070</v>
      </c>
      <c r="R222" s="5">
        <v>43074</v>
      </c>
      <c r="S222" s="5">
        <v>43074</v>
      </c>
      <c r="T222" s="5">
        <v>43075</v>
      </c>
      <c r="U222" s="1" t="s">
        <v>1285</v>
      </c>
      <c r="V222" s="4">
        <v>1</v>
      </c>
      <c r="W222" s="6">
        <v>4006.81</v>
      </c>
      <c r="X222" s="1" t="s">
        <v>983</v>
      </c>
      <c r="Y222" s="4">
        <v>39</v>
      </c>
      <c r="Z222" s="6">
        <v>102.74</v>
      </c>
      <c r="AA222" s="1" t="s">
        <v>1319</v>
      </c>
      <c r="AB222" s="1" t="s">
        <v>540</v>
      </c>
      <c r="AC222" s="1" t="s">
        <v>1202</v>
      </c>
      <c r="AD222" s="1" t="s">
        <v>704</v>
      </c>
      <c r="AE222" s="1" t="s">
        <v>987</v>
      </c>
      <c r="AF222" s="6">
        <v>2930</v>
      </c>
      <c r="AG222" s="6">
        <v>75.128205128205124</v>
      </c>
      <c r="AH222" s="1" t="s">
        <v>1190</v>
      </c>
      <c r="AI222" s="6">
        <v>1076.81</v>
      </c>
      <c r="AJ222" s="6">
        <v>0.26874496170270112</v>
      </c>
      <c r="AK222" s="1" t="s">
        <v>1190</v>
      </c>
      <c r="AL222" s="1" t="s">
        <v>291</v>
      </c>
      <c r="AM222" s="1" t="s">
        <v>618</v>
      </c>
      <c r="AN222" s="1" t="s">
        <v>58</v>
      </c>
      <c r="AO222" s="6">
        <v>1076.81</v>
      </c>
      <c r="AP222" s="6">
        <v>0.26874496170270112</v>
      </c>
      <c r="AQ222" s="2"/>
      <c r="AR222" s="7">
        <v>43077.503915213798</v>
      </c>
      <c r="AS222" s="5">
        <v>43081</v>
      </c>
      <c r="AT222" s="5">
        <v>43104</v>
      </c>
      <c r="AU222" s="1" t="s">
        <v>1287</v>
      </c>
      <c r="AV222" s="7">
        <v>43087.565763152976</v>
      </c>
      <c r="AW222" s="1" t="s">
        <v>434</v>
      </c>
      <c r="AX222" s="6">
        <v>2930</v>
      </c>
      <c r="AY222" s="5">
        <v>43077</v>
      </c>
      <c r="AZ222" s="5">
        <v>43098</v>
      </c>
      <c r="BA222" s="7">
        <v>43100</v>
      </c>
      <c r="BB222" s="1" t="s">
        <v>1310</v>
      </c>
      <c r="BC222" s="1"/>
      <c r="BD222" s="1" t="s">
        <v>901</v>
      </c>
    </row>
    <row r="223" spans="1:56" hidden="1" x14ac:dyDescent="0.25">
      <c r="A223" s="4">
        <v>218</v>
      </c>
      <c r="B223" s="2" t="str">
        <f>HYPERLINK("https://my.zakupki.prom.ua/remote/dispatcher/state_purchase_view/4820797", "UA-2017-12-01-001993-c")</f>
        <v>UA-2017-12-01-001993-c</v>
      </c>
      <c r="C223" s="2" t="s">
        <v>983</v>
      </c>
      <c r="D223" s="1" t="s">
        <v>812</v>
      </c>
      <c r="E223" s="1" t="s">
        <v>663</v>
      </c>
      <c r="F223" s="1" t="s">
        <v>381</v>
      </c>
      <c r="G223" s="1" t="s">
        <v>883</v>
      </c>
      <c r="H223" s="1" t="s">
        <v>987</v>
      </c>
      <c r="I223" s="1" t="s">
        <v>905</v>
      </c>
      <c r="J223" s="1" t="s">
        <v>158</v>
      </c>
      <c r="K223" s="1" t="s">
        <v>662</v>
      </c>
      <c r="L223" s="1" t="s">
        <v>1207</v>
      </c>
      <c r="M223" s="1" t="s">
        <v>147</v>
      </c>
      <c r="N223" s="1" t="s">
        <v>147</v>
      </c>
      <c r="O223" s="1" t="s">
        <v>147</v>
      </c>
      <c r="P223" s="5">
        <v>43070</v>
      </c>
      <c r="Q223" s="5">
        <v>43070</v>
      </c>
      <c r="R223" s="5">
        <v>43074</v>
      </c>
      <c r="S223" s="5">
        <v>43074</v>
      </c>
      <c r="T223" s="5">
        <v>43075</v>
      </c>
      <c r="U223" s="7">
        <v>43076.476400462961</v>
      </c>
      <c r="V223" s="4">
        <v>2</v>
      </c>
      <c r="W223" s="6">
        <v>5413.57</v>
      </c>
      <c r="X223" s="1" t="s">
        <v>983</v>
      </c>
      <c r="Y223" s="4">
        <v>2045</v>
      </c>
      <c r="Z223" s="6">
        <v>2.65</v>
      </c>
      <c r="AA223" s="1" t="s">
        <v>1319</v>
      </c>
      <c r="AB223" s="1" t="s">
        <v>540</v>
      </c>
      <c r="AC223" s="1" t="s">
        <v>1202</v>
      </c>
      <c r="AD223" s="1" t="s">
        <v>704</v>
      </c>
      <c r="AE223" s="1" t="s">
        <v>987</v>
      </c>
      <c r="AF223" s="6">
        <v>4440</v>
      </c>
      <c r="AG223" s="6">
        <v>2.1711491442542785</v>
      </c>
      <c r="AH223" s="1" t="s">
        <v>1235</v>
      </c>
      <c r="AI223" s="6">
        <v>973.56999999999971</v>
      </c>
      <c r="AJ223" s="6">
        <v>0.17983881246571112</v>
      </c>
      <c r="AK223" s="1" t="s">
        <v>1190</v>
      </c>
      <c r="AL223" s="1" t="s">
        <v>291</v>
      </c>
      <c r="AM223" s="1" t="s">
        <v>618</v>
      </c>
      <c r="AN223" s="1" t="s">
        <v>58</v>
      </c>
      <c r="AO223" s="6">
        <v>232.56999999999971</v>
      </c>
      <c r="AP223" s="6">
        <v>4.296056022181291E-2</v>
      </c>
      <c r="AQ223" s="2" t="str">
        <f>HYPERLINK("https://auction.openprocurement.org/tenders/4b94d926ae8c4bd9aa167f6708c0f0a9")</f>
        <v>https://auction.openprocurement.org/tenders/4b94d926ae8c4bd9aa167f6708c0f0a9</v>
      </c>
      <c r="AR223" s="7">
        <v>43077.499711012213</v>
      </c>
      <c r="AS223" s="5">
        <v>43081</v>
      </c>
      <c r="AT223" s="5">
        <v>43104</v>
      </c>
      <c r="AU223" s="1" t="s">
        <v>1287</v>
      </c>
      <c r="AV223" s="7">
        <v>43087.567779128876</v>
      </c>
      <c r="AW223" s="1" t="s">
        <v>435</v>
      </c>
      <c r="AX223" s="6">
        <v>5181</v>
      </c>
      <c r="AY223" s="5">
        <v>43077</v>
      </c>
      <c r="AZ223" s="5">
        <v>43098</v>
      </c>
      <c r="BA223" s="7">
        <v>43100</v>
      </c>
      <c r="BB223" s="1" t="s">
        <v>1310</v>
      </c>
      <c r="BC223" s="1"/>
      <c r="BD223" s="1" t="s">
        <v>901</v>
      </c>
    </row>
    <row r="224" spans="1:56" hidden="1" x14ac:dyDescent="0.25">
      <c r="A224" s="4">
        <v>219</v>
      </c>
      <c r="B224" s="2" t="str">
        <f>HYPERLINK("https://my.zakupki.prom.ua/remote/dispatcher/state_purchase_view/4820654", "UA-2017-12-01-001900-c")</f>
        <v>UA-2017-12-01-001900-c</v>
      </c>
      <c r="C224" s="2" t="s">
        <v>983</v>
      </c>
      <c r="D224" s="1" t="s">
        <v>879</v>
      </c>
      <c r="E224" s="1" t="s">
        <v>8</v>
      </c>
      <c r="F224" s="1" t="s">
        <v>279</v>
      </c>
      <c r="G224" s="1" t="s">
        <v>883</v>
      </c>
      <c r="H224" s="1" t="s">
        <v>987</v>
      </c>
      <c r="I224" s="1" t="s">
        <v>905</v>
      </c>
      <c r="J224" s="1" t="s">
        <v>158</v>
      </c>
      <c r="K224" s="1" t="s">
        <v>662</v>
      </c>
      <c r="L224" s="1" t="s">
        <v>1207</v>
      </c>
      <c r="M224" s="1" t="s">
        <v>147</v>
      </c>
      <c r="N224" s="1" t="s">
        <v>147</v>
      </c>
      <c r="O224" s="1" t="s">
        <v>147</v>
      </c>
      <c r="P224" s="5">
        <v>43070</v>
      </c>
      <c r="Q224" s="5">
        <v>43070</v>
      </c>
      <c r="R224" s="5">
        <v>43074</v>
      </c>
      <c r="S224" s="5">
        <v>43074</v>
      </c>
      <c r="T224" s="5">
        <v>43075</v>
      </c>
      <c r="U224" s="7">
        <v>43076.641608796293</v>
      </c>
      <c r="V224" s="4">
        <v>2</v>
      </c>
      <c r="W224" s="6">
        <v>23480</v>
      </c>
      <c r="X224" s="1" t="s">
        <v>983</v>
      </c>
      <c r="Y224" s="4">
        <v>120</v>
      </c>
      <c r="Z224" s="6">
        <v>195.67</v>
      </c>
      <c r="AA224" s="1" t="s">
        <v>1319</v>
      </c>
      <c r="AB224" s="1" t="s">
        <v>540</v>
      </c>
      <c r="AC224" s="1" t="s">
        <v>1202</v>
      </c>
      <c r="AD224" s="1" t="s">
        <v>704</v>
      </c>
      <c r="AE224" s="1" t="s">
        <v>987</v>
      </c>
      <c r="AF224" s="6">
        <v>20710</v>
      </c>
      <c r="AG224" s="6">
        <v>172.58333333333334</v>
      </c>
      <c r="AH224" s="1" t="s">
        <v>1147</v>
      </c>
      <c r="AI224" s="6">
        <v>2770</v>
      </c>
      <c r="AJ224" s="6">
        <v>0.11797274275979557</v>
      </c>
      <c r="AK224" s="1" t="s">
        <v>1141</v>
      </c>
      <c r="AL224" s="1" t="s">
        <v>431</v>
      </c>
      <c r="AM224" s="1" t="s">
        <v>623</v>
      </c>
      <c r="AN224" s="1" t="s">
        <v>125</v>
      </c>
      <c r="AO224" s="6">
        <v>881</v>
      </c>
      <c r="AP224" s="6">
        <v>3.7521294718909713E-2</v>
      </c>
      <c r="AQ224" s="2" t="str">
        <f>HYPERLINK("https://auction.openprocurement.org/tenders/c43300e3bd4f40d9a8ebf763d2c65d05")</f>
        <v>https://auction.openprocurement.org/tenders/c43300e3bd4f40d9a8ebf763d2c65d05</v>
      </c>
      <c r="AR224" s="7">
        <v>43077.49857266638</v>
      </c>
      <c r="AS224" s="5">
        <v>43081</v>
      </c>
      <c r="AT224" s="5">
        <v>43104</v>
      </c>
      <c r="AU224" s="1" t="s">
        <v>1287</v>
      </c>
      <c r="AV224" s="7">
        <v>43103.458163684234</v>
      </c>
      <c r="AW224" s="1" t="s">
        <v>483</v>
      </c>
      <c r="AX224" s="6">
        <v>22599</v>
      </c>
      <c r="AY224" s="5">
        <v>43077</v>
      </c>
      <c r="AZ224" s="5">
        <v>43098</v>
      </c>
      <c r="BA224" s="7">
        <v>43100</v>
      </c>
      <c r="BB224" s="1" t="s">
        <v>1310</v>
      </c>
      <c r="BC224" s="1"/>
      <c r="BD224" s="1" t="s">
        <v>901</v>
      </c>
    </row>
    <row r="225" spans="1:56" hidden="1" x14ac:dyDescent="0.25">
      <c r="A225" s="4">
        <v>220</v>
      </c>
      <c r="B225" s="2" t="str">
        <f>HYPERLINK("https://my.zakupki.prom.ua/remote/dispatcher/state_purchase_view/4820518", "UA-2017-12-01-001821-c")</f>
        <v>UA-2017-12-01-001821-c</v>
      </c>
      <c r="C225" s="2" t="s">
        <v>983</v>
      </c>
      <c r="D225" s="1" t="s">
        <v>763</v>
      </c>
      <c r="E225" s="1" t="s">
        <v>20</v>
      </c>
      <c r="F225" s="1" t="s">
        <v>372</v>
      </c>
      <c r="G225" s="1" t="s">
        <v>883</v>
      </c>
      <c r="H225" s="1" t="s">
        <v>987</v>
      </c>
      <c r="I225" s="1" t="s">
        <v>905</v>
      </c>
      <c r="J225" s="1" t="s">
        <v>158</v>
      </c>
      <c r="K225" s="1" t="s">
        <v>662</v>
      </c>
      <c r="L225" s="1" t="s">
        <v>1207</v>
      </c>
      <c r="M225" s="1" t="s">
        <v>147</v>
      </c>
      <c r="N225" s="1" t="s">
        <v>147</v>
      </c>
      <c r="O225" s="1" t="s">
        <v>147</v>
      </c>
      <c r="P225" s="5">
        <v>43070</v>
      </c>
      <c r="Q225" s="5">
        <v>43070</v>
      </c>
      <c r="R225" s="5">
        <v>43074</v>
      </c>
      <c r="S225" s="5">
        <v>43074</v>
      </c>
      <c r="T225" s="5">
        <v>43075</v>
      </c>
      <c r="U225" s="7">
        <v>43076.518136574072</v>
      </c>
      <c r="V225" s="4">
        <v>2</v>
      </c>
      <c r="W225" s="6">
        <v>4000</v>
      </c>
      <c r="X225" s="1" t="s">
        <v>983</v>
      </c>
      <c r="Y225" s="4">
        <v>200</v>
      </c>
      <c r="Z225" s="6">
        <v>20</v>
      </c>
      <c r="AA225" s="1" t="s">
        <v>1311</v>
      </c>
      <c r="AB225" s="1" t="s">
        <v>540</v>
      </c>
      <c r="AC225" s="1" t="s">
        <v>1202</v>
      </c>
      <c r="AD225" s="1" t="s">
        <v>704</v>
      </c>
      <c r="AE225" s="1" t="s">
        <v>987</v>
      </c>
      <c r="AF225" s="6">
        <v>1464</v>
      </c>
      <c r="AG225" s="6">
        <v>7.32</v>
      </c>
      <c r="AH225" s="1" t="s">
        <v>1196</v>
      </c>
      <c r="AI225" s="6">
        <v>2536</v>
      </c>
      <c r="AJ225" s="6">
        <v>0.63400000000000001</v>
      </c>
      <c r="AK225" s="1" t="s">
        <v>1196</v>
      </c>
      <c r="AL225" s="1" t="s">
        <v>201</v>
      </c>
      <c r="AM225" s="1" t="s">
        <v>532</v>
      </c>
      <c r="AN225" s="1" t="s">
        <v>145</v>
      </c>
      <c r="AO225" s="6">
        <v>2536</v>
      </c>
      <c r="AP225" s="6">
        <v>0.63400000000000001</v>
      </c>
      <c r="AQ225" s="2" t="str">
        <f>HYPERLINK("https://auction.openprocurement.org/tenders/930df0465f9e4e06bbb7c918bf09b926")</f>
        <v>https://auction.openprocurement.org/tenders/930df0465f9e4e06bbb7c918bf09b926</v>
      </c>
      <c r="AR225" s="7">
        <v>43077.502236039662</v>
      </c>
      <c r="AS225" s="5">
        <v>43081</v>
      </c>
      <c r="AT225" s="5">
        <v>43104</v>
      </c>
      <c r="AU225" s="1" t="s">
        <v>1287</v>
      </c>
      <c r="AV225" s="7">
        <v>43088.47159846803</v>
      </c>
      <c r="AW225" s="1" t="s">
        <v>459</v>
      </c>
      <c r="AX225" s="6">
        <v>1464</v>
      </c>
      <c r="AY225" s="5">
        <v>43077</v>
      </c>
      <c r="AZ225" s="5">
        <v>43098</v>
      </c>
      <c r="BA225" s="7">
        <v>43100</v>
      </c>
      <c r="BB225" s="1" t="s">
        <v>1310</v>
      </c>
      <c r="BC225" s="1"/>
      <c r="BD225" s="1" t="s">
        <v>901</v>
      </c>
    </row>
    <row r="226" spans="1:56" hidden="1" x14ac:dyDescent="0.25">
      <c r="A226" s="4">
        <v>221</v>
      </c>
      <c r="B226" s="2" t="str">
        <f>HYPERLINK("https://my.zakupki.prom.ua/remote/dispatcher/state_purchase_view/4820380", "UA-2017-12-01-001776-c")</f>
        <v>UA-2017-12-01-001776-c</v>
      </c>
      <c r="C226" s="2" t="s">
        <v>983</v>
      </c>
      <c r="D226" s="1" t="s">
        <v>767</v>
      </c>
      <c r="E226" s="1" t="s">
        <v>1272</v>
      </c>
      <c r="F226" s="1" t="s">
        <v>375</v>
      </c>
      <c r="G226" s="1" t="s">
        <v>883</v>
      </c>
      <c r="H226" s="1" t="s">
        <v>987</v>
      </c>
      <c r="I226" s="1" t="s">
        <v>905</v>
      </c>
      <c r="J226" s="1" t="s">
        <v>158</v>
      </c>
      <c r="K226" s="1" t="s">
        <v>662</v>
      </c>
      <c r="L226" s="1" t="s">
        <v>1207</v>
      </c>
      <c r="M226" s="1" t="s">
        <v>147</v>
      </c>
      <c r="N226" s="1" t="s">
        <v>147</v>
      </c>
      <c r="O226" s="1" t="s">
        <v>147</v>
      </c>
      <c r="P226" s="5">
        <v>43070</v>
      </c>
      <c r="Q226" s="5">
        <v>43070</v>
      </c>
      <c r="R226" s="5">
        <v>43074</v>
      </c>
      <c r="S226" s="5">
        <v>43074</v>
      </c>
      <c r="T226" s="5">
        <v>43075</v>
      </c>
      <c r="U226" s="7">
        <v>43076.553148148145</v>
      </c>
      <c r="V226" s="4">
        <v>2</v>
      </c>
      <c r="W226" s="6">
        <v>8234.3700000000008</v>
      </c>
      <c r="X226" s="1" t="s">
        <v>983</v>
      </c>
      <c r="Y226" s="4">
        <v>480</v>
      </c>
      <c r="Z226" s="6">
        <v>17.149999999999999</v>
      </c>
      <c r="AA226" s="1" t="s">
        <v>1319</v>
      </c>
      <c r="AB226" s="1" t="s">
        <v>540</v>
      </c>
      <c r="AC226" s="1" t="s">
        <v>1202</v>
      </c>
      <c r="AD226" s="1" t="s">
        <v>704</v>
      </c>
      <c r="AE226" s="1" t="s">
        <v>987</v>
      </c>
      <c r="AF226" s="6">
        <v>6707.79</v>
      </c>
      <c r="AG226" s="6">
        <v>13.974562499999999</v>
      </c>
      <c r="AH226" s="1" t="s">
        <v>1145</v>
      </c>
      <c r="AI226" s="6">
        <v>1526.5800000000008</v>
      </c>
      <c r="AJ226" s="6">
        <v>0.18539123211611824</v>
      </c>
      <c r="AK226" s="1" t="s">
        <v>1145</v>
      </c>
      <c r="AL226" s="1" t="s">
        <v>440</v>
      </c>
      <c r="AM226" s="1" t="s">
        <v>636</v>
      </c>
      <c r="AN226" s="1" t="s">
        <v>72</v>
      </c>
      <c r="AO226" s="6">
        <v>1526.5800000000008</v>
      </c>
      <c r="AP226" s="6">
        <v>0.18539123211611824</v>
      </c>
      <c r="AQ226" s="2" t="str">
        <f>HYPERLINK("https://auction.openprocurement.org/tenders/2aadec66771b4d4f8a7c2de4cbc1ee4f")</f>
        <v>https://auction.openprocurement.org/tenders/2aadec66771b4d4f8a7c2de4cbc1ee4f</v>
      </c>
      <c r="AR226" s="7">
        <v>43077.503059440118</v>
      </c>
      <c r="AS226" s="5">
        <v>43081</v>
      </c>
      <c r="AT226" s="5">
        <v>43104</v>
      </c>
      <c r="AU226" s="1" t="s">
        <v>1287</v>
      </c>
      <c r="AV226" s="7">
        <v>43089.480769948452</v>
      </c>
      <c r="AW226" s="1" t="s">
        <v>465</v>
      </c>
      <c r="AX226" s="6">
        <v>6707.79</v>
      </c>
      <c r="AY226" s="5">
        <v>43077</v>
      </c>
      <c r="AZ226" s="5">
        <v>43098</v>
      </c>
      <c r="BA226" s="7">
        <v>43100</v>
      </c>
      <c r="BB226" s="1" t="s">
        <v>1310</v>
      </c>
      <c r="BC226" s="1"/>
      <c r="BD226" s="1" t="s">
        <v>901</v>
      </c>
    </row>
    <row r="227" spans="1:56" hidden="1" x14ac:dyDescent="0.25">
      <c r="A227" s="4">
        <v>222</v>
      </c>
      <c r="B227" s="2" t="str">
        <f>HYPERLINK("https://my.zakupki.prom.ua/remote/dispatcher/state_purchase_view/4819952", "UA-2017-12-01-001691-c")</f>
        <v>UA-2017-12-01-001691-c</v>
      </c>
      <c r="C227" s="2" t="s">
        <v>983</v>
      </c>
      <c r="D227" s="1" t="s">
        <v>750</v>
      </c>
      <c r="E227" s="1" t="s">
        <v>685</v>
      </c>
      <c r="F227" s="1" t="s">
        <v>355</v>
      </c>
      <c r="G227" s="1" t="s">
        <v>883</v>
      </c>
      <c r="H227" s="1" t="s">
        <v>987</v>
      </c>
      <c r="I227" s="1" t="s">
        <v>905</v>
      </c>
      <c r="J227" s="1" t="s">
        <v>158</v>
      </c>
      <c r="K227" s="1" t="s">
        <v>662</v>
      </c>
      <c r="L227" s="1" t="s">
        <v>1207</v>
      </c>
      <c r="M227" s="1" t="s">
        <v>147</v>
      </c>
      <c r="N227" s="1" t="s">
        <v>147</v>
      </c>
      <c r="O227" s="1" t="s">
        <v>147</v>
      </c>
      <c r="P227" s="5">
        <v>43070</v>
      </c>
      <c r="Q227" s="5">
        <v>43070</v>
      </c>
      <c r="R227" s="5">
        <v>43074</v>
      </c>
      <c r="S227" s="5">
        <v>43074</v>
      </c>
      <c r="T227" s="5">
        <v>43075</v>
      </c>
      <c r="U227" s="7">
        <v>43076.49659722222</v>
      </c>
      <c r="V227" s="4">
        <v>4</v>
      </c>
      <c r="W227" s="6">
        <v>19298</v>
      </c>
      <c r="X227" s="1" t="s">
        <v>983</v>
      </c>
      <c r="Y227" s="4">
        <v>6330</v>
      </c>
      <c r="Z227" s="6">
        <v>3.05</v>
      </c>
      <c r="AA227" s="1" t="s">
        <v>1319</v>
      </c>
      <c r="AB227" s="1" t="s">
        <v>540</v>
      </c>
      <c r="AC227" s="1" t="s">
        <v>1202</v>
      </c>
      <c r="AD227" s="1" t="s">
        <v>704</v>
      </c>
      <c r="AE227" s="1" t="s">
        <v>987</v>
      </c>
      <c r="AF227" s="6">
        <v>11629.11</v>
      </c>
      <c r="AG227" s="6">
        <v>1.8371421800947869</v>
      </c>
      <c r="AH227" s="1" t="s">
        <v>1146</v>
      </c>
      <c r="AI227" s="6">
        <v>7668.8899999999994</v>
      </c>
      <c r="AJ227" s="6">
        <v>0.39739299409265205</v>
      </c>
      <c r="AK227" s="1" t="s">
        <v>1146</v>
      </c>
      <c r="AL227" s="1" t="s">
        <v>438</v>
      </c>
      <c r="AM227" s="1" t="s">
        <v>558</v>
      </c>
      <c r="AN227" s="1" t="s">
        <v>88</v>
      </c>
      <c r="AO227" s="6">
        <v>7668.8899999999994</v>
      </c>
      <c r="AP227" s="6">
        <v>0.39739299409265205</v>
      </c>
      <c r="AQ227" s="2" t="str">
        <f>HYPERLINK("https://auction.openprocurement.org/tenders/47842d0e22d94c05bf3e9f613653fb04")</f>
        <v>https://auction.openprocurement.org/tenders/47842d0e22d94c05bf3e9f613653fb04</v>
      </c>
      <c r="AR227" s="7">
        <v>43077.501218442485</v>
      </c>
      <c r="AS227" s="5">
        <v>43081</v>
      </c>
      <c r="AT227" s="5">
        <v>43104</v>
      </c>
      <c r="AU227" s="1" t="s">
        <v>1287</v>
      </c>
      <c r="AV227" s="7">
        <v>43087.562047245578</v>
      </c>
      <c r="AW227" s="1" t="s">
        <v>449</v>
      </c>
      <c r="AX227" s="6">
        <v>11629.11</v>
      </c>
      <c r="AY227" s="5">
        <v>43077</v>
      </c>
      <c r="AZ227" s="5">
        <v>43098</v>
      </c>
      <c r="BA227" s="7">
        <v>43100</v>
      </c>
      <c r="BB227" s="1" t="s">
        <v>1310</v>
      </c>
      <c r="BC227" s="1"/>
      <c r="BD227" s="1" t="s">
        <v>901</v>
      </c>
    </row>
    <row r="228" spans="1:56" hidden="1" x14ac:dyDescent="0.25">
      <c r="A228" s="4">
        <v>223</v>
      </c>
      <c r="B228" s="2" t="str">
        <f>HYPERLINK("https://my.zakupki.prom.ua/remote/dispatcher/state_purchase_view/4819861", "UA-2017-12-01-001604-c")</f>
        <v>UA-2017-12-01-001604-c</v>
      </c>
      <c r="C228" s="2" t="s">
        <v>983</v>
      </c>
      <c r="D228" s="1" t="s">
        <v>758</v>
      </c>
      <c r="E228" s="1" t="s">
        <v>1043</v>
      </c>
      <c r="F228" s="1" t="s">
        <v>283</v>
      </c>
      <c r="G228" s="1" t="s">
        <v>883</v>
      </c>
      <c r="H228" s="1" t="s">
        <v>987</v>
      </c>
      <c r="I228" s="1" t="s">
        <v>905</v>
      </c>
      <c r="J228" s="1" t="s">
        <v>158</v>
      </c>
      <c r="K228" s="1" t="s">
        <v>662</v>
      </c>
      <c r="L228" s="1" t="s">
        <v>1207</v>
      </c>
      <c r="M228" s="1" t="s">
        <v>147</v>
      </c>
      <c r="N228" s="1" t="s">
        <v>147</v>
      </c>
      <c r="O228" s="1" t="s">
        <v>147</v>
      </c>
      <c r="P228" s="5">
        <v>43070</v>
      </c>
      <c r="Q228" s="5">
        <v>43070</v>
      </c>
      <c r="R228" s="5">
        <v>43074</v>
      </c>
      <c r="S228" s="5">
        <v>43074</v>
      </c>
      <c r="T228" s="5">
        <v>43075</v>
      </c>
      <c r="U228" s="7">
        <v>43076.620497685188</v>
      </c>
      <c r="V228" s="4">
        <v>3</v>
      </c>
      <c r="W228" s="6">
        <v>14378.3</v>
      </c>
      <c r="X228" s="1" t="s">
        <v>983</v>
      </c>
      <c r="Y228" s="4">
        <v>30</v>
      </c>
      <c r="Z228" s="6">
        <v>479.28</v>
      </c>
      <c r="AA228" s="1" t="s">
        <v>1319</v>
      </c>
      <c r="AB228" s="1" t="s">
        <v>540</v>
      </c>
      <c r="AC228" s="1" t="s">
        <v>1202</v>
      </c>
      <c r="AD228" s="1" t="s">
        <v>704</v>
      </c>
      <c r="AE228" s="1" t="s">
        <v>987</v>
      </c>
      <c r="AF228" s="6">
        <v>13456.32</v>
      </c>
      <c r="AG228" s="6">
        <v>448.54399999999998</v>
      </c>
      <c r="AH228" s="1" t="s">
        <v>1141</v>
      </c>
      <c r="AI228" s="6">
        <v>921.97999999999956</v>
      </c>
      <c r="AJ228" s="6">
        <v>6.41230187157035E-2</v>
      </c>
      <c r="AK228" s="1" t="s">
        <v>1141</v>
      </c>
      <c r="AL228" s="1" t="s">
        <v>431</v>
      </c>
      <c r="AM228" s="1" t="s">
        <v>623</v>
      </c>
      <c r="AN228" s="1" t="s">
        <v>125</v>
      </c>
      <c r="AO228" s="6">
        <v>921.97999999999956</v>
      </c>
      <c r="AP228" s="6">
        <v>6.41230187157035E-2</v>
      </c>
      <c r="AQ228" s="2" t="str">
        <f>HYPERLINK("https://auction.openprocurement.org/tenders/7bd84e498553487899e994ce8021e6ba")</f>
        <v>https://auction.openprocurement.org/tenders/7bd84e498553487899e994ce8021e6ba</v>
      </c>
      <c r="AR228" s="7">
        <v>43077.497128220471</v>
      </c>
      <c r="AS228" s="5">
        <v>43081</v>
      </c>
      <c r="AT228" s="5">
        <v>43104</v>
      </c>
      <c r="AU228" s="1" t="s">
        <v>1287</v>
      </c>
      <c r="AV228" s="7">
        <v>43103.463596190217</v>
      </c>
      <c r="AW228" s="1" t="s">
        <v>482</v>
      </c>
      <c r="AX228" s="6">
        <v>13456.32</v>
      </c>
      <c r="AY228" s="5">
        <v>43077</v>
      </c>
      <c r="AZ228" s="5">
        <v>43098</v>
      </c>
      <c r="BA228" s="7">
        <v>43100</v>
      </c>
      <c r="BB228" s="1" t="s">
        <v>1310</v>
      </c>
      <c r="BC228" s="1"/>
      <c r="BD228" s="1" t="s">
        <v>901</v>
      </c>
    </row>
    <row r="229" spans="1:56" hidden="1" x14ac:dyDescent="0.25">
      <c r="A229" s="4">
        <v>224</v>
      </c>
      <c r="B229" s="2" t="str">
        <f>HYPERLINK("https://my.zakupki.prom.ua/remote/dispatcher/state_purchase_view/4819744", "UA-2017-12-01-001580-c")</f>
        <v>UA-2017-12-01-001580-c</v>
      </c>
      <c r="C229" s="2" t="s">
        <v>983</v>
      </c>
      <c r="D229" s="1" t="s">
        <v>737</v>
      </c>
      <c r="E229" s="1" t="s">
        <v>654</v>
      </c>
      <c r="F229" s="1" t="s">
        <v>372</v>
      </c>
      <c r="G229" s="1" t="s">
        <v>883</v>
      </c>
      <c r="H229" s="1" t="s">
        <v>987</v>
      </c>
      <c r="I229" s="1" t="s">
        <v>905</v>
      </c>
      <c r="J229" s="1" t="s">
        <v>158</v>
      </c>
      <c r="K229" s="1" t="s">
        <v>662</v>
      </c>
      <c r="L229" s="1" t="s">
        <v>1207</v>
      </c>
      <c r="M229" s="1" t="s">
        <v>147</v>
      </c>
      <c r="N229" s="1" t="s">
        <v>147</v>
      </c>
      <c r="O229" s="1" t="s">
        <v>147</v>
      </c>
      <c r="P229" s="5">
        <v>43070</v>
      </c>
      <c r="Q229" s="5">
        <v>43070</v>
      </c>
      <c r="R229" s="5">
        <v>43074</v>
      </c>
      <c r="S229" s="5">
        <v>43074</v>
      </c>
      <c r="T229" s="5">
        <v>43075</v>
      </c>
      <c r="U229" s="1" t="s">
        <v>1285</v>
      </c>
      <c r="V229" s="4">
        <v>1</v>
      </c>
      <c r="W229" s="6">
        <v>13480.82</v>
      </c>
      <c r="X229" s="1" t="s">
        <v>983</v>
      </c>
      <c r="Y229" s="4">
        <v>58</v>
      </c>
      <c r="Z229" s="6">
        <v>232.43</v>
      </c>
      <c r="AA229" s="1" t="s">
        <v>1315</v>
      </c>
      <c r="AB229" s="1" t="s">
        <v>540</v>
      </c>
      <c r="AC229" s="1" t="s">
        <v>1202</v>
      </c>
      <c r="AD229" s="1" t="s">
        <v>704</v>
      </c>
      <c r="AE229" s="1" t="s">
        <v>987</v>
      </c>
      <c r="AF229" s="6">
        <v>10951.2</v>
      </c>
      <c r="AG229" s="6">
        <v>188.81379310344829</v>
      </c>
      <c r="AH229" s="1" t="s">
        <v>1231</v>
      </c>
      <c r="AI229" s="6">
        <v>2529.619999999999</v>
      </c>
      <c r="AJ229" s="6">
        <v>0.18764585537081566</v>
      </c>
      <c r="AK229" s="1" t="s">
        <v>1231</v>
      </c>
      <c r="AL229" s="1" t="s">
        <v>339</v>
      </c>
      <c r="AM229" s="1" t="s">
        <v>565</v>
      </c>
      <c r="AN229" s="1" t="s">
        <v>100</v>
      </c>
      <c r="AO229" s="6">
        <v>2529.619999999999</v>
      </c>
      <c r="AP229" s="6">
        <v>0.18764585537081566</v>
      </c>
      <c r="AQ229" s="2"/>
      <c r="AR229" s="7">
        <v>43077.480949370081</v>
      </c>
      <c r="AS229" s="5">
        <v>43081</v>
      </c>
      <c r="AT229" s="5">
        <v>43104</v>
      </c>
      <c r="AU229" s="1" t="s">
        <v>1287</v>
      </c>
      <c r="AV229" s="7">
        <v>43103.465320688243</v>
      </c>
      <c r="AW229" s="1" t="s">
        <v>468</v>
      </c>
      <c r="AX229" s="6">
        <v>10951.2</v>
      </c>
      <c r="AY229" s="5">
        <v>43077</v>
      </c>
      <c r="AZ229" s="5">
        <v>43098</v>
      </c>
      <c r="BA229" s="7">
        <v>43100</v>
      </c>
      <c r="BB229" s="1" t="s">
        <v>1310</v>
      </c>
      <c r="BC229" s="1"/>
      <c r="BD229" s="1" t="s">
        <v>901</v>
      </c>
    </row>
    <row r="230" spans="1:56" hidden="1" x14ac:dyDescent="0.25">
      <c r="A230" s="4">
        <v>225</v>
      </c>
      <c r="B230" s="2" t="str">
        <f>HYPERLINK("https://my.zakupki.prom.ua/remote/dispatcher/state_purchase_view/4566094", "UA-2017-11-10-000452-b")</f>
        <v>UA-2017-11-10-000452-b</v>
      </c>
      <c r="C230" s="2" t="s">
        <v>983</v>
      </c>
      <c r="D230" s="1" t="s">
        <v>754</v>
      </c>
      <c r="E230" s="1" t="s">
        <v>693</v>
      </c>
      <c r="F230" s="1" t="s">
        <v>355</v>
      </c>
      <c r="G230" s="1" t="s">
        <v>883</v>
      </c>
      <c r="H230" s="1" t="s">
        <v>987</v>
      </c>
      <c r="I230" s="1" t="s">
        <v>905</v>
      </c>
      <c r="J230" s="1" t="s">
        <v>158</v>
      </c>
      <c r="K230" s="1" t="s">
        <v>662</v>
      </c>
      <c r="L230" s="1" t="s">
        <v>1207</v>
      </c>
      <c r="M230" s="1" t="s">
        <v>147</v>
      </c>
      <c r="N230" s="1" t="s">
        <v>147</v>
      </c>
      <c r="O230" s="1" t="s">
        <v>147</v>
      </c>
      <c r="P230" s="5">
        <v>43049</v>
      </c>
      <c r="Q230" s="5">
        <v>43049</v>
      </c>
      <c r="R230" s="5">
        <v>43052</v>
      </c>
      <c r="S230" s="5">
        <v>43052</v>
      </c>
      <c r="T230" s="5">
        <v>43054</v>
      </c>
      <c r="U230" s="7">
        <v>43055.462604166663</v>
      </c>
      <c r="V230" s="4">
        <v>2</v>
      </c>
      <c r="W230" s="6">
        <v>5255.11</v>
      </c>
      <c r="X230" s="1" t="s">
        <v>983</v>
      </c>
      <c r="Y230" s="4">
        <v>3240</v>
      </c>
      <c r="Z230" s="6">
        <v>1.62</v>
      </c>
      <c r="AA230" s="1" t="s">
        <v>1319</v>
      </c>
      <c r="AB230" s="1" t="s">
        <v>540</v>
      </c>
      <c r="AC230" s="1" t="s">
        <v>1202</v>
      </c>
      <c r="AD230" s="1" t="s">
        <v>704</v>
      </c>
      <c r="AE230" s="1" t="s">
        <v>987</v>
      </c>
      <c r="AF230" s="6">
        <v>5139.49</v>
      </c>
      <c r="AG230" s="6">
        <v>1.5862623456790124</v>
      </c>
      <c r="AH230" s="1" t="s">
        <v>1146</v>
      </c>
      <c r="AI230" s="6">
        <v>115.61999999999989</v>
      </c>
      <c r="AJ230" s="6">
        <v>2.2001442405582355E-2</v>
      </c>
      <c r="AK230" s="1" t="s">
        <v>1146</v>
      </c>
      <c r="AL230" s="1" t="s">
        <v>438</v>
      </c>
      <c r="AM230" s="1" t="s">
        <v>558</v>
      </c>
      <c r="AN230" s="1" t="s">
        <v>88</v>
      </c>
      <c r="AO230" s="6">
        <v>115.61999999999989</v>
      </c>
      <c r="AP230" s="6">
        <v>2.2001442405582355E-2</v>
      </c>
      <c r="AQ230" s="2" t="str">
        <f>HYPERLINK("https://auction.openprocurement.org/tenders/57a99d37cc09456b93a400afa6ce4193")</f>
        <v>https://auction.openprocurement.org/tenders/57a99d37cc09456b93a400afa6ce4193</v>
      </c>
      <c r="AR230" s="7">
        <v>43056.54036221587</v>
      </c>
      <c r="AS230" s="5">
        <v>43060</v>
      </c>
      <c r="AT230" s="5">
        <v>43082</v>
      </c>
      <c r="AU230" s="1" t="s">
        <v>1287</v>
      </c>
      <c r="AV230" s="7">
        <v>43066.581375850234</v>
      </c>
      <c r="AW230" s="1" t="s">
        <v>408</v>
      </c>
      <c r="AX230" s="6">
        <v>5139.49</v>
      </c>
      <c r="AY230" s="5">
        <v>43059</v>
      </c>
      <c r="AZ230" s="5">
        <v>43084</v>
      </c>
      <c r="BA230" s="7">
        <v>43100</v>
      </c>
      <c r="BB230" s="1" t="s">
        <v>1310</v>
      </c>
      <c r="BC230" s="1"/>
      <c r="BD230" s="1" t="s">
        <v>901</v>
      </c>
    </row>
    <row r="231" spans="1:56" hidden="1" x14ac:dyDescent="0.25">
      <c r="A231" s="4">
        <v>226</v>
      </c>
      <c r="B231" s="2" t="str">
        <f>HYPERLINK("https://my.zakupki.prom.ua/remote/dispatcher/state_purchase_view/4447719", "UA-2017-10-30-001745-a")</f>
        <v>UA-2017-10-30-001745-a</v>
      </c>
      <c r="C231" s="2" t="s">
        <v>983</v>
      </c>
      <c r="D231" s="1" t="s">
        <v>956</v>
      </c>
      <c r="E231" s="1" t="s">
        <v>1089</v>
      </c>
      <c r="F231" s="1" t="s">
        <v>355</v>
      </c>
      <c r="G231" s="1" t="s">
        <v>883</v>
      </c>
      <c r="H231" s="1" t="s">
        <v>987</v>
      </c>
      <c r="I231" s="1" t="s">
        <v>905</v>
      </c>
      <c r="J231" s="1" t="s">
        <v>158</v>
      </c>
      <c r="K231" s="1" t="s">
        <v>662</v>
      </c>
      <c r="L231" s="1" t="s">
        <v>1207</v>
      </c>
      <c r="M231" s="1" t="s">
        <v>147</v>
      </c>
      <c r="N231" s="1" t="s">
        <v>147</v>
      </c>
      <c r="O231" s="1" t="s">
        <v>147</v>
      </c>
      <c r="P231" s="5">
        <v>43038</v>
      </c>
      <c r="Q231" s="5">
        <v>43038</v>
      </c>
      <c r="R231" s="5">
        <v>43041</v>
      </c>
      <c r="S231" s="5">
        <v>43041</v>
      </c>
      <c r="T231" s="5">
        <v>43045</v>
      </c>
      <c r="U231" s="7">
        <v>43046.63890046296</v>
      </c>
      <c r="V231" s="4">
        <v>3</v>
      </c>
      <c r="W231" s="6">
        <v>10700</v>
      </c>
      <c r="X231" s="1" t="s">
        <v>983</v>
      </c>
      <c r="Y231" s="4">
        <v>4500</v>
      </c>
      <c r="Z231" s="6">
        <v>2.38</v>
      </c>
      <c r="AA231" s="1" t="s">
        <v>1305</v>
      </c>
      <c r="AB231" s="1" t="s">
        <v>540</v>
      </c>
      <c r="AC231" s="1" t="s">
        <v>1202</v>
      </c>
      <c r="AD231" s="1" t="s">
        <v>704</v>
      </c>
      <c r="AE231" s="1" t="s">
        <v>987</v>
      </c>
      <c r="AF231" s="6">
        <v>5445</v>
      </c>
      <c r="AG231" s="6">
        <v>1.21</v>
      </c>
      <c r="AH231" s="1" t="s">
        <v>1146</v>
      </c>
      <c r="AI231" s="6">
        <v>5255</v>
      </c>
      <c r="AJ231" s="6">
        <v>0.49112149532710281</v>
      </c>
      <c r="AK231" s="1" t="s">
        <v>1146</v>
      </c>
      <c r="AL231" s="1" t="s">
        <v>438</v>
      </c>
      <c r="AM231" s="1" t="s">
        <v>558</v>
      </c>
      <c r="AN231" s="1" t="s">
        <v>88</v>
      </c>
      <c r="AO231" s="6">
        <v>5255</v>
      </c>
      <c r="AP231" s="6">
        <v>0.49112149532710281</v>
      </c>
      <c r="AQ231" s="2" t="str">
        <f>HYPERLINK("https://auction.openprocurement.org/tenders/bdec30724db049d295955757b947853c")</f>
        <v>https://auction.openprocurement.org/tenders/bdec30724db049d295955757b947853c</v>
      </c>
      <c r="AR231" s="7">
        <v>43047.44593129772</v>
      </c>
      <c r="AS231" s="5">
        <v>43049</v>
      </c>
      <c r="AT231" s="5">
        <v>43071</v>
      </c>
      <c r="AU231" s="1" t="s">
        <v>1287</v>
      </c>
      <c r="AV231" s="7">
        <v>43053.614756823321</v>
      </c>
      <c r="AW231" s="1" t="s">
        <v>395</v>
      </c>
      <c r="AX231" s="6">
        <v>5445</v>
      </c>
      <c r="AY231" s="5">
        <v>43046</v>
      </c>
      <c r="AZ231" s="5">
        <v>43069</v>
      </c>
      <c r="BA231" s="7">
        <v>43100</v>
      </c>
      <c r="BB231" s="1" t="s">
        <v>1310</v>
      </c>
      <c r="BC231" s="1"/>
      <c r="BD231" s="1" t="s">
        <v>901</v>
      </c>
    </row>
    <row r="232" spans="1:56" hidden="1" x14ac:dyDescent="0.25">
      <c r="A232" s="4">
        <v>227</v>
      </c>
      <c r="B232" s="2" t="str">
        <f>HYPERLINK("https://my.zakupki.prom.ua/remote/dispatcher/state_purchase_view/4154693", "UA-2017-09-27-001024-a")</f>
        <v>UA-2017-09-27-001024-a</v>
      </c>
      <c r="C232" s="2" t="s">
        <v>983</v>
      </c>
      <c r="D232" s="1" t="s">
        <v>824</v>
      </c>
      <c r="E232" s="1" t="s">
        <v>1271</v>
      </c>
      <c r="F232" s="1" t="s">
        <v>381</v>
      </c>
      <c r="G232" s="1" t="s">
        <v>883</v>
      </c>
      <c r="H232" s="1" t="s">
        <v>987</v>
      </c>
      <c r="I232" s="1" t="s">
        <v>905</v>
      </c>
      <c r="J232" s="1" t="s">
        <v>158</v>
      </c>
      <c r="K232" s="1" t="s">
        <v>662</v>
      </c>
      <c r="L232" s="1" t="s">
        <v>1207</v>
      </c>
      <c r="M232" s="1" t="s">
        <v>174</v>
      </c>
      <c r="N232" s="1" t="s">
        <v>147</v>
      </c>
      <c r="O232" s="1" t="s">
        <v>147</v>
      </c>
      <c r="P232" s="5">
        <v>43005</v>
      </c>
      <c r="Q232" s="5">
        <v>43005</v>
      </c>
      <c r="R232" s="5">
        <v>43007</v>
      </c>
      <c r="S232" s="5">
        <v>43007</v>
      </c>
      <c r="T232" s="5">
        <v>43011</v>
      </c>
      <c r="U232" s="1" t="s">
        <v>1285</v>
      </c>
      <c r="V232" s="4">
        <v>1</v>
      </c>
      <c r="W232" s="6">
        <v>4000</v>
      </c>
      <c r="X232" s="1" t="s">
        <v>983</v>
      </c>
      <c r="Y232" s="4">
        <v>3034</v>
      </c>
      <c r="Z232" s="6">
        <v>1.32</v>
      </c>
      <c r="AA232" s="1" t="s">
        <v>1319</v>
      </c>
      <c r="AB232" s="1" t="s">
        <v>540</v>
      </c>
      <c r="AC232" s="1" t="s">
        <v>1202</v>
      </c>
      <c r="AD232" s="1" t="s">
        <v>704</v>
      </c>
      <c r="AE232" s="1" t="s">
        <v>987</v>
      </c>
      <c r="AF232" s="6">
        <v>3989.07</v>
      </c>
      <c r="AG232" s="6">
        <v>1.3147890573500329</v>
      </c>
      <c r="AH232" s="1" t="s">
        <v>1186</v>
      </c>
      <c r="AI232" s="6">
        <v>10.929999999999836</v>
      </c>
      <c r="AJ232" s="6">
        <v>2.7324999999999589E-3</v>
      </c>
      <c r="AK232" s="1" t="s">
        <v>1186</v>
      </c>
      <c r="AL232" s="1" t="s">
        <v>281</v>
      </c>
      <c r="AM232" s="1" t="s">
        <v>561</v>
      </c>
      <c r="AN232" s="1" t="s">
        <v>73</v>
      </c>
      <c r="AO232" s="6">
        <v>10.929999999999836</v>
      </c>
      <c r="AP232" s="6">
        <v>2.7324999999999589E-3</v>
      </c>
      <c r="AQ232" s="2"/>
      <c r="AR232" s="7">
        <v>43013.41348196075</v>
      </c>
      <c r="AS232" s="5">
        <v>43017</v>
      </c>
      <c r="AT232" s="5">
        <v>43037</v>
      </c>
      <c r="AU232" s="1" t="s">
        <v>1287</v>
      </c>
      <c r="AV232" s="7">
        <v>43017.43522973088</v>
      </c>
      <c r="AW232" s="1" t="s">
        <v>344</v>
      </c>
      <c r="AX232" s="6">
        <v>3989.07</v>
      </c>
      <c r="AY232" s="5">
        <v>43012</v>
      </c>
      <c r="AZ232" s="5">
        <v>43039</v>
      </c>
      <c r="BA232" s="7">
        <v>43100</v>
      </c>
      <c r="BB232" s="1" t="s">
        <v>1310</v>
      </c>
      <c r="BC232" s="1"/>
      <c r="BD232" s="1" t="s">
        <v>901</v>
      </c>
    </row>
    <row r="233" spans="1:56" hidden="1" x14ac:dyDescent="0.25">
      <c r="A233" s="4">
        <v>228</v>
      </c>
      <c r="B233" s="2" t="str">
        <f>HYPERLINK("https://my.zakupki.prom.ua/remote/dispatcher/state_purchase_view/4154450", "UA-2017-09-27-000946-a")</f>
        <v>UA-2017-09-27-000946-a</v>
      </c>
      <c r="C233" s="2" t="s">
        <v>983</v>
      </c>
      <c r="D233" s="1" t="s">
        <v>753</v>
      </c>
      <c r="E233" s="1" t="s">
        <v>692</v>
      </c>
      <c r="F233" s="1" t="s">
        <v>355</v>
      </c>
      <c r="G233" s="1" t="s">
        <v>883</v>
      </c>
      <c r="H233" s="1" t="s">
        <v>987</v>
      </c>
      <c r="I233" s="1" t="s">
        <v>905</v>
      </c>
      <c r="J233" s="1" t="s">
        <v>158</v>
      </c>
      <c r="K233" s="1" t="s">
        <v>662</v>
      </c>
      <c r="L233" s="1" t="s">
        <v>1207</v>
      </c>
      <c r="M233" s="1" t="s">
        <v>147</v>
      </c>
      <c r="N233" s="1" t="s">
        <v>147</v>
      </c>
      <c r="O233" s="1" t="s">
        <v>147</v>
      </c>
      <c r="P233" s="5">
        <v>43005</v>
      </c>
      <c r="Q233" s="5">
        <v>43005</v>
      </c>
      <c r="R233" s="5">
        <v>43007</v>
      </c>
      <c r="S233" s="5">
        <v>43007</v>
      </c>
      <c r="T233" s="5">
        <v>43011</v>
      </c>
      <c r="U233" s="7">
        <v>43012.65898148148</v>
      </c>
      <c r="V233" s="4">
        <v>4</v>
      </c>
      <c r="W233" s="6">
        <v>3100</v>
      </c>
      <c r="X233" s="1" t="s">
        <v>983</v>
      </c>
      <c r="Y233" s="4">
        <v>470</v>
      </c>
      <c r="Z233" s="6">
        <v>6.6</v>
      </c>
      <c r="AA233" s="1" t="s">
        <v>1319</v>
      </c>
      <c r="AB233" s="1" t="s">
        <v>540</v>
      </c>
      <c r="AC233" s="1" t="s">
        <v>1202</v>
      </c>
      <c r="AD233" s="1" t="s">
        <v>704</v>
      </c>
      <c r="AE233" s="1" t="s">
        <v>987</v>
      </c>
      <c r="AF233" s="6">
        <v>1906</v>
      </c>
      <c r="AG233" s="6">
        <v>4.05531914893617</v>
      </c>
      <c r="AH233" s="1" t="s">
        <v>1146</v>
      </c>
      <c r="AI233" s="6">
        <v>1194</v>
      </c>
      <c r="AJ233" s="6">
        <v>0.38516129032258062</v>
      </c>
      <c r="AK233" s="1" t="s">
        <v>1146</v>
      </c>
      <c r="AL233" s="1" t="s">
        <v>438</v>
      </c>
      <c r="AM233" s="1" t="s">
        <v>558</v>
      </c>
      <c r="AN233" s="1" t="s">
        <v>88</v>
      </c>
      <c r="AO233" s="6">
        <v>1194</v>
      </c>
      <c r="AP233" s="6">
        <v>0.38516129032258062</v>
      </c>
      <c r="AQ233" s="2" t="str">
        <f>HYPERLINK("https://auction.openprocurement.org/tenders/4ba8cfc79b1047bda9227e315d9693ec")</f>
        <v>https://auction.openprocurement.org/tenders/4ba8cfc79b1047bda9227e315d9693ec</v>
      </c>
      <c r="AR233" s="7">
        <v>43013.416724090464</v>
      </c>
      <c r="AS233" s="5">
        <v>43017</v>
      </c>
      <c r="AT233" s="5">
        <v>43037</v>
      </c>
      <c r="AU233" s="1" t="s">
        <v>1287</v>
      </c>
      <c r="AV233" s="7">
        <v>43017.43355214029</v>
      </c>
      <c r="AW233" s="1" t="s">
        <v>337</v>
      </c>
      <c r="AX233" s="6">
        <v>1906</v>
      </c>
      <c r="AY233" s="5">
        <v>43012</v>
      </c>
      <c r="AZ233" s="5">
        <v>43039</v>
      </c>
      <c r="BA233" s="7">
        <v>43100</v>
      </c>
      <c r="BB233" s="1" t="s">
        <v>1310</v>
      </c>
      <c r="BC233" s="1"/>
      <c r="BD233" s="1" t="s">
        <v>901</v>
      </c>
    </row>
    <row r="234" spans="1:56" hidden="1" x14ac:dyDescent="0.25">
      <c r="A234" s="4">
        <v>229</v>
      </c>
      <c r="B234" s="2" t="str">
        <f>HYPERLINK("https://my.zakupki.prom.ua/remote/dispatcher/state_purchase_view/4154060", "UA-2017-09-27-000876-a")</f>
        <v>UA-2017-09-27-000876-a</v>
      </c>
      <c r="C234" s="2" t="s">
        <v>983</v>
      </c>
      <c r="D234" s="1" t="s">
        <v>1124</v>
      </c>
      <c r="E234" s="1" t="s">
        <v>1124</v>
      </c>
      <c r="F234" s="1" t="s">
        <v>381</v>
      </c>
      <c r="G234" s="1" t="s">
        <v>883</v>
      </c>
      <c r="H234" s="1" t="s">
        <v>987</v>
      </c>
      <c r="I234" s="1" t="s">
        <v>905</v>
      </c>
      <c r="J234" s="1" t="s">
        <v>158</v>
      </c>
      <c r="K234" s="1" t="s">
        <v>662</v>
      </c>
      <c r="L234" s="1" t="s">
        <v>1207</v>
      </c>
      <c r="M234" s="1" t="s">
        <v>147</v>
      </c>
      <c r="N234" s="1" t="s">
        <v>147</v>
      </c>
      <c r="O234" s="1" t="s">
        <v>147</v>
      </c>
      <c r="P234" s="5">
        <v>43005</v>
      </c>
      <c r="Q234" s="5">
        <v>43005</v>
      </c>
      <c r="R234" s="5">
        <v>43007</v>
      </c>
      <c r="S234" s="5">
        <v>43007</v>
      </c>
      <c r="T234" s="5">
        <v>43011</v>
      </c>
      <c r="U234" s="7">
        <v>43012.627314814818</v>
      </c>
      <c r="V234" s="4">
        <v>2</v>
      </c>
      <c r="W234" s="6">
        <v>3115</v>
      </c>
      <c r="X234" s="1" t="s">
        <v>983</v>
      </c>
      <c r="Y234" s="4">
        <v>7</v>
      </c>
      <c r="Z234" s="6">
        <v>445</v>
      </c>
      <c r="AA234" s="1" t="s">
        <v>1315</v>
      </c>
      <c r="AB234" s="1" t="s">
        <v>540</v>
      </c>
      <c r="AC234" s="1" t="s">
        <v>1202</v>
      </c>
      <c r="AD234" s="1" t="s">
        <v>704</v>
      </c>
      <c r="AE234" s="1" t="s">
        <v>987</v>
      </c>
      <c r="AF234" s="6">
        <v>2945.13</v>
      </c>
      <c r="AG234" s="6">
        <v>420.73285714285714</v>
      </c>
      <c r="AH234" s="1" t="s">
        <v>1177</v>
      </c>
      <c r="AI234" s="6">
        <v>169.86999999999989</v>
      </c>
      <c r="AJ234" s="6">
        <v>5.4532905296950207E-2</v>
      </c>
      <c r="AK234" s="1" t="s">
        <v>1177</v>
      </c>
      <c r="AL234" s="1" t="s">
        <v>432</v>
      </c>
      <c r="AM234" s="1" t="s">
        <v>552</v>
      </c>
      <c r="AN234" s="1" t="s">
        <v>95</v>
      </c>
      <c r="AO234" s="6">
        <v>169.86999999999989</v>
      </c>
      <c r="AP234" s="6">
        <v>5.4532905296950207E-2</v>
      </c>
      <c r="AQ234" s="2" t="str">
        <f>HYPERLINK("https://auction.openprocurement.org/tenders/b8b0083d2b1f414ebf2545305d46a450")</f>
        <v>https://auction.openprocurement.org/tenders/b8b0083d2b1f414ebf2545305d46a450</v>
      </c>
      <c r="AR234" s="7">
        <v>43013.418081260694</v>
      </c>
      <c r="AS234" s="5">
        <v>43017</v>
      </c>
      <c r="AT234" s="5">
        <v>43037</v>
      </c>
      <c r="AU234" s="1" t="s">
        <v>1287</v>
      </c>
      <c r="AV234" s="7">
        <v>43025.617022553823</v>
      </c>
      <c r="AW234" s="1" t="s">
        <v>386</v>
      </c>
      <c r="AX234" s="6">
        <v>2945.13</v>
      </c>
      <c r="AY234" s="5">
        <v>43012</v>
      </c>
      <c r="AZ234" s="5">
        <v>43039</v>
      </c>
      <c r="BA234" s="7">
        <v>43100</v>
      </c>
      <c r="BB234" s="1" t="s">
        <v>1310</v>
      </c>
      <c r="BC234" s="1"/>
      <c r="BD234" s="1" t="s">
        <v>901</v>
      </c>
    </row>
    <row r="235" spans="1:56" hidden="1" x14ac:dyDescent="0.25">
      <c r="A235" s="4">
        <v>230</v>
      </c>
      <c r="B235" s="2" t="str">
        <f>HYPERLINK("https://my.zakupki.prom.ua/remote/dispatcher/state_purchase_view/4153785", "UA-2017-09-27-000824-a")</f>
        <v>UA-2017-09-27-000824-a</v>
      </c>
      <c r="C235" s="2" t="s">
        <v>983</v>
      </c>
      <c r="D235" s="1" t="s">
        <v>718</v>
      </c>
      <c r="E235" s="1" t="s">
        <v>1106</v>
      </c>
      <c r="F235" s="1" t="s">
        <v>375</v>
      </c>
      <c r="G235" s="1" t="s">
        <v>883</v>
      </c>
      <c r="H235" s="1" t="s">
        <v>987</v>
      </c>
      <c r="I235" s="1" t="s">
        <v>905</v>
      </c>
      <c r="J235" s="1" t="s">
        <v>158</v>
      </c>
      <c r="K235" s="1" t="s">
        <v>662</v>
      </c>
      <c r="L235" s="1" t="s">
        <v>1207</v>
      </c>
      <c r="M235" s="1" t="s">
        <v>147</v>
      </c>
      <c r="N235" s="1" t="s">
        <v>147</v>
      </c>
      <c r="O235" s="1" t="s">
        <v>147</v>
      </c>
      <c r="P235" s="5">
        <v>43005</v>
      </c>
      <c r="Q235" s="5">
        <v>43005</v>
      </c>
      <c r="R235" s="5">
        <v>43007</v>
      </c>
      <c r="S235" s="5">
        <v>43007</v>
      </c>
      <c r="T235" s="5">
        <v>43011</v>
      </c>
      <c r="U235" s="7">
        <v>43012.509212962963</v>
      </c>
      <c r="V235" s="4">
        <v>2</v>
      </c>
      <c r="W235" s="6">
        <v>3718</v>
      </c>
      <c r="X235" s="1" t="s">
        <v>983</v>
      </c>
      <c r="Y235" s="4">
        <v>200</v>
      </c>
      <c r="Z235" s="6">
        <v>18.59</v>
      </c>
      <c r="AA235" s="1" t="s">
        <v>1316</v>
      </c>
      <c r="AB235" s="1" t="s">
        <v>540</v>
      </c>
      <c r="AC235" s="1" t="s">
        <v>1202</v>
      </c>
      <c r="AD235" s="1" t="s">
        <v>704</v>
      </c>
      <c r="AE235" s="1" t="s">
        <v>987</v>
      </c>
      <c r="AF235" s="6">
        <v>3411.41</v>
      </c>
      <c r="AG235" s="6">
        <v>17.05705</v>
      </c>
      <c r="AH235" s="1" t="s">
        <v>1194</v>
      </c>
      <c r="AI235" s="6">
        <v>306.59000000000015</v>
      </c>
      <c r="AJ235" s="6">
        <v>8.2461000537923657E-2</v>
      </c>
      <c r="AK235" s="1" t="s">
        <v>1194</v>
      </c>
      <c r="AL235" s="1" t="s">
        <v>447</v>
      </c>
      <c r="AM235" s="1" t="s">
        <v>560</v>
      </c>
      <c r="AN235" s="1" t="s">
        <v>122</v>
      </c>
      <c r="AO235" s="6">
        <v>306.59000000000015</v>
      </c>
      <c r="AP235" s="6">
        <v>8.2461000537923657E-2</v>
      </c>
      <c r="AQ235" s="2" t="str">
        <f>HYPERLINK("https://auction.openprocurement.org/tenders/578f99508d754514b7905855a18cf9fe")</f>
        <v>https://auction.openprocurement.org/tenders/578f99508d754514b7905855a18cf9fe</v>
      </c>
      <c r="AR235" s="7">
        <v>43013.398360299769</v>
      </c>
      <c r="AS235" s="5">
        <v>43017</v>
      </c>
      <c r="AT235" s="5">
        <v>43037</v>
      </c>
      <c r="AU235" s="1" t="s">
        <v>1287</v>
      </c>
      <c r="AV235" s="7">
        <v>43025.605674692582</v>
      </c>
      <c r="AW235" s="1" t="s">
        <v>309</v>
      </c>
      <c r="AX235" s="6">
        <v>3411.41</v>
      </c>
      <c r="AY235" s="5">
        <v>43012</v>
      </c>
      <c r="AZ235" s="5">
        <v>43039</v>
      </c>
      <c r="BA235" s="7">
        <v>43100</v>
      </c>
      <c r="BB235" s="1" t="s">
        <v>1310</v>
      </c>
      <c r="BC235" s="1"/>
      <c r="BD235" s="1" t="s">
        <v>901</v>
      </c>
    </row>
    <row r="236" spans="1:56" hidden="1" x14ac:dyDescent="0.25">
      <c r="A236" s="4">
        <v>231</v>
      </c>
      <c r="B236" s="2" t="str">
        <f>HYPERLINK("https://my.zakupki.prom.ua/remote/dispatcher/state_purchase_view/4151927", "UA-2017-09-27-000543-a")</f>
        <v>UA-2017-09-27-000543-a</v>
      </c>
      <c r="C236" s="2" t="s">
        <v>983</v>
      </c>
      <c r="D236" s="1" t="s">
        <v>474</v>
      </c>
      <c r="E236" s="1" t="s">
        <v>1047</v>
      </c>
      <c r="F236" s="1" t="s">
        <v>475</v>
      </c>
      <c r="G236" s="1" t="s">
        <v>883</v>
      </c>
      <c r="H236" s="1" t="s">
        <v>987</v>
      </c>
      <c r="I236" s="1" t="s">
        <v>905</v>
      </c>
      <c r="J236" s="1" t="s">
        <v>158</v>
      </c>
      <c r="K236" s="1" t="s">
        <v>662</v>
      </c>
      <c r="L236" s="1" t="s">
        <v>1207</v>
      </c>
      <c r="M236" s="1" t="s">
        <v>147</v>
      </c>
      <c r="N236" s="1" t="s">
        <v>147</v>
      </c>
      <c r="O236" s="1" t="s">
        <v>147</v>
      </c>
      <c r="P236" s="5">
        <v>43005</v>
      </c>
      <c r="Q236" s="5">
        <v>43005</v>
      </c>
      <c r="R236" s="5">
        <v>43007</v>
      </c>
      <c r="S236" s="5">
        <v>43007</v>
      </c>
      <c r="T236" s="5">
        <v>43011</v>
      </c>
      <c r="U236" s="1" t="s">
        <v>1285</v>
      </c>
      <c r="V236" s="4">
        <v>1</v>
      </c>
      <c r="W236" s="6">
        <v>42857.02</v>
      </c>
      <c r="X236" s="1" t="s">
        <v>983</v>
      </c>
      <c r="Y236" s="4">
        <v>1</v>
      </c>
      <c r="Z236" s="6">
        <v>42857.02</v>
      </c>
      <c r="AA236" s="1" t="s">
        <v>1307</v>
      </c>
      <c r="AB236" s="1" t="s">
        <v>540</v>
      </c>
      <c r="AC236" s="1" t="s">
        <v>1202</v>
      </c>
      <c r="AD236" s="1" t="s">
        <v>704</v>
      </c>
      <c r="AE236" s="1" t="s">
        <v>987</v>
      </c>
      <c r="AF236" s="6">
        <v>42857.02</v>
      </c>
      <c r="AG236" s="6">
        <v>42857.02</v>
      </c>
      <c r="AH236" s="1" t="s">
        <v>1172</v>
      </c>
      <c r="AI236" s="1"/>
      <c r="AJ236" s="1"/>
      <c r="AK236" s="1" t="s">
        <v>1172</v>
      </c>
      <c r="AL236" s="1" t="s">
        <v>323</v>
      </c>
      <c r="AM236" s="1" t="s">
        <v>625</v>
      </c>
      <c r="AN236" s="1" t="s">
        <v>59</v>
      </c>
      <c r="AO236" s="1"/>
      <c r="AP236" s="1"/>
      <c r="AQ236" s="2"/>
      <c r="AR236" s="7">
        <v>43013.420717264955</v>
      </c>
      <c r="AS236" s="5">
        <v>43017</v>
      </c>
      <c r="AT236" s="5">
        <v>43037</v>
      </c>
      <c r="AU236" s="1" t="s">
        <v>1287</v>
      </c>
      <c r="AV236" s="7">
        <v>43025.473571154907</v>
      </c>
      <c r="AW236" s="1" t="s">
        <v>199</v>
      </c>
      <c r="AX236" s="6">
        <v>42857.02</v>
      </c>
      <c r="AY236" s="5">
        <v>43012</v>
      </c>
      <c r="AZ236" s="5">
        <v>43039</v>
      </c>
      <c r="BA236" s="7">
        <v>43100</v>
      </c>
      <c r="BB236" s="1" t="s">
        <v>1310</v>
      </c>
      <c r="BC236" s="1"/>
      <c r="BD236" s="1" t="s">
        <v>901</v>
      </c>
    </row>
    <row r="237" spans="1:56" hidden="1" x14ac:dyDescent="0.25">
      <c r="A237" s="4">
        <v>232</v>
      </c>
      <c r="B237" s="2" t="str">
        <f>HYPERLINK("https://my.zakupki.prom.ua/remote/dispatcher/state_purchase_view/4020909", "UA-2017-09-13-000956-c")</f>
        <v>UA-2017-09-13-000956-c</v>
      </c>
      <c r="C237" s="2" t="str">
        <f>HYPERLINK("https://my.zakupki.prom.ua/remote/dispatcher/state_purchase_lot_view/251364", "UA-2017-09-13-000956-c-L1")</f>
        <v>UA-2017-09-13-000956-c-L1</v>
      </c>
      <c r="D237" s="1" t="s">
        <v>210</v>
      </c>
      <c r="E237" s="1" t="s">
        <v>962</v>
      </c>
      <c r="F237" s="1" t="s">
        <v>208</v>
      </c>
      <c r="G237" s="1" t="s">
        <v>883</v>
      </c>
      <c r="H237" s="1" t="s">
        <v>987</v>
      </c>
      <c r="I237" s="1" t="s">
        <v>905</v>
      </c>
      <c r="J237" s="1" t="s">
        <v>158</v>
      </c>
      <c r="K237" s="1" t="s">
        <v>662</v>
      </c>
      <c r="L237" s="1" t="s">
        <v>1207</v>
      </c>
      <c r="M237" s="1" t="s">
        <v>148</v>
      </c>
      <c r="N237" s="1" t="s">
        <v>148</v>
      </c>
      <c r="O237" s="1" t="s">
        <v>148</v>
      </c>
      <c r="P237" s="5">
        <v>42991</v>
      </c>
      <c r="Q237" s="5">
        <v>42991</v>
      </c>
      <c r="R237" s="5">
        <v>42993</v>
      </c>
      <c r="S237" s="5">
        <v>42993</v>
      </c>
      <c r="T237" s="5">
        <v>42996</v>
      </c>
      <c r="U237" s="7">
        <v>42997.508761574078</v>
      </c>
      <c r="V237" s="4">
        <v>2</v>
      </c>
      <c r="W237" s="6">
        <v>7787.9</v>
      </c>
      <c r="X237" s="6">
        <v>7787.9</v>
      </c>
      <c r="Y237" s="4">
        <v>470</v>
      </c>
      <c r="Z237" s="6">
        <v>16.57</v>
      </c>
      <c r="AA237" s="1" t="s">
        <v>1299</v>
      </c>
      <c r="AB237" s="1" t="s">
        <v>540</v>
      </c>
      <c r="AC237" s="1" t="s">
        <v>1202</v>
      </c>
      <c r="AD237" s="1" t="s">
        <v>704</v>
      </c>
      <c r="AE237" s="1" t="s">
        <v>987</v>
      </c>
      <c r="AF237" s="6">
        <v>5639</v>
      </c>
      <c r="AG237" s="6">
        <v>11.997872340425532</v>
      </c>
      <c r="AH237" s="1" t="s">
        <v>1182</v>
      </c>
      <c r="AI237" s="6">
        <v>2148.8999999999996</v>
      </c>
      <c r="AJ237" s="6">
        <v>0.2759280422193402</v>
      </c>
      <c r="AK237" s="1" t="s">
        <v>1182</v>
      </c>
      <c r="AL237" s="1" t="s">
        <v>415</v>
      </c>
      <c r="AM237" s="1" t="s">
        <v>258</v>
      </c>
      <c r="AN237" s="1" t="s">
        <v>98</v>
      </c>
      <c r="AO237" s="6">
        <v>2148.8999999999996</v>
      </c>
      <c r="AP237" s="6">
        <v>0.2759280422193402</v>
      </c>
      <c r="AQ237" s="2" t="str">
        <f>HYPERLINK("https://auction.openprocurement.org/tenders/35c42f591ddc4b9c91122f929a94a647_6f2fc1daebc4484fbd80fe5d8c817885")</f>
        <v>https://auction.openprocurement.org/tenders/35c42f591ddc4b9c91122f929a94a647_6f2fc1daebc4484fbd80fe5d8c817885</v>
      </c>
      <c r="AR237" s="7">
        <v>42997.624401158842</v>
      </c>
      <c r="AS237" s="5">
        <v>42999</v>
      </c>
      <c r="AT237" s="5">
        <v>43023</v>
      </c>
      <c r="AU237" s="1" t="s">
        <v>1287</v>
      </c>
      <c r="AV237" s="7">
        <v>43004.661502411953</v>
      </c>
      <c r="AW237" s="1" t="s">
        <v>490</v>
      </c>
      <c r="AX237" s="6">
        <v>5639</v>
      </c>
      <c r="AY237" s="5">
        <v>43003</v>
      </c>
      <c r="AZ237" s="5">
        <v>43100</v>
      </c>
      <c r="BA237" s="7">
        <v>43100</v>
      </c>
      <c r="BB237" s="1" t="s">
        <v>1310</v>
      </c>
      <c r="BC237" s="1"/>
      <c r="BD237" s="1" t="s">
        <v>901</v>
      </c>
    </row>
    <row r="238" spans="1:56" hidden="1" x14ac:dyDescent="0.25">
      <c r="A238" s="4">
        <v>233</v>
      </c>
      <c r="B238" s="2" t="str">
        <f>HYPERLINK("https://my.zakupki.prom.ua/remote/dispatcher/state_purchase_view/3681521", "UA-2017-08-01-000955-b")</f>
        <v>UA-2017-08-01-000955-b</v>
      </c>
      <c r="C238" s="2" t="s">
        <v>983</v>
      </c>
      <c r="D238" s="1" t="s">
        <v>758</v>
      </c>
      <c r="E238" s="1" t="s">
        <v>1042</v>
      </c>
      <c r="F238" s="1" t="s">
        <v>283</v>
      </c>
      <c r="G238" s="1" t="s">
        <v>883</v>
      </c>
      <c r="H238" s="1" t="s">
        <v>987</v>
      </c>
      <c r="I238" s="1" t="s">
        <v>905</v>
      </c>
      <c r="J238" s="1" t="s">
        <v>158</v>
      </c>
      <c r="K238" s="1" t="s">
        <v>662</v>
      </c>
      <c r="L238" s="1" t="s">
        <v>1207</v>
      </c>
      <c r="M238" s="1" t="s">
        <v>147</v>
      </c>
      <c r="N238" s="1" t="s">
        <v>147</v>
      </c>
      <c r="O238" s="1" t="s">
        <v>147</v>
      </c>
      <c r="P238" s="5">
        <v>42948</v>
      </c>
      <c r="Q238" s="5">
        <v>42948</v>
      </c>
      <c r="R238" s="5">
        <v>42950</v>
      </c>
      <c r="S238" s="5">
        <v>42950</v>
      </c>
      <c r="T238" s="5">
        <v>42954</v>
      </c>
      <c r="U238" s="7">
        <v>42955.515717592592</v>
      </c>
      <c r="V238" s="4">
        <v>3</v>
      </c>
      <c r="W238" s="6">
        <v>12270.14</v>
      </c>
      <c r="X238" s="1" t="s">
        <v>983</v>
      </c>
      <c r="Y238" s="4">
        <v>20</v>
      </c>
      <c r="Z238" s="6">
        <v>613.51</v>
      </c>
      <c r="AA238" s="1" t="s">
        <v>1319</v>
      </c>
      <c r="AB238" s="1" t="s">
        <v>540</v>
      </c>
      <c r="AC238" s="1" t="s">
        <v>1202</v>
      </c>
      <c r="AD238" s="1" t="s">
        <v>704</v>
      </c>
      <c r="AE238" s="1" t="s">
        <v>987</v>
      </c>
      <c r="AF238" s="6">
        <v>9999.15</v>
      </c>
      <c r="AG238" s="6">
        <v>499.95749999999998</v>
      </c>
      <c r="AH238" s="1" t="s">
        <v>1226</v>
      </c>
      <c r="AI238" s="6">
        <v>2270.9899999999998</v>
      </c>
      <c r="AJ238" s="6">
        <v>0.18508264779374969</v>
      </c>
      <c r="AK238" s="1" t="s">
        <v>1226</v>
      </c>
      <c r="AL238" s="1" t="s">
        <v>307</v>
      </c>
      <c r="AM238" s="1" t="s">
        <v>595</v>
      </c>
      <c r="AN238" s="1" t="s">
        <v>143</v>
      </c>
      <c r="AO238" s="6">
        <v>2270.9899999999998</v>
      </c>
      <c r="AP238" s="6">
        <v>0.18508264779374969</v>
      </c>
      <c r="AQ238" s="2" t="str">
        <f>HYPERLINK("https://auction.openprocurement.org/tenders/4353f1fe277a45c392e9f88b15c41274")</f>
        <v>https://auction.openprocurement.org/tenders/4353f1fe277a45c392e9f88b15c41274</v>
      </c>
      <c r="AR238" s="7">
        <v>42955.605798972822</v>
      </c>
      <c r="AS238" s="5">
        <v>42957</v>
      </c>
      <c r="AT238" s="5">
        <v>42980</v>
      </c>
      <c r="AU238" s="1" t="s">
        <v>1287</v>
      </c>
      <c r="AV238" s="7">
        <v>42969.627230968181</v>
      </c>
      <c r="AW238" s="1" t="s">
        <v>330</v>
      </c>
      <c r="AX238" s="6">
        <v>9999.15</v>
      </c>
      <c r="AY238" s="5">
        <v>42956</v>
      </c>
      <c r="AZ238" s="5">
        <v>42978</v>
      </c>
      <c r="BA238" s="7">
        <v>43100</v>
      </c>
      <c r="BB238" s="1" t="s">
        <v>1310</v>
      </c>
      <c r="BC238" s="1"/>
      <c r="BD238" s="1" t="s">
        <v>901</v>
      </c>
    </row>
    <row r="239" spans="1:56" hidden="1" x14ac:dyDescent="0.25">
      <c r="A239" s="4">
        <v>234</v>
      </c>
      <c r="B239" s="2" t="str">
        <f>HYPERLINK("https://my.zakupki.prom.ua/remote/dispatcher/state_purchase_view/3681348", "UA-2017-08-01-000917-b")</f>
        <v>UA-2017-08-01-000917-b</v>
      </c>
      <c r="C239" s="2" t="s">
        <v>983</v>
      </c>
      <c r="D239" s="1" t="s">
        <v>1124</v>
      </c>
      <c r="E239" s="1" t="s">
        <v>1124</v>
      </c>
      <c r="F239" s="1" t="s">
        <v>381</v>
      </c>
      <c r="G239" s="1" t="s">
        <v>883</v>
      </c>
      <c r="H239" s="1" t="s">
        <v>987</v>
      </c>
      <c r="I239" s="1" t="s">
        <v>905</v>
      </c>
      <c r="J239" s="1" t="s">
        <v>158</v>
      </c>
      <c r="K239" s="1" t="s">
        <v>662</v>
      </c>
      <c r="L239" s="1" t="s">
        <v>1207</v>
      </c>
      <c r="M239" s="1" t="s">
        <v>147</v>
      </c>
      <c r="N239" s="1" t="s">
        <v>147</v>
      </c>
      <c r="O239" s="1" t="s">
        <v>147</v>
      </c>
      <c r="P239" s="5">
        <v>42948</v>
      </c>
      <c r="Q239" s="5">
        <v>42948</v>
      </c>
      <c r="R239" s="5">
        <v>42950</v>
      </c>
      <c r="S239" s="5">
        <v>42950</v>
      </c>
      <c r="T239" s="5">
        <v>42954</v>
      </c>
      <c r="U239" s="1" t="s">
        <v>1285</v>
      </c>
      <c r="V239" s="4">
        <v>1</v>
      </c>
      <c r="W239" s="6">
        <v>3600</v>
      </c>
      <c r="X239" s="1" t="s">
        <v>983</v>
      </c>
      <c r="Y239" s="4">
        <v>8</v>
      </c>
      <c r="Z239" s="6">
        <v>450</v>
      </c>
      <c r="AA239" s="1" t="s">
        <v>1319</v>
      </c>
      <c r="AB239" s="1" t="s">
        <v>540</v>
      </c>
      <c r="AC239" s="1" t="s">
        <v>1202</v>
      </c>
      <c r="AD239" s="1" t="s">
        <v>704</v>
      </c>
      <c r="AE239" s="1" t="s">
        <v>987</v>
      </c>
      <c r="AF239" s="6">
        <v>3545.92</v>
      </c>
      <c r="AG239" s="6">
        <v>443.24</v>
      </c>
      <c r="AH239" s="1" t="s">
        <v>1177</v>
      </c>
      <c r="AI239" s="6">
        <v>54.079999999999927</v>
      </c>
      <c r="AJ239" s="6">
        <v>1.5022222222222202E-2</v>
      </c>
      <c r="AK239" s="1" t="s">
        <v>1177</v>
      </c>
      <c r="AL239" s="1" t="s">
        <v>432</v>
      </c>
      <c r="AM239" s="1" t="s">
        <v>552</v>
      </c>
      <c r="AN239" s="1" t="s">
        <v>95</v>
      </c>
      <c r="AO239" s="6">
        <v>54.079999999999927</v>
      </c>
      <c r="AP239" s="6">
        <v>1.5022222222222202E-2</v>
      </c>
      <c r="AQ239" s="2"/>
      <c r="AR239" s="7">
        <v>42955.341991485206</v>
      </c>
      <c r="AS239" s="5">
        <v>42957</v>
      </c>
      <c r="AT239" s="5">
        <v>42980</v>
      </c>
      <c r="AU239" s="1" t="s">
        <v>1287</v>
      </c>
      <c r="AV239" s="7">
        <v>42964.461795115916</v>
      </c>
      <c r="AW239" s="1" t="s">
        <v>318</v>
      </c>
      <c r="AX239" s="6">
        <v>3545.92</v>
      </c>
      <c r="AY239" s="5">
        <v>42956</v>
      </c>
      <c r="AZ239" s="5">
        <v>42978</v>
      </c>
      <c r="BA239" s="7">
        <v>43100</v>
      </c>
      <c r="BB239" s="1" t="s">
        <v>1310</v>
      </c>
      <c r="BC239" s="1"/>
      <c r="BD239" s="1" t="s">
        <v>901</v>
      </c>
    </row>
    <row r="240" spans="1:56" hidden="1" x14ac:dyDescent="0.25">
      <c r="A240" s="4">
        <v>235</v>
      </c>
      <c r="B240" s="2" t="str">
        <f>HYPERLINK("https://my.zakupki.prom.ua/remote/dispatcher/state_purchase_view/3681295", "UA-2017-08-01-000894-b")</f>
        <v>UA-2017-08-01-000894-b</v>
      </c>
      <c r="C240" s="2" t="s">
        <v>983</v>
      </c>
      <c r="D240" s="1" t="s">
        <v>818</v>
      </c>
      <c r="E240" s="1" t="s">
        <v>1079</v>
      </c>
      <c r="F240" s="1" t="s">
        <v>381</v>
      </c>
      <c r="G240" s="1" t="s">
        <v>883</v>
      </c>
      <c r="H240" s="1" t="s">
        <v>987</v>
      </c>
      <c r="I240" s="1" t="s">
        <v>905</v>
      </c>
      <c r="J240" s="1" t="s">
        <v>158</v>
      </c>
      <c r="K240" s="1" t="s">
        <v>662</v>
      </c>
      <c r="L240" s="1" t="s">
        <v>1207</v>
      </c>
      <c r="M240" s="1" t="s">
        <v>147</v>
      </c>
      <c r="N240" s="1" t="s">
        <v>147</v>
      </c>
      <c r="O240" s="1" t="s">
        <v>147</v>
      </c>
      <c r="P240" s="5">
        <v>42948</v>
      </c>
      <c r="Q240" s="5">
        <v>42948</v>
      </c>
      <c r="R240" s="5">
        <v>42950</v>
      </c>
      <c r="S240" s="5">
        <v>42950</v>
      </c>
      <c r="T240" s="5">
        <v>42954</v>
      </c>
      <c r="U240" s="1" t="s">
        <v>1285</v>
      </c>
      <c r="V240" s="4">
        <v>1</v>
      </c>
      <c r="W240" s="6">
        <v>4300</v>
      </c>
      <c r="X240" s="1" t="s">
        <v>983</v>
      </c>
      <c r="Y240" s="4">
        <v>3</v>
      </c>
      <c r="Z240" s="6">
        <v>1433.33</v>
      </c>
      <c r="AA240" s="1" t="s">
        <v>1301</v>
      </c>
      <c r="AB240" s="1" t="s">
        <v>540</v>
      </c>
      <c r="AC240" s="1" t="s">
        <v>1202</v>
      </c>
      <c r="AD240" s="1" t="s">
        <v>704</v>
      </c>
      <c r="AE240" s="1" t="s">
        <v>987</v>
      </c>
      <c r="AF240" s="6">
        <v>4300</v>
      </c>
      <c r="AG240" s="6">
        <v>1433.3333333333333</v>
      </c>
      <c r="AH240" s="1" t="s">
        <v>1256</v>
      </c>
      <c r="AI240" s="1"/>
      <c r="AJ240" s="1"/>
      <c r="AK240" s="1" t="s">
        <v>1256</v>
      </c>
      <c r="AL240" s="1" t="s">
        <v>230</v>
      </c>
      <c r="AM240" s="1" t="s">
        <v>583</v>
      </c>
      <c r="AN240" s="1" t="s">
        <v>102</v>
      </c>
      <c r="AO240" s="1"/>
      <c r="AP240" s="1"/>
      <c r="AQ240" s="2"/>
      <c r="AR240" s="7">
        <v>42955.341756255511</v>
      </c>
      <c r="AS240" s="5">
        <v>42957</v>
      </c>
      <c r="AT240" s="5">
        <v>42980</v>
      </c>
      <c r="AU240" s="1" t="s">
        <v>1287</v>
      </c>
      <c r="AV240" s="7">
        <v>42964.457438180791</v>
      </c>
      <c r="AW240" s="1" t="s">
        <v>947</v>
      </c>
      <c r="AX240" s="6">
        <v>4300</v>
      </c>
      <c r="AY240" s="5">
        <v>42956</v>
      </c>
      <c r="AZ240" s="5">
        <v>42978</v>
      </c>
      <c r="BA240" s="7">
        <v>43100</v>
      </c>
      <c r="BB240" s="1" t="s">
        <v>1310</v>
      </c>
      <c r="BC240" s="1"/>
      <c r="BD240" s="1" t="s">
        <v>901</v>
      </c>
    </row>
    <row r="241" spans="1:56" hidden="1" x14ac:dyDescent="0.25">
      <c r="A241" s="4">
        <v>236</v>
      </c>
      <c r="B241" s="2" t="str">
        <f>HYPERLINK("https://my.zakupki.prom.ua/remote/dispatcher/state_purchase_view/3623488", "UA-2017-07-24-001752-b")</f>
        <v>UA-2017-07-24-001752-b</v>
      </c>
      <c r="C241" s="2" t="s">
        <v>983</v>
      </c>
      <c r="D241" s="1" t="s">
        <v>474</v>
      </c>
      <c r="E241" s="1" t="s">
        <v>1047</v>
      </c>
      <c r="F241" s="1" t="s">
        <v>475</v>
      </c>
      <c r="G241" s="1" t="s">
        <v>883</v>
      </c>
      <c r="H241" s="1" t="s">
        <v>987</v>
      </c>
      <c r="I241" s="1" t="s">
        <v>905</v>
      </c>
      <c r="J241" s="1" t="s">
        <v>158</v>
      </c>
      <c r="K241" s="1" t="s">
        <v>662</v>
      </c>
      <c r="L241" s="1" t="s">
        <v>1207</v>
      </c>
      <c r="M241" s="1" t="s">
        <v>147</v>
      </c>
      <c r="N241" s="1" t="s">
        <v>147</v>
      </c>
      <c r="O241" s="1" t="s">
        <v>147</v>
      </c>
      <c r="P241" s="5">
        <v>42940</v>
      </c>
      <c r="Q241" s="5">
        <v>42940</v>
      </c>
      <c r="R241" s="5">
        <v>42942</v>
      </c>
      <c r="S241" s="5">
        <v>42942</v>
      </c>
      <c r="T241" s="5">
        <v>42944</v>
      </c>
      <c r="U241" s="1" t="s">
        <v>1285</v>
      </c>
      <c r="V241" s="4">
        <v>1</v>
      </c>
      <c r="W241" s="6">
        <v>12000</v>
      </c>
      <c r="X241" s="1" t="s">
        <v>983</v>
      </c>
      <c r="Y241" s="4">
        <v>1</v>
      </c>
      <c r="Z241" s="6">
        <v>12000</v>
      </c>
      <c r="AA241" s="1" t="s">
        <v>1307</v>
      </c>
      <c r="AB241" s="1" t="s">
        <v>540</v>
      </c>
      <c r="AC241" s="1" t="s">
        <v>1202</v>
      </c>
      <c r="AD241" s="1" t="s">
        <v>704</v>
      </c>
      <c r="AE241" s="1" t="s">
        <v>987</v>
      </c>
      <c r="AF241" s="6">
        <v>12000</v>
      </c>
      <c r="AG241" s="6">
        <v>12000</v>
      </c>
      <c r="AH241" s="1" t="s">
        <v>1172</v>
      </c>
      <c r="AI241" s="1"/>
      <c r="AJ241" s="1"/>
      <c r="AK241" s="1" t="s">
        <v>1172</v>
      </c>
      <c r="AL241" s="1" t="s">
        <v>323</v>
      </c>
      <c r="AM241" s="1" t="s">
        <v>625</v>
      </c>
      <c r="AN241" s="1" t="s">
        <v>59</v>
      </c>
      <c r="AO241" s="1"/>
      <c r="AP241" s="1"/>
      <c r="AQ241" s="2"/>
      <c r="AR241" s="7">
        <v>42947.472276326305</v>
      </c>
      <c r="AS241" s="5">
        <v>42949</v>
      </c>
      <c r="AT241" s="5">
        <v>42972</v>
      </c>
      <c r="AU241" s="1" t="s">
        <v>1287</v>
      </c>
      <c r="AV241" s="7">
        <v>42956.45820571384</v>
      </c>
      <c r="AW241" s="1" t="s">
        <v>193</v>
      </c>
      <c r="AX241" s="6">
        <v>12000</v>
      </c>
      <c r="AY241" s="5">
        <v>42948</v>
      </c>
      <c r="AZ241" s="5">
        <v>42978</v>
      </c>
      <c r="BA241" s="7">
        <v>43100</v>
      </c>
      <c r="BB241" s="1" t="s">
        <v>1310</v>
      </c>
      <c r="BC241" s="1"/>
      <c r="BD241" s="1" t="s">
        <v>901</v>
      </c>
    </row>
    <row r="242" spans="1:56" hidden="1" x14ac:dyDescent="0.25">
      <c r="A242" s="4">
        <v>237</v>
      </c>
      <c r="B242" s="2" t="str">
        <f>HYPERLINK("https://my.zakupki.prom.ua/remote/dispatcher/state_purchase_view/3456050", "UA-2017-07-03-000327-b")</f>
        <v>UA-2017-07-03-000327-b</v>
      </c>
      <c r="C242" s="2" t="s">
        <v>983</v>
      </c>
      <c r="D242" s="1" t="s">
        <v>717</v>
      </c>
      <c r="E242" s="1" t="s">
        <v>670</v>
      </c>
      <c r="F242" s="1" t="s">
        <v>168</v>
      </c>
      <c r="G242" s="1" t="s">
        <v>883</v>
      </c>
      <c r="H242" s="1" t="s">
        <v>987</v>
      </c>
      <c r="I242" s="1" t="s">
        <v>905</v>
      </c>
      <c r="J242" s="1" t="s">
        <v>158</v>
      </c>
      <c r="K242" s="1" t="s">
        <v>662</v>
      </c>
      <c r="L242" s="1" t="s">
        <v>1207</v>
      </c>
      <c r="M242" s="1" t="s">
        <v>147</v>
      </c>
      <c r="N242" s="1" t="s">
        <v>147</v>
      </c>
      <c r="O242" s="1" t="s">
        <v>147</v>
      </c>
      <c r="P242" s="5">
        <v>42919</v>
      </c>
      <c r="Q242" s="5">
        <v>42919</v>
      </c>
      <c r="R242" s="5">
        <v>42921</v>
      </c>
      <c r="S242" s="5">
        <v>42921</v>
      </c>
      <c r="T242" s="5">
        <v>42923</v>
      </c>
      <c r="U242" s="1" t="s">
        <v>1285</v>
      </c>
      <c r="V242" s="4">
        <v>1</v>
      </c>
      <c r="W242" s="6">
        <v>17596.8</v>
      </c>
      <c r="X242" s="1" t="s">
        <v>983</v>
      </c>
      <c r="Y242" s="4">
        <v>720</v>
      </c>
      <c r="Z242" s="6">
        <v>24.44</v>
      </c>
      <c r="AA242" s="1" t="s">
        <v>1299</v>
      </c>
      <c r="AB242" s="1" t="s">
        <v>540</v>
      </c>
      <c r="AC242" s="1" t="s">
        <v>1202</v>
      </c>
      <c r="AD242" s="1" t="s">
        <v>704</v>
      </c>
      <c r="AE242" s="1" t="s">
        <v>987</v>
      </c>
      <c r="AF242" s="6">
        <v>16113.6</v>
      </c>
      <c r="AG242" s="6">
        <v>22.38</v>
      </c>
      <c r="AH242" s="1" t="s">
        <v>1152</v>
      </c>
      <c r="AI242" s="6">
        <v>1483.1999999999989</v>
      </c>
      <c r="AJ242" s="6">
        <v>8.4288052373158701E-2</v>
      </c>
      <c r="AK242" s="1" t="s">
        <v>1152</v>
      </c>
      <c r="AL242" s="1" t="s">
        <v>448</v>
      </c>
      <c r="AM242" s="1" t="s">
        <v>160</v>
      </c>
      <c r="AN242" s="1" t="s">
        <v>51</v>
      </c>
      <c r="AO242" s="6">
        <v>1483.1999999999989</v>
      </c>
      <c r="AP242" s="6">
        <v>8.4288052373158701E-2</v>
      </c>
      <c r="AQ242" s="2"/>
      <c r="AR242" s="7">
        <v>42923.486275777941</v>
      </c>
      <c r="AS242" s="5">
        <v>42927</v>
      </c>
      <c r="AT242" s="5">
        <v>42951</v>
      </c>
      <c r="AU242" s="1" t="s">
        <v>1287</v>
      </c>
      <c r="AV242" s="7">
        <v>42934.574259901688</v>
      </c>
      <c r="AW242" s="1" t="s">
        <v>166</v>
      </c>
      <c r="AX242" s="6">
        <v>16113.6</v>
      </c>
      <c r="AY242" s="5">
        <v>42926</v>
      </c>
      <c r="AZ242" s="5">
        <v>43100</v>
      </c>
      <c r="BA242" s="7">
        <v>43100</v>
      </c>
      <c r="BB242" s="1" t="s">
        <v>1310</v>
      </c>
      <c r="BC242" s="1"/>
      <c r="BD242" s="1" t="s">
        <v>901</v>
      </c>
    </row>
    <row r="243" spans="1:56" hidden="1" x14ac:dyDescent="0.25">
      <c r="A243" s="4">
        <v>238</v>
      </c>
      <c r="B243" s="2" t="str">
        <f>HYPERLINK("https://my.zakupki.prom.ua/remote/dispatcher/state_purchase_view/3449377", "UA-2017-06-30-001074-b")</f>
        <v>UA-2017-06-30-001074-b</v>
      </c>
      <c r="C243" s="2" t="s">
        <v>983</v>
      </c>
      <c r="D243" s="1" t="s">
        <v>879</v>
      </c>
      <c r="E243" s="1" t="s">
        <v>177</v>
      </c>
      <c r="F243" s="1" t="s">
        <v>279</v>
      </c>
      <c r="G243" s="1" t="s">
        <v>883</v>
      </c>
      <c r="H243" s="1" t="s">
        <v>987</v>
      </c>
      <c r="I243" s="1" t="s">
        <v>905</v>
      </c>
      <c r="J243" s="1" t="s">
        <v>158</v>
      </c>
      <c r="K243" s="1" t="s">
        <v>662</v>
      </c>
      <c r="L243" s="1" t="s">
        <v>1207</v>
      </c>
      <c r="M243" s="1" t="s">
        <v>147</v>
      </c>
      <c r="N243" s="1" t="s">
        <v>147</v>
      </c>
      <c r="O243" s="1" t="s">
        <v>147</v>
      </c>
      <c r="P243" s="5">
        <v>42916</v>
      </c>
      <c r="Q243" s="5">
        <v>42916</v>
      </c>
      <c r="R243" s="5">
        <v>42920</v>
      </c>
      <c r="S243" s="5">
        <v>42920</v>
      </c>
      <c r="T243" s="5">
        <v>42922</v>
      </c>
      <c r="U243" s="7">
        <v>42923.507361111115</v>
      </c>
      <c r="V243" s="4">
        <v>2</v>
      </c>
      <c r="W243" s="6">
        <v>20275.2</v>
      </c>
      <c r="X243" s="1" t="s">
        <v>983</v>
      </c>
      <c r="Y243" s="4">
        <v>110</v>
      </c>
      <c r="Z243" s="6">
        <v>184.32</v>
      </c>
      <c r="AA243" s="1" t="s">
        <v>1319</v>
      </c>
      <c r="AB243" s="1" t="s">
        <v>540</v>
      </c>
      <c r="AC243" s="1" t="s">
        <v>1202</v>
      </c>
      <c r="AD243" s="1" t="s">
        <v>704</v>
      </c>
      <c r="AE243" s="1" t="s">
        <v>987</v>
      </c>
      <c r="AF243" s="6">
        <v>9550.7999999999993</v>
      </c>
      <c r="AG243" s="6">
        <v>86.825454545454534</v>
      </c>
      <c r="AH243" s="1" t="s">
        <v>1141</v>
      </c>
      <c r="AI243" s="6">
        <v>10724.400000000001</v>
      </c>
      <c r="AJ243" s="6">
        <v>0.52894176136363646</v>
      </c>
      <c r="AK243" s="1" t="s">
        <v>1141</v>
      </c>
      <c r="AL243" s="1" t="s">
        <v>431</v>
      </c>
      <c r="AM243" s="1" t="s">
        <v>623</v>
      </c>
      <c r="AN243" s="1" t="s">
        <v>124</v>
      </c>
      <c r="AO243" s="6">
        <v>10724.400000000001</v>
      </c>
      <c r="AP243" s="6">
        <v>0.52894176136363646</v>
      </c>
      <c r="AQ243" s="2" t="str">
        <f>HYPERLINK("https://auction.openprocurement.org/tenders/7b0b87329fd34ab8859a4a5291fe17dd")</f>
        <v>https://auction.openprocurement.org/tenders/7b0b87329fd34ab8859a4a5291fe17dd</v>
      </c>
      <c r="AR243" s="7">
        <v>42923.648871874269</v>
      </c>
      <c r="AS243" s="5">
        <v>42927</v>
      </c>
      <c r="AT243" s="5">
        <v>42950</v>
      </c>
      <c r="AU243" s="1" t="s">
        <v>1287</v>
      </c>
      <c r="AV243" s="7">
        <v>42934.575347530626</v>
      </c>
      <c r="AW243" s="1" t="s">
        <v>308</v>
      </c>
      <c r="AX243" s="6">
        <v>9550.7999999999993</v>
      </c>
      <c r="AY243" s="5">
        <v>42926</v>
      </c>
      <c r="AZ243" s="5">
        <v>42947</v>
      </c>
      <c r="BA243" s="7">
        <v>43100</v>
      </c>
      <c r="BB243" s="1" t="s">
        <v>1310</v>
      </c>
      <c r="BC243" s="1"/>
      <c r="BD243" s="1" t="s">
        <v>901</v>
      </c>
    </row>
    <row r="244" spans="1:56" hidden="1" x14ac:dyDescent="0.25">
      <c r="A244" s="4">
        <v>239</v>
      </c>
      <c r="B244" s="2" t="str">
        <f>HYPERLINK("https://my.zakupki.prom.ua/remote/dispatcher/state_purchase_view/3449152", "UA-2017-06-30-001031-b")</f>
        <v>UA-2017-06-30-001031-b</v>
      </c>
      <c r="C244" s="2" t="s">
        <v>983</v>
      </c>
      <c r="D244" s="1" t="s">
        <v>758</v>
      </c>
      <c r="E244" s="1" t="s">
        <v>1036</v>
      </c>
      <c r="F244" s="1" t="s">
        <v>283</v>
      </c>
      <c r="G244" s="1" t="s">
        <v>883</v>
      </c>
      <c r="H244" s="1" t="s">
        <v>987</v>
      </c>
      <c r="I244" s="1" t="s">
        <v>905</v>
      </c>
      <c r="J244" s="1" t="s">
        <v>158</v>
      </c>
      <c r="K244" s="1" t="s">
        <v>662</v>
      </c>
      <c r="L244" s="1" t="s">
        <v>1207</v>
      </c>
      <c r="M244" s="1" t="s">
        <v>147</v>
      </c>
      <c r="N244" s="1" t="s">
        <v>147</v>
      </c>
      <c r="O244" s="1" t="s">
        <v>147</v>
      </c>
      <c r="P244" s="5">
        <v>42916</v>
      </c>
      <c r="Q244" s="5">
        <v>42916</v>
      </c>
      <c r="R244" s="5">
        <v>42920</v>
      </c>
      <c r="S244" s="5">
        <v>42920</v>
      </c>
      <c r="T244" s="5">
        <v>42922</v>
      </c>
      <c r="U244" s="7">
        <v>42923.616342592592</v>
      </c>
      <c r="V244" s="4">
        <v>2</v>
      </c>
      <c r="W244" s="6">
        <v>15291.42</v>
      </c>
      <c r="X244" s="1" t="s">
        <v>983</v>
      </c>
      <c r="Y244" s="4">
        <v>28</v>
      </c>
      <c r="Z244" s="6">
        <v>546.12</v>
      </c>
      <c r="AA244" s="1" t="s">
        <v>1319</v>
      </c>
      <c r="AB244" s="1" t="s">
        <v>540</v>
      </c>
      <c r="AC244" s="1" t="s">
        <v>1202</v>
      </c>
      <c r="AD244" s="1" t="s">
        <v>704</v>
      </c>
      <c r="AE244" s="1" t="s">
        <v>987</v>
      </c>
      <c r="AF244" s="6">
        <v>12498.67</v>
      </c>
      <c r="AG244" s="6">
        <v>446.38107142857143</v>
      </c>
      <c r="AH244" s="1" t="s">
        <v>1141</v>
      </c>
      <c r="AI244" s="6">
        <v>2792.75</v>
      </c>
      <c r="AJ244" s="6">
        <v>0.18263509863701344</v>
      </c>
      <c r="AK244" s="1" t="s">
        <v>1141</v>
      </c>
      <c r="AL244" s="1" t="s">
        <v>431</v>
      </c>
      <c r="AM244" s="1" t="s">
        <v>623</v>
      </c>
      <c r="AN244" s="1" t="s">
        <v>124</v>
      </c>
      <c r="AO244" s="6">
        <v>2792.75</v>
      </c>
      <c r="AP244" s="6">
        <v>0.18263509863701344</v>
      </c>
      <c r="AQ244" s="2" t="str">
        <f>HYPERLINK("https://auction.openprocurement.org/tenders/279b38c3af5d47249f59a186cfb90656")</f>
        <v>https://auction.openprocurement.org/tenders/279b38c3af5d47249f59a186cfb90656</v>
      </c>
      <c r="AR244" s="7">
        <v>42927.562843643878</v>
      </c>
      <c r="AS244" s="5">
        <v>42929</v>
      </c>
      <c r="AT244" s="5">
        <v>42950</v>
      </c>
      <c r="AU244" s="1" t="s">
        <v>1287</v>
      </c>
      <c r="AV244" s="7">
        <v>42934.553275945495</v>
      </c>
      <c r="AW244" s="1" t="s">
        <v>302</v>
      </c>
      <c r="AX244" s="6">
        <v>12498.67</v>
      </c>
      <c r="AY244" s="5">
        <v>42926</v>
      </c>
      <c r="AZ244" s="5">
        <v>42947</v>
      </c>
      <c r="BA244" s="7">
        <v>43100</v>
      </c>
      <c r="BB244" s="1" t="s">
        <v>1310</v>
      </c>
      <c r="BC244" s="1"/>
      <c r="BD244" s="1" t="s">
        <v>901</v>
      </c>
    </row>
    <row r="245" spans="1:56" hidden="1" x14ac:dyDescent="0.25">
      <c r="A245" s="4">
        <v>240</v>
      </c>
      <c r="B245" s="2" t="str">
        <f>HYPERLINK("https://my.zakupki.prom.ua/remote/dispatcher/state_purchase_view/3449099", "UA-2017-06-30-001012-b")</f>
        <v>UA-2017-06-30-001012-b</v>
      </c>
      <c r="C245" s="2" t="s">
        <v>983</v>
      </c>
      <c r="D245" s="1" t="s">
        <v>755</v>
      </c>
      <c r="E245" s="1" t="s">
        <v>971</v>
      </c>
      <c r="F245" s="1" t="s">
        <v>355</v>
      </c>
      <c r="G245" s="1" t="s">
        <v>883</v>
      </c>
      <c r="H245" s="1" t="s">
        <v>987</v>
      </c>
      <c r="I245" s="1" t="s">
        <v>905</v>
      </c>
      <c r="J245" s="1" t="s">
        <v>158</v>
      </c>
      <c r="K245" s="1" t="s">
        <v>662</v>
      </c>
      <c r="L245" s="1" t="s">
        <v>1207</v>
      </c>
      <c r="M245" s="1" t="s">
        <v>147</v>
      </c>
      <c r="N245" s="1" t="s">
        <v>147</v>
      </c>
      <c r="O245" s="1" t="s">
        <v>147</v>
      </c>
      <c r="P245" s="5">
        <v>42916</v>
      </c>
      <c r="Q245" s="5">
        <v>42916</v>
      </c>
      <c r="R245" s="5">
        <v>42920</v>
      </c>
      <c r="S245" s="5">
        <v>42920</v>
      </c>
      <c r="T245" s="5">
        <v>42922</v>
      </c>
      <c r="U245" s="7">
        <v>42923.575995370367</v>
      </c>
      <c r="V245" s="4">
        <v>2</v>
      </c>
      <c r="W245" s="6">
        <v>20478</v>
      </c>
      <c r="X245" s="1" t="s">
        <v>983</v>
      </c>
      <c r="Y245" s="4">
        <v>9200</v>
      </c>
      <c r="Z245" s="6">
        <v>2.23</v>
      </c>
      <c r="AA245" s="1" t="s">
        <v>1319</v>
      </c>
      <c r="AB245" s="1" t="s">
        <v>540</v>
      </c>
      <c r="AC245" s="1" t="s">
        <v>1202</v>
      </c>
      <c r="AD245" s="1" t="s">
        <v>704</v>
      </c>
      <c r="AE245" s="1" t="s">
        <v>987</v>
      </c>
      <c r="AF245" s="6">
        <v>16773.45</v>
      </c>
      <c r="AG245" s="6">
        <v>1.8232010869565218</v>
      </c>
      <c r="AH245" s="1" t="s">
        <v>1146</v>
      </c>
      <c r="AI245" s="6">
        <v>3704.5499999999993</v>
      </c>
      <c r="AJ245" s="6">
        <v>0.18090389686492819</v>
      </c>
      <c r="AK245" s="1" t="s">
        <v>1146</v>
      </c>
      <c r="AL245" s="1" t="s">
        <v>438</v>
      </c>
      <c r="AM245" s="1" t="s">
        <v>558</v>
      </c>
      <c r="AN245" s="1" t="s">
        <v>88</v>
      </c>
      <c r="AO245" s="6">
        <v>3704.5499999999993</v>
      </c>
      <c r="AP245" s="6">
        <v>0.18090389686492819</v>
      </c>
      <c r="AQ245" s="2" t="str">
        <f>HYPERLINK("https://auction.openprocurement.org/tenders/d1cebef0274e43f29a181d42ed96b49a")</f>
        <v>https://auction.openprocurement.org/tenders/d1cebef0274e43f29a181d42ed96b49a</v>
      </c>
      <c r="AR245" s="7">
        <v>42928.484565850718</v>
      </c>
      <c r="AS245" s="5">
        <v>42930</v>
      </c>
      <c r="AT245" s="5">
        <v>42950</v>
      </c>
      <c r="AU245" s="1" t="s">
        <v>1287</v>
      </c>
      <c r="AV245" s="7">
        <v>42937.584319677735</v>
      </c>
      <c r="AW245" s="1" t="s">
        <v>310</v>
      </c>
      <c r="AX245" s="6">
        <v>16773.45</v>
      </c>
      <c r="AY245" s="5">
        <v>42926</v>
      </c>
      <c r="AZ245" s="5">
        <v>42947</v>
      </c>
      <c r="BA245" s="7">
        <v>43100</v>
      </c>
      <c r="BB245" s="1" t="s">
        <v>1310</v>
      </c>
      <c r="BC245" s="1"/>
      <c r="BD245" s="1" t="s">
        <v>901</v>
      </c>
    </row>
    <row r="246" spans="1:56" hidden="1" x14ac:dyDescent="0.25">
      <c r="A246" s="4">
        <v>241</v>
      </c>
      <c r="B246" s="2" t="str">
        <f>HYPERLINK("https://my.zakupki.prom.ua/remote/dispatcher/state_purchase_view/3282005", "UA-2017-06-09-002265-b")</f>
        <v>UA-2017-06-09-002265-b</v>
      </c>
      <c r="C246" s="2" t="s">
        <v>983</v>
      </c>
      <c r="D246" s="1" t="s">
        <v>811</v>
      </c>
      <c r="E246" s="1" t="s">
        <v>644</v>
      </c>
      <c r="F246" s="1" t="s">
        <v>381</v>
      </c>
      <c r="G246" s="1" t="s">
        <v>883</v>
      </c>
      <c r="H246" s="1" t="s">
        <v>987</v>
      </c>
      <c r="I246" s="1" t="s">
        <v>905</v>
      </c>
      <c r="J246" s="1" t="s">
        <v>158</v>
      </c>
      <c r="K246" s="1" t="s">
        <v>662</v>
      </c>
      <c r="L246" s="1" t="s">
        <v>1207</v>
      </c>
      <c r="M246" s="1" t="s">
        <v>147</v>
      </c>
      <c r="N246" s="1" t="s">
        <v>147</v>
      </c>
      <c r="O246" s="1" t="s">
        <v>147</v>
      </c>
      <c r="P246" s="5">
        <v>42895</v>
      </c>
      <c r="Q246" s="5">
        <v>42895</v>
      </c>
      <c r="R246" s="5">
        <v>42899</v>
      </c>
      <c r="S246" s="5">
        <v>42899</v>
      </c>
      <c r="T246" s="5">
        <v>42901</v>
      </c>
      <c r="U246" s="7">
        <v>42902.665266203701</v>
      </c>
      <c r="V246" s="4">
        <v>2</v>
      </c>
      <c r="W246" s="6">
        <v>8564.48</v>
      </c>
      <c r="X246" s="1" t="s">
        <v>983</v>
      </c>
      <c r="Y246" s="4">
        <v>17</v>
      </c>
      <c r="Z246" s="6">
        <v>503.79</v>
      </c>
      <c r="AA246" s="1" t="s">
        <v>1302</v>
      </c>
      <c r="AB246" s="1" t="s">
        <v>540</v>
      </c>
      <c r="AC246" s="1" t="s">
        <v>1202</v>
      </c>
      <c r="AD246" s="1" t="s">
        <v>704</v>
      </c>
      <c r="AE246" s="1" t="s">
        <v>987</v>
      </c>
      <c r="AF246" s="6">
        <v>6999</v>
      </c>
      <c r="AG246" s="6">
        <v>411.70588235294116</v>
      </c>
      <c r="AH246" s="1" t="s">
        <v>1009</v>
      </c>
      <c r="AI246" s="6">
        <v>1565.4799999999996</v>
      </c>
      <c r="AJ246" s="6">
        <v>0.18278751307726793</v>
      </c>
      <c r="AK246" s="1" t="s">
        <v>1186</v>
      </c>
      <c r="AL246" s="1" t="s">
        <v>281</v>
      </c>
      <c r="AM246" s="1" t="s">
        <v>561</v>
      </c>
      <c r="AN246" s="1" t="s">
        <v>73</v>
      </c>
      <c r="AO246" s="6">
        <v>1564.4799999999996</v>
      </c>
      <c r="AP246" s="6">
        <v>0.18267075175609024</v>
      </c>
      <c r="AQ246" s="2" t="str">
        <f>HYPERLINK("https://auction.openprocurement.org/tenders/92cdd8a204754f14be0865b9deb2be0e")</f>
        <v>https://auction.openprocurement.org/tenders/92cdd8a204754f14be0865b9deb2be0e</v>
      </c>
      <c r="AR246" s="7">
        <v>42905.476032843486</v>
      </c>
      <c r="AS246" s="5">
        <v>42907</v>
      </c>
      <c r="AT246" s="5">
        <v>42929</v>
      </c>
      <c r="AU246" s="1" t="s">
        <v>1287</v>
      </c>
      <c r="AV246" s="7">
        <v>42908.634117247129</v>
      </c>
      <c r="AW246" s="1" t="s">
        <v>289</v>
      </c>
      <c r="AX246" s="6">
        <v>7000</v>
      </c>
      <c r="AY246" s="5">
        <v>42905</v>
      </c>
      <c r="AZ246" s="5">
        <v>42916</v>
      </c>
      <c r="BA246" s="7">
        <v>43100</v>
      </c>
      <c r="BB246" s="1" t="s">
        <v>1310</v>
      </c>
      <c r="BC246" s="1"/>
      <c r="BD246" s="1" t="s">
        <v>901</v>
      </c>
    </row>
    <row r="247" spans="1:56" hidden="1" x14ac:dyDescent="0.25">
      <c r="A247" s="4">
        <v>242</v>
      </c>
      <c r="B247" s="2" t="str">
        <f>HYPERLINK("https://my.zakupki.prom.ua/remote/dispatcher/state_purchase_view/3180846", "UA-2017-05-29-001993-b")</f>
        <v>UA-2017-05-29-001993-b</v>
      </c>
      <c r="C247" s="2" t="s">
        <v>983</v>
      </c>
      <c r="D247" s="1" t="s">
        <v>803</v>
      </c>
      <c r="E247" s="1" t="s">
        <v>960</v>
      </c>
      <c r="F247" s="1" t="s">
        <v>381</v>
      </c>
      <c r="G247" s="1" t="s">
        <v>883</v>
      </c>
      <c r="H247" s="1" t="s">
        <v>987</v>
      </c>
      <c r="I247" s="1" t="s">
        <v>905</v>
      </c>
      <c r="J247" s="1" t="s">
        <v>158</v>
      </c>
      <c r="K247" s="1" t="s">
        <v>662</v>
      </c>
      <c r="L247" s="1" t="s">
        <v>1207</v>
      </c>
      <c r="M247" s="1" t="s">
        <v>147</v>
      </c>
      <c r="N247" s="1" t="s">
        <v>147</v>
      </c>
      <c r="O247" s="1" t="s">
        <v>147</v>
      </c>
      <c r="P247" s="5">
        <v>42884</v>
      </c>
      <c r="Q247" s="5">
        <v>42884</v>
      </c>
      <c r="R247" s="5">
        <v>42886</v>
      </c>
      <c r="S247" s="5">
        <v>42886</v>
      </c>
      <c r="T247" s="5">
        <v>42890</v>
      </c>
      <c r="U247" s="1" t="s">
        <v>1285</v>
      </c>
      <c r="V247" s="4">
        <v>1</v>
      </c>
      <c r="W247" s="6">
        <v>3507.8</v>
      </c>
      <c r="X247" s="1" t="s">
        <v>983</v>
      </c>
      <c r="Y247" s="4">
        <v>35</v>
      </c>
      <c r="Z247" s="6">
        <v>100.22</v>
      </c>
      <c r="AA247" s="1" t="s">
        <v>1319</v>
      </c>
      <c r="AB247" s="1" t="s">
        <v>540</v>
      </c>
      <c r="AC247" s="1" t="s">
        <v>1202</v>
      </c>
      <c r="AD247" s="1" t="s">
        <v>704</v>
      </c>
      <c r="AE247" s="1" t="s">
        <v>987</v>
      </c>
      <c r="AF247" s="6">
        <v>3507.73</v>
      </c>
      <c r="AG247" s="6">
        <v>100.22085714285714</v>
      </c>
      <c r="AH247" s="1" t="s">
        <v>1186</v>
      </c>
      <c r="AI247" s="6">
        <v>7.0000000000163709E-2</v>
      </c>
      <c r="AJ247" s="6">
        <v>1.9955527681214352E-5</v>
      </c>
      <c r="AK247" s="1" t="s">
        <v>1186</v>
      </c>
      <c r="AL247" s="1" t="s">
        <v>281</v>
      </c>
      <c r="AM247" s="1" t="s">
        <v>561</v>
      </c>
      <c r="AN247" s="1" t="s">
        <v>73</v>
      </c>
      <c r="AO247" s="6">
        <v>7.0000000000163709E-2</v>
      </c>
      <c r="AP247" s="6">
        <v>1.9955527681214352E-5</v>
      </c>
      <c r="AQ247" s="2"/>
      <c r="AR247" s="7">
        <v>42892.394960635938</v>
      </c>
      <c r="AS247" s="5">
        <v>42894</v>
      </c>
      <c r="AT247" s="5">
        <v>42916</v>
      </c>
      <c r="AU247" s="1" t="s">
        <v>1287</v>
      </c>
      <c r="AV247" s="7">
        <v>42894.478599044131</v>
      </c>
      <c r="AW247" s="1" t="s">
        <v>252</v>
      </c>
      <c r="AX247" s="6">
        <v>3507.73</v>
      </c>
      <c r="AY247" s="5">
        <v>42892</v>
      </c>
      <c r="AZ247" s="5">
        <v>42916</v>
      </c>
      <c r="BA247" s="7">
        <v>43100</v>
      </c>
      <c r="BB247" s="1" t="s">
        <v>1310</v>
      </c>
      <c r="BC247" s="1"/>
      <c r="BD247" s="1" t="s">
        <v>901</v>
      </c>
    </row>
    <row r="248" spans="1:56" hidden="1" x14ac:dyDescent="0.25">
      <c r="A248" s="4">
        <v>243</v>
      </c>
      <c r="B248" s="2" t="str">
        <f>HYPERLINK("https://my.zakupki.prom.ua/remote/dispatcher/state_purchase_view/3180827", "UA-2017-05-29-001973-b")</f>
        <v>UA-2017-05-29-001973-b</v>
      </c>
      <c r="C248" s="2" t="s">
        <v>983</v>
      </c>
      <c r="D248" s="1" t="s">
        <v>798</v>
      </c>
      <c r="E248" s="1" t="s">
        <v>660</v>
      </c>
      <c r="F248" s="1" t="s">
        <v>381</v>
      </c>
      <c r="G248" s="1" t="s">
        <v>883</v>
      </c>
      <c r="H248" s="1" t="s">
        <v>987</v>
      </c>
      <c r="I248" s="1" t="s">
        <v>905</v>
      </c>
      <c r="J248" s="1" t="s">
        <v>158</v>
      </c>
      <c r="K248" s="1" t="s">
        <v>662</v>
      </c>
      <c r="L248" s="1" t="s">
        <v>1207</v>
      </c>
      <c r="M248" s="1" t="s">
        <v>147</v>
      </c>
      <c r="N248" s="1" t="s">
        <v>147</v>
      </c>
      <c r="O248" s="1" t="s">
        <v>147</v>
      </c>
      <c r="P248" s="5">
        <v>42884</v>
      </c>
      <c r="Q248" s="5">
        <v>42884</v>
      </c>
      <c r="R248" s="5">
        <v>42886</v>
      </c>
      <c r="S248" s="5">
        <v>42886</v>
      </c>
      <c r="T248" s="5">
        <v>42890</v>
      </c>
      <c r="U248" s="1" t="s">
        <v>1285</v>
      </c>
      <c r="V248" s="4">
        <v>1</v>
      </c>
      <c r="W248" s="6">
        <v>6601.84</v>
      </c>
      <c r="X248" s="1" t="s">
        <v>983</v>
      </c>
      <c r="Y248" s="4">
        <v>14</v>
      </c>
      <c r="Z248" s="6">
        <v>471.56</v>
      </c>
      <c r="AA248" s="1" t="s">
        <v>1319</v>
      </c>
      <c r="AB248" s="1" t="s">
        <v>540</v>
      </c>
      <c r="AC248" s="1" t="s">
        <v>1202</v>
      </c>
      <c r="AD248" s="1" t="s">
        <v>704</v>
      </c>
      <c r="AE248" s="1" t="s">
        <v>987</v>
      </c>
      <c r="AF248" s="6">
        <v>6464.36</v>
      </c>
      <c r="AG248" s="6">
        <v>461.73999999999995</v>
      </c>
      <c r="AH248" s="1" t="s">
        <v>1177</v>
      </c>
      <c r="AI248" s="6">
        <v>137.48000000000047</v>
      </c>
      <c r="AJ248" s="6">
        <v>2.0824497412842553E-2</v>
      </c>
      <c r="AK248" s="1" t="s">
        <v>1177</v>
      </c>
      <c r="AL248" s="1" t="s">
        <v>432</v>
      </c>
      <c r="AM248" s="1" t="s">
        <v>552</v>
      </c>
      <c r="AN248" s="1" t="s">
        <v>95</v>
      </c>
      <c r="AO248" s="6">
        <v>137.48000000000047</v>
      </c>
      <c r="AP248" s="6">
        <v>2.0824497412842553E-2</v>
      </c>
      <c r="AQ248" s="2"/>
      <c r="AR248" s="7">
        <v>42892.395778477607</v>
      </c>
      <c r="AS248" s="5">
        <v>42894</v>
      </c>
      <c r="AT248" s="5">
        <v>42916</v>
      </c>
      <c r="AU248" s="1" t="s">
        <v>1287</v>
      </c>
      <c r="AV248" s="7">
        <v>42895.658115157188</v>
      </c>
      <c r="AW248" s="1" t="s">
        <v>272</v>
      </c>
      <c r="AX248" s="6">
        <v>6464.36</v>
      </c>
      <c r="AY248" s="5">
        <v>42893</v>
      </c>
      <c r="AZ248" s="5">
        <v>42917</v>
      </c>
      <c r="BA248" s="7">
        <v>43100</v>
      </c>
      <c r="BB248" s="1" t="s">
        <v>1310</v>
      </c>
      <c r="BC248" s="1"/>
      <c r="BD248" s="1" t="s">
        <v>901</v>
      </c>
    </row>
    <row r="249" spans="1:56" hidden="1" x14ac:dyDescent="0.25">
      <c r="A249" s="4">
        <v>244</v>
      </c>
      <c r="B249" s="2" t="str">
        <f>HYPERLINK("https://my.zakupki.prom.ua/remote/dispatcher/state_purchase_view/3074362", "UA-2017-05-17-001211-b")</f>
        <v>UA-2017-05-17-001211-b</v>
      </c>
      <c r="C249" s="2" t="s">
        <v>983</v>
      </c>
      <c r="D249" s="1" t="s">
        <v>742</v>
      </c>
      <c r="E249" s="1" t="s">
        <v>657</v>
      </c>
      <c r="F249" s="1" t="s">
        <v>377</v>
      </c>
      <c r="G249" s="1" t="s">
        <v>883</v>
      </c>
      <c r="H249" s="1" t="s">
        <v>987</v>
      </c>
      <c r="I249" s="1" t="s">
        <v>905</v>
      </c>
      <c r="J249" s="1" t="s">
        <v>158</v>
      </c>
      <c r="K249" s="1" t="s">
        <v>662</v>
      </c>
      <c r="L249" s="1" t="s">
        <v>1207</v>
      </c>
      <c r="M249" s="1" t="s">
        <v>147</v>
      </c>
      <c r="N249" s="1" t="s">
        <v>147</v>
      </c>
      <c r="O249" s="1" t="s">
        <v>147</v>
      </c>
      <c r="P249" s="5">
        <v>42872</v>
      </c>
      <c r="Q249" s="5">
        <v>42872</v>
      </c>
      <c r="R249" s="5">
        <v>42878</v>
      </c>
      <c r="S249" s="5">
        <v>42878</v>
      </c>
      <c r="T249" s="5">
        <v>42881</v>
      </c>
      <c r="U249" s="7">
        <v>42884.479050925926</v>
      </c>
      <c r="V249" s="4">
        <v>3</v>
      </c>
      <c r="W249" s="6">
        <v>20388.599999999999</v>
      </c>
      <c r="X249" s="1" t="s">
        <v>983</v>
      </c>
      <c r="Y249" s="4">
        <v>5</v>
      </c>
      <c r="Z249" s="6">
        <v>4077.72</v>
      </c>
      <c r="AA249" s="1" t="s">
        <v>1315</v>
      </c>
      <c r="AB249" s="1" t="s">
        <v>540</v>
      </c>
      <c r="AC249" s="1" t="s">
        <v>1202</v>
      </c>
      <c r="AD249" s="1" t="s">
        <v>704</v>
      </c>
      <c r="AE249" s="1" t="s">
        <v>987</v>
      </c>
      <c r="AF249" s="6">
        <v>18776.36</v>
      </c>
      <c r="AG249" s="6">
        <v>3755.2719999999999</v>
      </c>
      <c r="AH249" s="1" t="s">
        <v>1145</v>
      </c>
      <c r="AI249" s="6">
        <v>1612.239999999998</v>
      </c>
      <c r="AJ249" s="6">
        <v>7.9075561833573574E-2</v>
      </c>
      <c r="AK249" s="1" t="s">
        <v>1150</v>
      </c>
      <c r="AL249" s="1" t="s">
        <v>409</v>
      </c>
      <c r="AM249" s="1" t="s">
        <v>630</v>
      </c>
      <c r="AN249" s="1" t="s">
        <v>82</v>
      </c>
      <c r="AO249" s="6">
        <v>1595.0099999999984</v>
      </c>
      <c r="AP249" s="6">
        <v>7.8230481739795701E-2</v>
      </c>
      <c r="AQ249" s="2" t="str">
        <f>HYPERLINK("https://auction.openprocurement.org/tenders/f2fb006771f14c829d2836f855c64418")</f>
        <v>https://auction.openprocurement.org/tenders/f2fb006771f14c829d2836f855c64418</v>
      </c>
      <c r="AR249" s="7">
        <v>42885.415150194407</v>
      </c>
      <c r="AS249" s="5">
        <v>42887</v>
      </c>
      <c r="AT249" s="5">
        <v>42908</v>
      </c>
      <c r="AU249" s="1" t="s">
        <v>1287</v>
      </c>
      <c r="AV249" s="7">
        <v>42894.47547323905</v>
      </c>
      <c r="AW249" s="1" t="s">
        <v>461</v>
      </c>
      <c r="AX249" s="6">
        <v>18793.59</v>
      </c>
      <c r="AY249" s="5">
        <v>42887</v>
      </c>
      <c r="AZ249" s="5">
        <v>42916</v>
      </c>
      <c r="BA249" s="7">
        <v>43100</v>
      </c>
      <c r="BB249" s="1" t="s">
        <v>1310</v>
      </c>
      <c r="BC249" s="1"/>
      <c r="BD249" s="1" t="s">
        <v>901</v>
      </c>
    </row>
    <row r="250" spans="1:56" hidden="1" x14ac:dyDescent="0.25">
      <c r="A250" s="4">
        <v>245</v>
      </c>
      <c r="B250" s="2" t="str">
        <f>HYPERLINK("https://my.zakupki.prom.ua/remote/dispatcher/state_purchase_view/3074235", "UA-2017-05-17-001186-b")</f>
        <v>UA-2017-05-17-001186-b</v>
      </c>
      <c r="C250" s="2" t="s">
        <v>983</v>
      </c>
      <c r="D250" s="1" t="s">
        <v>737</v>
      </c>
      <c r="E250" s="1" t="s">
        <v>653</v>
      </c>
      <c r="F250" s="1" t="s">
        <v>372</v>
      </c>
      <c r="G250" s="1" t="s">
        <v>883</v>
      </c>
      <c r="H250" s="1" t="s">
        <v>987</v>
      </c>
      <c r="I250" s="1" t="s">
        <v>905</v>
      </c>
      <c r="J250" s="1" t="s">
        <v>158</v>
      </c>
      <c r="K250" s="1" t="s">
        <v>662</v>
      </c>
      <c r="L250" s="1" t="s">
        <v>1207</v>
      </c>
      <c r="M250" s="1" t="s">
        <v>147</v>
      </c>
      <c r="N250" s="1" t="s">
        <v>147</v>
      </c>
      <c r="O250" s="1" t="s">
        <v>147</v>
      </c>
      <c r="P250" s="5">
        <v>42872</v>
      </c>
      <c r="Q250" s="5">
        <v>42872</v>
      </c>
      <c r="R250" s="5">
        <v>42878</v>
      </c>
      <c r="S250" s="5">
        <v>42878</v>
      </c>
      <c r="T250" s="5">
        <v>42881</v>
      </c>
      <c r="U250" s="7">
        <v>42884.487893518519</v>
      </c>
      <c r="V250" s="4">
        <v>2</v>
      </c>
      <c r="W250" s="6">
        <v>8593.98</v>
      </c>
      <c r="X250" s="1" t="s">
        <v>983</v>
      </c>
      <c r="Y250" s="4">
        <v>32</v>
      </c>
      <c r="Z250" s="6">
        <v>268.56</v>
      </c>
      <c r="AA250" s="1" t="s">
        <v>1315</v>
      </c>
      <c r="AB250" s="1" t="s">
        <v>540</v>
      </c>
      <c r="AC250" s="1" t="s">
        <v>1202</v>
      </c>
      <c r="AD250" s="1" t="s">
        <v>704</v>
      </c>
      <c r="AE250" s="1" t="s">
        <v>987</v>
      </c>
      <c r="AF250" s="6">
        <v>4799.97</v>
      </c>
      <c r="AG250" s="6">
        <v>149.99906250000001</v>
      </c>
      <c r="AH250" s="1" t="s">
        <v>1242</v>
      </c>
      <c r="AI250" s="6">
        <v>3794.0099999999993</v>
      </c>
      <c r="AJ250" s="6">
        <v>0.44147298457757633</v>
      </c>
      <c r="AK250" s="1" t="s">
        <v>1242</v>
      </c>
      <c r="AL250" s="1" t="s">
        <v>297</v>
      </c>
      <c r="AM250" s="1" t="s">
        <v>637</v>
      </c>
      <c r="AN250" s="1" t="s">
        <v>127</v>
      </c>
      <c r="AO250" s="6">
        <v>3794.0099999999993</v>
      </c>
      <c r="AP250" s="6">
        <v>0.44147298457757633</v>
      </c>
      <c r="AQ250" s="2" t="str">
        <f>HYPERLINK("https://auction.openprocurement.org/tenders/4273481e9e5c450b81c82b43980ddb0c")</f>
        <v>https://auction.openprocurement.org/tenders/4273481e9e5c450b81c82b43980ddb0c</v>
      </c>
      <c r="AR250" s="7">
        <v>42885.440548235092</v>
      </c>
      <c r="AS250" s="5">
        <v>42887</v>
      </c>
      <c r="AT250" s="5">
        <v>42908</v>
      </c>
      <c r="AU250" s="1" t="s">
        <v>1287</v>
      </c>
      <c r="AV250" s="7">
        <v>42892.586562051663</v>
      </c>
      <c r="AW250" s="1" t="s">
        <v>240</v>
      </c>
      <c r="AX250" s="6">
        <v>4799.97</v>
      </c>
      <c r="AY250" s="5">
        <v>42887</v>
      </c>
      <c r="AZ250" s="5">
        <v>42916</v>
      </c>
      <c r="BA250" s="7">
        <v>43100</v>
      </c>
      <c r="BB250" s="1" t="s">
        <v>1310</v>
      </c>
      <c r="BC250" s="1"/>
      <c r="BD250" s="1" t="s">
        <v>901</v>
      </c>
    </row>
    <row r="251" spans="1:56" hidden="1" x14ac:dyDescent="0.25">
      <c r="A251" s="4">
        <v>246</v>
      </c>
      <c r="B251" s="2" t="str">
        <f>HYPERLINK("https://my.zakupki.prom.ua/remote/dispatcher/state_purchase_view/3074218", "UA-2017-05-17-001165-b")</f>
        <v>UA-2017-05-17-001165-b</v>
      </c>
      <c r="C251" s="2" t="s">
        <v>983</v>
      </c>
      <c r="D251" s="1" t="s">
        <v>752</v>
      </c>
      <c r="E251" s="1" t="s">
        <v>691</v>
      </c>
      <c r="F251" s="1" t="s">
        <v>355</v>
      </c>
      <c r="G251" s="1" t="s">
        <v>883</v>
      </c>
      <c r="H251" s="1" t="s">
        <v>987</v>
      </c>
      <c r="I251" s="1" t="s">
        <v>905</v>
      </c>
      <c r="J251" s="1" t="s">
        <v>158</v>
      </c>
      <c r="K251" s="1" t="s">
        <v>662</v>
      </c>
      <c r="L251" s="1" t="s">
        <v>1207</v>
      </c>
      <c r="M251" s="1" t="s">
        <v>147</v>
      </c>
      <c r="N251" s="1" t="s">
        <v>147</v>
      </c>
      <c r="O251" s="1" t="s">
        <v>147</v>
      </c>
      <c r="P251" s="5">
        <v>42872</v>
      </c>
      <c r="Q251" s="5">
        <v>42872</v>
      </c>
      <c r="R251" s="5">
        <v>42878</v>
      </c>
      <c r="S251" s="5">
        <v>42878</v>
      </c>
      <c r="T251" s="5">
        <v>42881</v>
      </c>
      <c r="U251" s="7">
        <v>42884.469490740739</v>
      </c>
      <c r="V251" s="4">
        <v>4</v>
      </c>
      <c r="W251" s="6">
        <v>13073</v>
      </c>
      <c r="X251" s="1" t="s">
        <v>983</v>
      </c>
      <c r="Y251" s="4">
        <v>2900</v>
      </c>
      <c r="Z251" s="6">
        <v>4.51</v>
      </c>
      <c r="AA251" s="1" t="s">
        <v>1319</v>
      </c>
      <c r="AB251" s="1" t="s">
        <v>540</v>
      </c>
      <c r="AC251" s="1" t="s">
        <v>1202</v>
      </c>
      <c r="AD251" s="1" t="s">
        <v>704</v>
      </c>
      <c r="AE251" s="1" t="s">
        <v>987</v>
      </c>
      <c r="AF251" s="6">
        <v>5849.4</v>
      </c>
      <c r="AG251" s="6">
        <v>2.0170344827586204</v>
      </c>
      <c r="AH251" s="1" t="s">
        <v>1181</v>
      </c>
      <c r="AI251" s="6">
        <v>7223.6</v>
      </c>
      <c r="AJ251" s="6">
        <v>0.5525587087891074</v>
      </c>
      <c r="AK251" s="1" t="s">
        <v>1181</v>
      </c>
      <c r="AL251" s="1" t="s">
        <v>438</v>
      </c>
      <c r="AM251" s="1" t="s">
        <v>573</v>
      </c>
      <c r="AN251" s="1" t="s">
        <v>87</v>
      </c>
      <c r="AO251" s="6">
        <v>7223.6</v>
      </c>
      <c r="AP251" s="6">
        <v>0.5525587087891074</v>
      </c>
      <c r="AQ251" s="2" t="str">
        <f>HYPERLINK("https://auction.openprocurement.org/tenders/34ba243f38ef47b8a54793fa5df18995")</f>
        <v>https://auction.openprocurement.org/tenders/34ba243f38ef47b8a54793fa5df18995</v>
      </c>
      <c r="AR251" s="7">
        <v>42885.445646013912</v>
      </c>
      <c r="AS251" s="5">
        <v>42887</v>
      </c>
      <c r="AT251" s="5">
        <v>42908</v>
      </c>
      <c r="AU251" s="1" t="s">
        <v>1287</v>
      </c>
      <c r="AV251" s="7">
        <v>42894.613093925152</v>
      </c>
      <c r="AW251" s="1" t="s">
        <v>263</v>
      </c>
      <c r="AX251" s="6">
        <v>5849.4</v>
      </c>
      <c r="AY251" s="5">
        <v>42887</v>
      </c>
      <c r="AZ251" s="5">
        <v>42916</v>
      </c>
      <c r="BA251" s="7">
        <v>43100</v>
      </c>
      <c r="BB251" s="1" t="s">
        <v>1310</v>
      </c>
      <c r="BC251" s="1"/>
      <c r="BD251" s="1" t="s">
        <v>901</v>
      </c>
    </row>
    <row r="252" spans="1:56" hidden="1" x14ac:dyDescent="0.25">
      <c r="A252" s="4">
        <v>247</v>
      </c>
      <c r="B252" s="2" t="str">
        <f>HYPERLINK("https://my.zakupki.prom.ua/remote/dispatcher/state_purchase_view/3073361", "UA-2017-05-17-001006-b")</f>
        <v>UA-2017-05-17-001006-b</v>
      </c>
      <c r="C252" s="2" t="s">
        <v>983</v>
      </c>
      <c r="D252" s="1" t="s">
        <v>718</v>
      </c>
      <c r="E252" s="1" t="s">
        <v>1106</v>
      </c>
      <c r="F252" s="1" t="s">
        <v>276</v>
      </c>
      <c r="G252" s="1" t="s">
        <v>883</v>
      </c>
      <c r="H252" s="1" t="s">
        <v>987</v>
      </c>
      <c r="I252" s="1" t="s">
        <v>905</v>
      </c>
      <c r="J252" s="1" t="s">
        <v>158</v>
      </c>
      <c r="K252" s="1" t="s">
        <v>662</v>
      </c>
      <c r="L252" s="1" t="s">
        <v>1207</v>
      </c>
      <c r="M252" s="1" t="s">
        <v>147</v>
      </c>
      <c r="N252" s="1" t="s">
        <v>147</v>
      </c>
      <c r="O252" s="1" t="s">
        <v>147</v>
      </c>
      <c r="P252" s="5">
        <v>42872</v>
      </c>
      <c r="Q252" s="5">
        <v>42872</v>
      </c>
      <c r="R252" s="5">
        <v>42878</v>
      </c>
      <c r="S252" s="5">
        <v>42878</v>
      </c>
      <c r="T252" s="5">
        <v>42881</v>
      </c>
      <c r="U252" s="1" t="s">
        <v>1285</v>
      </c>
      <c r="V252" s="4">
        <v>1</v>
      </c>
      <c r="W252" s="6">
        <v>3718</v>
      </c>
      <c r="X252" s="1" t="s">
        <v>983</v>
      </c>
      <c r="Y252" s="4">
        <v>200</v>
      </c>
      <c r="Z252" s="6">
        <v>18.59</v>
      </c>
      <c r="AA252" s="1" t="s">
        <v>1316</v>
      </c>
      <c r="AB252" s="1" t="s">
        <v>540</v>
      </c>
      <c r="AC252" s="1" t="s">
        <v>1202</v>
      </c>
      <c r="AD252" s="1" t="s">
        <v>704</v>
      </c>
      <c r="AE252" s="1" t="s">
        <v>987</v>
      </c>
      <c r="AF252" s="6">
        <v>3717.18</v>
      </c>
      <c r="AG252" s="6">
        <v>18.585899999999999</v>
      </c>
      <c r="AH252" s="1" t="s">
        <v>1144</v>
      </c>
      <c r="AI252" s="6">
        <v>0.82000000000016371</v>
      </c>
      <c r="AJ252" s="6">
        <v>2.2054868208718766E-4</v>
      </c>
      <c r="AK252" s="1" t="s">
        <v>1144</v>
      </c>
      <c r="AL252" s="1" t="s">
        <v>422</v>
      </c>
      <c r="AM252" s="1" t="s">
        <v>247</v>
      </c>
      <c r="AN252" s="1" t="s">
        <v>128</v>
      </c>
      <c r="AO252" s="6">
        <v>0.82000000000016371</v>
      </c>
      <c r="AP252" s="6">
        <v>2.2054868208718766E-4</v>
      </c>
      <c r="AQ252" s="2"/>
      <c r="AR252" s="7">
        <v>42884.486087188088</v>
      </c>
      <c r="AS252" s="5">
        <v>42886</v>
      </c>
      <c r="AT252" s="5">
        <v>42908</v>
      </c>
      <c r="AU252" s="1" t="s">
        <v>1287</v>
      </c>
      <c r="AV252" s="7">
        <v>42888.529309142075</v>
      </c>
      <c r="AW252" s="1" t="s">
        <v>529</v>
      </c>
      <c r="AX252" s="6">
        <v>3717.18</v>
      </c>
      <c r="AY252" s="5">
        <v>42887</v>
      </c>
      <c r="AZ252" s="5">
        <v>42916</v>
      </c>
      <c r="BA252" s="7">
        <v>43100</v>
      </c>
      <c r="BB252" s="1" t="s">
        <v>1310</v>
      </c>
      <c r="BC252" s="1"/>
      <c r="BD252" s="1" t="s">
        <v>901</v>
      </c>
    </row>
    <row r="253" spans="1:56" hidden="1" x14ac:dyDescent="0.25">
      <c r="A253" s="4">
        <v>248</v>
      </c>
      <c r="B253" s="2" t="str">
        <f>HYPERLINK("https://my.zakupki.prom.ua/remote/dispatcher/state_purchase_view/3073041", "UA-2017-05-17-000878-b")</f>
        <v>UA-2017-05-17-000878-b</v>
      </c>
      <c r="C253" s="2" t="s">
        <v>983</v>
      </c>
      <c r="D253" s="1" t="s">
        <v>758</v>
      </c>
      <c r="E253" s="1" t="s">
        <v>1035</v>
      </c>
      <c r="F253" s="1" t="s">
        <v>284</v>
      </c>
      <c r="G253" s="1" t="s">
        <v>883</v>
      </c>
      <c r="H253" s="1" t="s">
        <v>987</v>
      </c>
      <c r="I253" s="1" t="s">
        <v>905</v>
      </c>
      <c r="J253" s="1" t="s">
        <v>158</v>
      </c>
      <c r="K253" s="1" t="s">
        <v>662</v>
      </c>
      <c r="L253" s="1" t="s">
        <v>1207</v>
      </c>
      <c r="M253" s="1" t="s">
        <v>147</v>
      </c>
      <c r="N253" s="1" t="s">
        <v>147</v>
      </c>
      <c r="O253" s="1" t="s">
        <v>147</v>
      </c>
      <c r="P253" s="5">
        <v>42872</v>
      </c>
      <c r="Q253" s="5">
        <v>42872</v>
      </c>
      <c r="R253" s="5">
        <v>42878</v>
      </c>
      <c r="S253" s="5">
        <v>42878</v>
      </c>
      <c r="T253" s="5">
        <v>42881</v>
      </c>
      <c r="U253" s="7">
        <v>42884.612453703703</v>
      </c>
      <c r="V253" s="4">
        <v>3</v>
      </c>
      <c r="W253" s="6">
        <v>11347.14</v>
      </c>
      <c r="X253" s="1" t="s">
        <v>983</v>
      </c>
      <c r="Y253" s="4">
        <v>20</v>
      </c>
      <c r="Z253" s="6">
        <v>567.36</v>
      </c>
      <c r="AA253" s="1" t="s">
        <v>1319</v>
      </c>
      <c r="AB253" s="1" t="s">
        <v>540</v>
      </c>
      <c r="AC253" s="1" t="s">
        <v>1202</v>
      </c>
      <c r="AD253" s="1" t="s">
        <v>704</v>
      </c>
      <c r="AE253" s="1" t="s">
        <v>987</v>
      </c>
      <c r="AF253" s="6">
        <v>9716.67</v>
      </c>
      <c r="AG253" s="6">
        <v>485.83350000000002</v>
      </c>
      <c r="AH253" s="1" t="s">
        <v>1141</v>
      </c>
      <c r="AI253" s="6">
        <v>1630.4699999999993</v>
      </c>
      <c r="AJ253" s="6">
        <v>0.14368995182927147</v>
      </c>
      <c r="AK253" s="1" t="s">
        <v>1141</v>
      </c>
      <c r="AL253" s="1" t="s">
        <v>431</v>
      </c>
      <c r="AM253" s="1" t="s">
        <v>623</v>
      </c>
      <c r="AN253" s="1" t="s">
        <v>124</v>
      </c>
      <c r="AO253" s="6">
        <v>1630.4699999999993</v>
      </c>
      <c r="AP253" s="6">
        <v>0.14368995182927147</v>
      </c>
      <c r="AQ253" s="2" t="str">
        <f>HYPERLINK("https://auction.openprocurement.org/tenders/96d62aa2312942aeaaaa344935bc128c")</f>
        <v>https://auction.openprocurement.org/tenders/96d62aa2312942aeaaaa344935bc128c</v>
      </c>
      <c r="AR253" s="7">
        <v>42885.449612635864</v>
      </c>
      <c r="AS253" s="5">
        <v>42887</v>
      </c>
      <c r="AT253" s="5">
        <v>42908</v>
      </c>
      <c r="AU253" s="1" t="s">
        <v>1287</v>
      </c>
      <c r="AV253" s="7">
        <v>42888.501476265905</v>
      </c>
      <c r="AW253" s="1" t="s">
        <v>232</v>
      </c>
      <c r="AX253" s="6">
        <v>9716.67</v>
      </c>
      <c r="AY253" s="5">
        <v>42887</v>
      </c>
      <c r="AZ253" s="5">
        <v>42916</v>
      </c>
      <c r="BA253" s="7">
        <v>43100</v>
      </c>
      <c r="BB253" s="1" t="s">
        <v>1310</v>
      </c>
      <c r="BC253" s="1"/>
      <c r="BD253" s="1" t="s">
        <v>901</v>
      </c>
    </row>
    <row r="254" spans="1:56" hidden="1" x14ac:dyDescent="0.25">
      <c r="A254" s="4">
        <v>249</v>
      </c>
      <c r="B254" s="2" t="str">
        <f>HYPERLINK("https://my.zakupki.prom.ua/remote/dispatcher/state_purchase_view/2900877", "UA-2017-04-24-000548-b")</f>
        <v>UA-2017-04-24-000548-b</v>
      </c>
      <c r="C254" s="2" t="s">
        <v>983</v>
      </c>
      <c r="D254" s="1" t="s">
        <v>717</v>
      </c>
      <c r="E254" s="1" t="s">
        <v>669</v>
      </c>
      <c r="F254" s="1" t="s">
        <v>168</v>
      </c>
      <c r="G254" s="1" t="s">
        <v>883</v>
      </c>
      <c r="H254" s="1" t="s">
        <v>987</v>
      </c>
      <c r="I254" s="1" t="s">
        <v>905</v>
      </c>
      <c r="J254" s="1" t="s">
        <v>158</v>
      </c>
      <c r="K254" s="1" t="s">
        <v>662</v>
      </c>
      <c r="L254" s="1" t="s">
        <v>1207</v>
      </c>
      <c r="M254" s="1" t="s">
        <v>147</v>
      </c>
      <c r="N254" s="1" t="s">
        <v>147</v>
      </c>
      <c r="O254" s="1" t="s">
        <v>147</v>
      </c>
      <c r="P254" s="5">
        <v>42849</v>
      </c>
      <c r="Q254" s="5">
        <v>42849</v>
      </c>
      <c r="R254" s="5">
        <v>42851</v>
      </c>
      <c r="S254" s="5">
        <v>42851</v>
      </c>
      <c r="T254" s="5">
        <v>42858</v>
      </c>
      <c r="U254" s="1" t="s">
        <v>1285</v>
      </c>
      <c r="V254" s="4">
        <v>1</v>
      </c>
      <c r="W254" s="6">
        <v>5973.6</v>
      </c>
      <c r="X254" s="1" t="s">
        <v>983</v>
      </c>
      <c r="Y254" s="4">
        <v>240</v>
      </c>
      <c r="Z254" s="6">
        <v>24.89</v>
      </c>
      <c r="AA254" s="1" t="s">
        <v>1299</v>
      </c>
      <c r="AB254" s="1" t="s">
        <v>540</v>
      </c>
      <c r="AC254" s="1" t="s">
        <v>1202</v>
      </c>
      <c r="AD254" s="1" t="s">
        <v>704</v>
      </c>
      <c r="AE254" s="1" t="s">
        <v>987</v>
      </c>
      <c r="AF254" s="6">
        <v>5509.44</v>
      </c>
      <c r="AG254" s="6">
        <v>22.956</v>
      </c>
      <c r="AH254" s="1" t="s">
        <v>1152</v>
      </c>
      <c r="AI254" s="6">
        <v>464.16000000000076</v>
      </c>
      <c r="AJ254" s="6">
        <v>7.7701888308557773E-2</v>
      </c>
      <c r="AK254" s="1" t="s">
        <v>1152</v>
      </c>
      <c r="AL254" s="1" t="s">
        <v>448</v>
      </c>
      <c r="AM254" s="1" t="s">
        <v>160</v>
      </c>
      <c r="AN254" s="1" t="s">
        <v>51</v>
      </c>
      <c r="AO254" s="6">
        <v>464.16000000000076</v>
      </c>
      <c r="AP254" s="6">
        <v>7.7701888308557773E-2</v>
      </c>
      <c r="AQ254" s="2"/>
      <c r="AR254" s="7">
        <v>42859.49223979345</v>
      </c>
      <c r="AS254" s="5">
        <v>42865</v>
      </c>
      <c r="AT254" s="5">
        <v>42881</v>
      </c>
      <c r="AU254" s="1" t="s">
        <v>1287</v>
      </c>
      <c r="AV254" s="7">
        <v>42870.683892505032</v>
      </c>
      <c r="AW254" s="1" t="s">
        <v>161</v>
      </c>
      <c r="AX254" s="6">
        <v>5509.44</v>
      </c>
      <c r="AY254" s="5">
        <v>42860</v>
      </c>
      <c r="AZ254" s="5">
        <v>42917</v>
      </c>
      <c r="BA254" s="7">
        <v>43100</v>
      </c>
      <c r="BB254" s="1" t="s">
        <v>1310</v>
      </c>
      <c r="BC254" s="1"/>
      <c r="BD254" s="1" t="s">
        <v>901</v>
      </c>
    </row>
    <row r="255" spans="1:56" hidden="1" x14ac:dyDescent="0.25">
      <c r="A255" s="4">
        <v>250</v>
      </c>
      <c r="B255" s="2" t="str">
        <f>HYPERLINK("https://my.zakupki.prom.ua/remote/dispatcher/state_purchase_view/2888181", "UA-2017-04-21-000950-b")</f>
        <v>UA-2017-04-21-000950-b</v>
      </c>
      <c r="C255" s="2" t="s">
        <v>983</v>
      </c>
      <c r="D255" s="1" t="s">
        <v>923</v>
      </c>
      <c r="E255" s="1" t="s">
        <v>645</v>
      </c>
      <c r="F255" s="1" t="s">
        <v>504</v>
      </c>
      <c r="G255" s="1" t="s">
        <v>883</v>
      </c>
      <c r="H255" s="1" t="s">
        <v>987</v>
      </c>
      <c r="I255" s="1" t="s">
        <v>905</v>
      </c>
      <c r="J255" s="1" t="s">
        <v>158</v>
      </c>
      <c r="K255" s="1" t="s">
        <v>662</v>
      </c>
      <c r="L255" s="1" t="s">
        <v>1207</v>
      </c>
      <c r="M255" s="1" t="s">
        <v>147</v>
      </c>
      <c r="N255" s="1" t="s">
        <v>147</v>
      </c>
      <c r="O255" s="1" t="s">
        <v>147</v>
      </c>
      <c r="P255" s="5">
        <v>42846</v>
      </c>
      <c r="Q255" s="5">
        <v>42846</v>
      </c>
      <c r="R255" s="5">
        <v>42851</v>
      </c>
      <c r="S255" s="5">
        <v>42851</v>
      </c>
      <c r="T255" s="5">
        <v>42853</v>
      </c>
      <c r="U255" s="1" t="s">
        <v>1285</v>
      </c>
      <c r="V255" s="4">
        <v>1</v>
      </c>
      <c r="W255" s="6">
        <v>9175.44</v>
      </c>
      <c r="X255" s="1" t="s">
        <v>983</v>
      </c>
      <c r="Y255" s="4">
        <v>16</v>
      </c>
      <c r="Z255" s="6">
        <v>573.47</v>
      </c>
      <c r="AA255" s="1" t="s">
        <v>1307</v>
      </c>
      <c r="AB255" s="1" t="s">
        <v>540</v>
      </c>
      <c r="AC255" s="1" t="s">
        <v>1202</v>
      </c>
      <c r="AD255" s="1" t="s">
        <v>704</v>
      </c>
      <c r="AE255" s="1" t="s">
        <v>987</v>
      </c>
      <c r="AF255" s="6">
        <v>9175.44</v>
      </c>
      <c r="AG255" s="6">
        <v>573.46500000000003</v>
      </c>
      <c r="AH255" s="1" t="s">
        <v>867</v>
      </c>
      <c r="AI255" s="1"/>
      <c r="AJ255" s="1"/>
      <c r="AK255" s="1" t="s">
        <v>867</v>
      </c>
      <c r="AL255" s="1" t="s">
        <v>159</v>
      </c>
      <c r="AM255" s="1" t="s">
        <v>491</v>
      </c>
      <c r="AN255" s="1" t="s">
        <v>60</v>
      </c>
      <c r="AO255" s="1"/>
      <c r="AP255" s="1"/>
      <c r="AQ255" s="2"/>
      <c r="AR255" s="7">
        <v>42858.580515327558</v>
      </c>
      <c r="AS255" s="5">
        <v>42860</v>
      </c>
      <c r="AT255" s="5">
        <v>42881</v>
      </c>
      <c r="AU255" s="1" t="s">
        <v>1287</v>
      </c>
      <c r="AV255" s="7">
        <v>42870.678615987315</v>
      </c>
      <c r="AW255" s="1" t="s">
        <v>197</v>
      </c>
      <c r="AX255" s="6">
        <v>9175.44</v>
      </c>
      <c r="AY255" s="5">
        <v>42859</v>
      </c>
      <c r="AZ255" s="5">
        <v>42887</v>
      </c>
      <c r="BA255" s="7">
        <v>43100</v>
      </c>
      <c r="BB255" s="1" t="s">
        <v>1310</v>
      </c>
      <c r="BC255" s="1"/>
      <c r="BD255" s="1" t="s">
        <v>901</v>
      </c>
    </row>
    <row r="256" spans="1:56" hidden="1" x14ac:dyDescent="0.25">
      <c r="A256" s="4">
        <v>251</v>
      </c>
      <c r="B256" s="2" t="str">
        <f>HYPERLINK("https://my.zakupki.prom.ua/remote/dispatcher/state_purchase_view/2831988", "UA-2017-04-13-001773-b")</f>
        <v>UA-2017-04-13-001773-b</v>
      </c>
      <c r="C256" s="2" t="s">
        <v>983</v>
      </c>
      <c r="D256" s="1" t="s">
        <v>802</v>
      </c>
      <c r="E256" s="1" t="s">
        <v>961</v>
      </c>
      <c r="F256" s="1" t="s">
        <v>381</v>
      </c>
      <c r="G256" s="1" t="s">
        <v>883</v>
      </c>
      <c r="H256" s="1" t="s">
        <v>987</v>
      </c>
      <c r="I256" s="1" t="s">
        <v>905</v>
      </c>
      <c r="J256" s="1" t="s">
        <v>158</v>
      </c>
      <c r="K256" s="1" t="s">
        <v>662</v>
      </c>
      <c r="L256" s="1" t="s">
        <v>1207</v>
      </c>
      <c r="M256" s="1" t="s">
        <v>147</v>
      </c>
      <c r="N256" s="1" t="s">
        <v>147</v>
      </c>
      <c r="O256" s="1" t="s">
        <v>147</v>
      </c>
      <c r="P256" s="5">
        <v>42838</v>
      </c>
      <c r="Q256" s="5">
        <v>42838</v>
      </c>
      <c r="R256" s="5">
        <v>42844</v>
      </c>
      <c r="S256" s="5">
        <v>42844</v>
      </c>
      <c r="T256" s="5">
        <v>42846</v>
      </c>
      <c r="U256" s="1" t="s">
        <v>1285</v>
      </c>
      <c r="V256" s="4">
        <v>1</v>
      </c>
      <c r="W256" s="6">
        <v>3744.36</v>
      </c>
      <c r="X256" s="1" t="s">
        <v>983</v>
      </c>
      <c r="Y256" s="4">
        <v>206</v>
      </c>
      <c r="Z256" s="6">
        <v>18.18</v>
      </c>
      <c r="AA256" s="1" t="s">
        <v>1302</v>
      </c>
      <c r="AB256" s="1" t="s">
        <v>540</v>
      </c>
      <c r="AC256" s="1" t="s">
        <v>1202</v>
      </c>
      <c r="AD256" s="1" t="s">
        <v>704</v>
      </c>
      <c r="AE256" s="1" t="s">
        <v>987</v>
      </c>
      <c r="AF256" s="6">
        <v>3572.89</v>
      </c>
      <c r="AG256" s="6">
        <v>17.344126213592233</v>
      </c>
      <c r="AH256" s="1" t="s">
        <v>1192</v>
      </c>
      <c r="AI256" s="6">
        <v>171.47000000000025</v>
      </c>
      <c r="AJ256" s="6">
        <v>4.5794207821897533E-2</v>
      </c>
      <c r="AK256" s="1" t="s">
        <v>1192</v>
      </c>
      <c r="AL256" s="1" t="s">
        <v>281</v>
      </c>
      <c r="AM256" s="1" t="s">
        <v>561</v>
      </c>
      <c r="AN256" s="1" t="s">
        <v>73</v>
      </c>
      <c r="AO256" s="6">
        <v>171.47000000000025</v>
      </c>
      <c r="AP256" s="6">
        <v>4.5794207821897533E-2</v>
      </c>
      <c r="AQ256" s="2"/>
      <c r="AR256" s="7">
        <v>42849.411873617071</v>
      </c>
      <c r="AS256" s="5">
        <v>42851</v>
      </c>
      <c r="AT256" s="5">
        <v>42874</v>
      </c>
      <c r="AU256" s="1" t="s">
        <v>1287</v>
      </c>
      <c r="AV256" s="7">
        <v>42870.656167894653</v>
      </c>
      <c r="AW256" s="1" t="s">
        <v>204</v>
      </c>
      <c r="AX256" s="6">
        <v>3572.89</v>
      </c>
      <c r="AY256" s="5">
        <v>42851</v>
      </c>
      <c r="AZ256" s="5">
        <v>42888</v>
      </c>
      <c r="BA256" s="7">
        <v>43100</v>
      </c>
      <c r="BB256" s="1" t="s">
        <v>1310</v>
      </c>
      <c r="BC256" s="1"/>
      <c r="BD256" s="1" t="s">
        <v>901</v>
      </c>
    </row>
    <row r="257" spans="1:56" hidden="1" x14ac:dyDescent="0.25">
      <c r="A257" s="4">
        <v>252</v>
      </c>
      <c r="B257" s="2" t="str">
        <f>HYPERLINK("https://my.zakupki.prom.ua/remote/dispatcher/state_purchase_view/2824084", "UA-2017-04-13-000469-b")</f>
        <v>UA-2017-04-13-000469-b</v>
      </c>
      <c r="C257" s="2" t="s">
        <v>983</v>
      </c>
      <c r="D257" s="1" t="s">
        <v>286</v>
      </c>
      <c r="E257" s="1" t="s">
        <v>1075</v>
      </c>
      <c r="F257" s="1" t="s">
        <v>284</v>
      </c>
      <c r="G257" s="1" t="s">
        <v>883</v>
      </c>
      <c r="H257" s="1" t="s">
        <v>987</v>
      </c>
      <c r="I257" s="1" t="s">
        <v>905</v>
      </c>
      <c r="J257" s="1" t="s">
        <v>158</v>
      </c>
      <c r="K257" s="1" t="s">
        <v>662</v>
      </c>
      <c r="L257" s="1" t="s">
        <v>1207</v>
      </c>
      <c r="M257" s="1" t="s">
        <v>147</v>
      </c>
      <c r="N257" s="1" t="s">
        <v>147</v>
      </c>
      <c r="O257" s="1" t="s">
        <v>147</v>
      </c>
      <c r="P257" s="5">
        <v>42838</v>
      </c>
      <c r="Q257" s="5">
        <v>42838</v>
      </c>
      <c r="R257" s="5">
        <v>42844</v>
      </c>
      <c r="S257" s="5">
        <v>42844</v>
      </c>
      <c r="T257" s="5">
        <v>42846</v>
      </c>
      <c r="U257" s="7">
        <v>42849.538159722222</v>
      </c>
      <c r="V257" s="4">
        <v>4</v>
      </c>
      <c r="W257" s="6">
        <v>22790.799999999999</v>
      </c>
      <c r="X257" s="1" t="s">
        <v>983</v>
      </c>
      <c r="Y257" s="4">
        <v>20</v>
      </c>
      <c r="Z257" s="6">
        <v>1139.54</v>
      </c>
      <c r="AA257" s="1" t="s">
        <v>1319</v>
      </c>
      <c r="AB257" s="1" t="s">
        <v>540</v>
      </c>
      <c r="AC257" s="1" t="s">
        <v>1202</v>
      </c>
      <c r="AD257" s="1" t="s">
        <v>704</v>
      </c>
      <c r="AE257" s="1" t="s">
        <v>987</v>
      </c>
      <c r="AF257" s="6">
        <v>8800</v>
      </c>
      <c r="AG257" s="6">
        <v>440</v>
      </c>
      <c r="AH257" s="1" t="s">
        <v>945</v>
      </c>
      <c r="AI257" s="6">
        <v>13990.8</v>
      </c>
      <c r="AJ257" s="6">
        <v>0.61387928462362007</v>
      </c>
      <c r="AK257" s="1" t="s">
        <v>945</v>
      </c>
      <c r="AL257" s="1" t="s">
        <v>248</v>
      </c>
      <c r="AM257" s="1" t="s">
        <v>548</v>
      </c>
      <c r="AN257" s="1" t="s">
        <v>66</v>
      </c>
      <c r="AO257" s="6">
        <v>13990.8</v>
      </c>
      <c r="AP257" s="6">
        <v>0.61387928462362007</v>
      </c>
      <c r="AQ257" s="2" t="str">
        <f>HYPERLINK("https://auction.openprocurement.org/tenders/f77a4d32c79b4ef1a36c5c60ce332f63")</f>
        <v>https://auction.openprocurement.org/tenders/f77a4d32c79b4ef1a36c5c60ce332f63</v>
      </c>
      <c r="AR257" s="7">
        <v>42851.488555274758</v>
      </c>
      <c r="AS257" s="5">
        <v>42853</v>
      </c>
      <c r="AT257" s="5">
        <v>42874</v>
      </c>
      <c r="AU257" s="1" t="s">
        <v>1287</v>
      </c>
      <c r="AV257" s="7">
        <v>42870.650925212038</v>
      </c>
      <c r="AW257" s="1" t="s">
        <v>222</v>
      </c>
      <c r="AX257" s="6">
        <v>8800</v>
      </c>
      <c r="AY257" s="5">
        <v>42851</v>
      </c>
      <c r="AZ257" s="5">
        <v>42888</v>
      </c>
      <c r="BA257" s="7">
        <v>43100</v>
      </c>
      <c r="BB257" s="1" t="s">
        <v>1310</v>
      </c>
      <c r="BC257" s="1"/>
      <c r="BD257" s="1" t="s">
        <v>901</v>
      </c>
    </row>
    <row r="258" spans="1:56" hidden="1" x14ac:dyDescent="0.25">
      <c r="A258" s="4">
        <v>253</v>
      </c>
      <c r="B258" s="2" t="str">
        <f>HYPERLINK("https://my.zakupki.prom.ua/remote/dispatcher/state_purchase_view/2818611", "UA-2017-04-12-002288-b")</f>
        <v>UA-2017-04-12-002288-b</v>
      </c>
      <c r="C258" s="2" t="s">
        <v>983</v>
      </c>
      <c r="D258" s="1" t="s">
        <v>922</v>
      </c>
      <c r="E258" s="1" t="s">
        <v>645</v>
      </c>
      <c r="F258" s="1" t="s">
        <v>504</v>
      </c>
      <c r="G258" s="1" t="s">
        <v>883</v>
      </c>
      <c r="H258" s="1" t="s">
        <v>987</v>
      </c>
      <c r="I258" s="1" t="s">
        <v>905</v>
      </c>
      <c r="J258" s="1" t="s">
        <v>158</v>
      </c>
      <c r="K258" s="1" t="s">
        <v>662</v>
      </c>
      <c r="L258" s="1" t="s">
        <v>1207</v>
      </c>
      <c r="M258" s="1" t="s">
        <v>147</v>
      </c>
      <c r="N258" s="1" t="s">
        <v>147</v>
      </c>
      <c r="O258" s="1" t="s">
        <v>147</v>
      </c>
      <c r="P258" s="5">
        <v>42837</v>
      </c>
      <c r="Q258" s="5">
        <v>42837</v>
      </c>
      <c r="R258" s="5">
        <v>42839</v>
      </c>
      <c r="S258" s="5">
        <v>42839</v>
      </c>
      <c r="T258" s="5">
        <v>42844</v>
      </c>
      <c r="U258" s="1" t="s">
        <v>1285</v>
      </c>
      <c r="V258" s="4">
        <v>0</v>
      </c>
      <c r="W258" s="6">
        <v>3124.38</v>
      </c>
      <c r="X258" s="1" t="s">
        <v>983</v>
      </c>
      <c r="Y258" s="4">
        <v>3</v>
      </c>
      <c r="Z258" s="6">
        <v>1041.46</v>
      </c>
      <c r="AA258" s="1" t="s">
        <v>1307</v>
      </c>
      <c r="AB258" s="1" t="s">
        <v>540</v>
      </c>
      <c r="AC258" s="1" t="s">
        <v>1202</v>
      </c>
      <c r="AD258" s="1" t="s">
        <v>704</v>
      </c>
      <c r="AE258" s="1" t="s">
        <v>987</v>
      </c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2"/>
      <c r="AR258" s="1"/>
      <c r="AS258" s="1"/>
      <c r="AT258" s="1"/>
      <c r="AU258" s="1" t="s">
        <v>1288</v>
      </c>
      <c r="AV258" s="7">
        <v>42844.821818063414</v>
      </c>
      <c r="AW258" s="1"/>
      <c r="AX258" s="1"/>
      <c r="AY258" s="5">
        <v>42845</v>
      </c>
      <c r="AZ258" s="5">
        <v>42855</v>
      </c>
      <c r="BA258" s="1"/>
      <c r="BB258" s="1"/>
      <c r="BC258" s="1"/>
      <c r="BD258" s="1"/>
    </row>
    <row r="259" spans="1:56" hidden="1" x14ac:dyDescent="0.25">
      <c r="A259" s="4">
        <v>254</v>
      </c>
      <c r="B259" s="2" t="str">
        <f>HYPERLINK("https://my.zakupki.prom.ua/remote/dispatcher/state_purchase_view/2811389", "UA-2017-04-12-000794-b")</f>
        <v>UA-2017-04-12-000794-b</v>
      </c>
      <c r="C259" s="2" t="s">
        <v>983</v>
      </c>
      <c r="D259" s="1" t="s">
        <v>472</v>
      </c>
      <c r="E259" s="1" t="s">
        <v>27</v>
      </c>
      <c r="F259" s="1" t="s">
        <v>473</v>
      </c>
      <c r="G259" s="1" t="s">
        <v>883</v>
      </c>
      <c r="H259" s="1" t="s">
        <v>987</v>
      </c>
      <c r="I259" s="1" t="s">
        <v>905</v>
      </c>
      <c r="J259" s="1" t="s">
        <v>158</v>
      </c>
      <c r="K259" s="1" t="s">
        <v>662</v>
      </c>
      <c r="L259" s="1" t="s">
        <v>1207</v>
      </c>
      <c r="M259" s="1" t="s">
        <v>147</v>
      </c>
      <c r="N259" s="1" t="s">
        <v>147</v>
      </c>
      <c r="O259" s="1" t="s">
        <v>147</v>
      </c>
      <c r="P259" s="5">
        <v>42837</v>
      </c>
      <c r="Q259" s="5">
        <v>42837</v>
      </c>
      <c r="R259" s="5">
        <v>42839</v>
      </c>
      <c r="S259" s="5">
        <v>42839</v>
      </c>
      <c r="T259" s="5">
        <v>42844</v>
      </c>
      <c r="U259" s="1" t="s">
        <v>1285</v>
      </c>
      <c r="V259" s="4">
        <v>1</v>
      </c>
      <c r="W259" s="6">
        <v>5868</v>
      </c>
      <c r="X259" s="1" t="s">
        <v>983</v>
      </c>
      <c r="Y259" s="4">
        <v>3</v>
      </c>
      <c r="Z259" s="6">
        <v>1956</v>
      </c>
      <c r="AA259" s="1" t="s">
        <v>1307</v>
      </c>
      <c r="AB259" s="1" t="s">
        <v>540</v>
      </c>
      <c r="AC259" s="1" t="s">
        <v>1202</v>
      </c>
      <c r="AD259" s="1" t="s">
        <v>704</v>
      </c>
      <c r="AE259" s="1" t="s">
        <v>987</v>
      </c>
      <c r="AF259" s="6">
        <v>5868</v>
      </c>
      <c r="AG259" s="6">
        <v>1956</v>
      </c>
      <c r="AH259" s="1" t="s">
        <v>1171</v>
      </c>
      <c r="AI259" s="1"/>
      <c r="AJ259" s="1"/>
      <c r="AK259" s="1" t="s">
        <v>1171</v>
      </c>
      <c r="AL259" s="1" t="s">
        <v>262</v>
      </c>
      <c r="AM259" s="1" t="s">
        <v>624</v>
      </c>
      <c r="AN259" s="1" t="s">
        <v>65</v>
      </c>
      <c r="AO259" s="1"/>
      <c r="AP259" s="1"/>
      <c r="AQ259" s="2"/>
      <c r="AR259" s="7">
        <v>42844.591072521747</v>
      </c>
      <c r="AS259" s="5">
        <v>42846</v>
      </c>
      <c r="AT259" s="5">
        <v>42869</v>
      </c>
      <c r="AU259" s="1" t="s">
        <v>1287</v>
      </c>
      <c r="AV259" s="7">
        <v>42850.361152073718</v>
      </c>
      <c r="AW259" s="1" t="s">
        <v>486</v>
      </c>
      <c r="AX259" s="6">
        <v>5868</v>
      </c>
      <c r="AY259" s="5">
        <v>42846</v>
      </c>
      <c r="AZ259" s="5">
        <v>43101</v>
      </c>
      <c r="BA259" s="7">
        <v>43100</v>
      </c>
      <c r="BB259" s="1" t="s">
        <v>1310</v>
      </c>
      <c r="BC259" s="1"/>
      <c r="BD259" s="1" t="s">
        <v>901</v>
      </c>
    </row>
    <row r="260" spans="1:56" hidden="1" x14ac:dyDescent="0.25">
      <c r="A260" s="4">
        <v>255</v>
      </c>
      <c r="B260" s="2" t="str">
        <f>HYPERLINK("https://my.zakupki.prom.ua/remote/dispatcher/state_purchase_view/2735061", "UA-2017-04-04-001388-b")</f>
        <v>UA-2017-04-04-001388-b</v>
      </c>
      <c r="C260" s="2" t="s">
        <v>983</v>
      </c>
      <c r="D260" s="1" t="s">
        <v>1273</v>
      </c>
      <c r="E260" s="1" t="s">
        <v>942</v>
      </c>
      <c r="F260" s="1" t="s">
        <v>375</v>
      </c>
      <c r="G260" s="1" t="s">
        <v>883</v>
      </c>
      <c r="H260" s="1" t="s">
        <v>987</v>
      </c>
      <c r="I260" s="1" t="s">
        <v>905</v>
      </c>
      <c r="J260" s="1" t="s">
        <v>158</v>
      </c>
      <c r="K260" s="1" t="s">
        <v>662</v>
      </c>
      <c r="L260" s="1" t="s">
        <v>1207</v>
      </c>
      <c r="M260" s="1" t="s">
        <v>147</v>
      </c>
      <c r="N260" s="1" t="s">
        <v>147</v>
      </c>
      <c r="O260" s="1" t="s">
        <v>147</v>
      </c>
      <c r="P260" s="5">
        <v>42829</v>
      </c>
      <c r="Q260" s="5">
        <v>42829</v>
      </c>
      <c r="R260" s="5">
        <v>42831</v>
      </c>
      <c r="S260" s="5">
        <v>42831</v>
      </c>
      <c r="T260" s="5">
        <v>42835</v>
      </c>
      <c r="U260" s="1" t="s">
        <v>1285</v>
      </c>
      <c r="V260" s="4">
        <v>1</v>
      </c>
      <c r="W260" s="6">
        <v>3294.9</v>
      </c>
      <c r="X260" s="1" t="s">
        <v>983</v>
      </c>
      <c r="Y260" s="4">
        <v>10</v>
      </c>
      <c r="Z260" s="6">
        <v>329.49</v>
      </c>
      <c r="AA260" s="1" t="s">
        <v>1302</v>
      </c>
      <c r="AB260" s="1" t="s">
        <v>540</v>
      </c>
      <c r="AC260" s="1" t="s">
        <v>1202</v>
      </c>
      <c r="AD260" s="1" t="s">
        <v>704</v>
      </c>
      <c r="AE260" s="1" t="s">
        <v>987</v>
      </c>
      <c r="AF260" s="6">
        <v>2254.6799999999998</v>
      </c>
      <c r="AG260" s="6">
        <v>225.46799999999999</v>
      </c>
      <c r="AH260" s="1" t="s">
        <v>1007</v>
      </c>
      <c r="AI260" s="6">
        <v>1040.2200000000003</v>
      </c>
      <c r="AJ260" s="6">
        <v>0.31570609123190391</v>
      </c>
      <c r="AK260" s="1" t="s">
        <v>1007</v>
      </c>
      <c r="AL260" s="1" t="s">
        <v>406</v>
      </c>
      <c r="AM260" s="1" t="s">
        <v>542</v>
      </c>
      <c r="AN260" s="1" t="s">
        <v>67</v>
      </c>
      <c r="AO260" s="6">
        <v>1040.2200000000003</v>
      </c>
      <c r="AP260" s="6">
        <v>0.31570609123190391</v>
      </c>
      <c r="AQ260" s="2"/>
      <c r="AR260" s="7">
        <v>42835.654886119111</v>
      </c>
      <c r="AS260" s="5">
        <v>42837</v>
      </c>
      <c r="AT260" s="5">
        <v>42861</v>
      </c>
      <c r="AU260" s="1" t="s">
        <v>1287</v>
      </c>
      <c r="AV260" s="7">
        <v>42844.589369727051</v>
      </c>
      <c r="AW260" s="1" t="s">
        <v>395</v>
      </c>
      <c r="AX260" s="6">
        <v>2254.6799999999998</v>
      </c>
      <c r="AY260" s="5">
        <v>42836</v>
      </c>
      <c r="AZ260" s="5">
        <v>42855</v>
      </c>
      <c r="BA260" s="7">
        <v>43100</v>
      </c>
      <c r="BB260" s="1" t="s">
        <v>1310</v>
      </c>
      <c r="BC260" s="1"/>
      <c r="BD260" s="1" t="s">
        <v>901</v>
      </c>
    </row>
    <row r="261" spans="1:56" hidden="1" x14ac:dyDescent="0.25">
      <c r="A261" s="4">
        <v>256</v>
      </c>
      <c r="B261" s="2" t="str">
        <f>HYPERLINK("https://my.zakupki.prom.ua/remote/dispatcher/state_purchase_view/2624379", "UA-2017-03-23-002479-b")</f>
        <v>UA-2017-03-23-002479-b</v>
      </c>
      <c r="C261" s="2" t="s">
        <v>983</v>
      </c>
      <c r="D261" s="1" t="s">
        <v>764</v>
      </c>
      <c r="E261" s="1" t="s">
        <v>186</v>
      </c>
      <c r="F261" s="1" t="s">
        <v>369</v>
      </c>
      <c r="G261" s="1" t="s">
        <v>883</v>
      </c>
      <c r="H261" s="1" t="s">
        <v>987</v>
      </c>
      <c r="I261" s="1" t="s">
        <v>905</v>
      </c>
      <c r="J261" s="1" t="s">
        <v>158</v>
      </c>
      <c r="K261" s="1" t="s">
        <v>662</v>
      </c>
      <c r="L261" s="1" t="s">
        <v>1207</v>
      </c>
      <c r="M261" s="1" t="s">
        <v>147</v>
      </c>
      <c r="N261" s="1" t="s">
        <v>147</v>
      </c>
      <c r="O261" s="1" t="s">
        <v>147</v>
      </c>
      <c r="P261" s="5">
        <v>42817</v>
      </c>
      <c r="Q261" s="5">
        <v>42817</v>
      </c>
      <c r="R261" s="5">
        <v>42822</v>
      </c>
      <c r="S261" s="5">
        <v>42822</v>
      </c>
      <c r="T261" s="5">
        <v>42825</v>
      </c>
      <c r="U261" s="7">
        <v>42828.653136574074</v>
      </c>
      <c r="V261" s="4">
        <v>2</v>
      </c>
      <c r="W261" s="6">
        <v>4062.5</v>
      </c>
      <c r="X261" s="1" t="s">
        <v>983</v>
      </c>
      <c r="Y261" s="4">
        <v>400</v>
      </c>
      <c r="Z261" s="6">
        <v>10.16</v>
      </c>
      <c r="AA261" s="1" t="s">
        <v>1319</v>
      </c>
      <c r="AB261" s="1" t="s">
        <v>540</v>
      </c>
      <c r="AC261" s="1" t="s">
        <v>1202</v>
      </c>
      <c r="AD261" s="1" t="s">
        <v>704</v>
      </c>
      <c r="AE261" s="1" t="s">
        <v>987</v>
      </c>
      <c r="AF261" s="6">
        <v>3297.5</v>
      </c>
      <c r="AG261" s="6">
        <v>8.2437500000000004</v>
      </c>
      <c r="AH261" s="1" t="s">
        <v>1196</v>
      </c>
      <c r="AI261" s="6">
        <v>765</v>
      </c>
      <c r="AJ261" s="6">
        <v>0.18830769230769231</v>
      </c>
      <c r="AK261" s="1" t="s">
        <v>1196</v>
      </c>
      <c r="AL261" s="1" t="s">
        <v>201</v>
      </c>
      <c r="AM261" s="1" t="s">
        <v>533</v>
      </c>
      <c r="AN261" s="1" t="s">
        <v>145</v>
      </c>
      <c r="AO261" s="6">
        <v>765</v>
      </c>
      <c r="AP261" s="6">
        <v>0.18830769230769231</v>
      </c>
      <c r="AQ261" s="2" t="str">
        <f>HYPERLINK("https://auction.openprocurement.org/tenders/a2e227d3e7f74fd2be22408e7045e51d")</f>
        <v>https://auction.openprocurement.org/tenders/a2e227d3e7f74fd2be22408e7045e51d</v>
      </c>
      <c r="AR261" s="7">
        <v>42829.597027423508</v>
      </c>
      <c r="AS261" s="5">
        <v>42831</v>
      </c>
      <c r="AT261" s="5">
        <v>42852</v>
      </c>
      <c r="AU261" s="1" t="s">
        <v>1287</v>
      </c>
      <c r="AV261" s="7">
        <v>42839.373652643713</v>
      </c>
      <c r="AW261" s="1" t="s">
        <v>194</v>
      </c>
      <c r="AX261" s="6">
        <v>3297.5</v>
      </c>
      <c r="AY261" s="5">
        <v>42829</v>
      </c>
      <c r="AZ261" s="5">
        <v>42856</v>
      </c>
      <c r="BA261" s="7">
        <v>43100</v>
      </c>
      <c r="BB261" s="1" t="s">
        <v>1310</v>
      </c>
      <c r="BC261" s="1"/>
      <c r="BD261" s="1" t="s">
        <v>901</v>
      </c>
    </row>
    <row r="262" spans="1:56" hidden="1" x14ac:dyDescent="0.25">
      <c r="A262" s="4">
        <v>257</v>
      </c>
      <c r="B262" s="2" t="str">
        <f>HYPERLINK("https://my.zakupki.prom.ua/remote/dispatcher/state_purchase_view/2623194", "UA-2017-03-23-002279-b")</f>
        <v>UA-2017-03-23-002279-b</v>
      </c>
      <c r="C262" s="2" t="s">
        <v>983</v>
      </c>
      <c r="D262" s="1" t="s">
        <v>835</v>
      </c>
      <c r="E262" s="1" t="s">
        <v>184</v>
      </c>
      <c r="F262" s="1" t="s">
        <v>355</v>
      </c>
      <c r="G262" s="1" t="s">
        <v>883</v>
      </c>
      <c r="H262" s="1" t="s">
        <v>987</v>
      </c>
      <c r="I262" s="1" t="s">
        <v>905</v>
      </c>
      <c r="J262" s="1" t="s">
        <v>158</v>
      </c>
      <c r="K262" s="1" t="s">
        <v>662</v>
      </c>
      <c r="L262" s="1" t="s">
        <v>1207</v>
      </c>
      <c r="M262" s="1" t="s">
        <v>147</v>
      </c>
      <c r="N262" s="1" t="s">
        <v>147</v>
      </c>
      <c r="O262" s="1" t="s">
        <v>147</v>
      </c>
      <c r="P262" s="5">
        <v>42817</v>
      </c>
      <c r="Q262" s="5">
        <v>42817</v>
      </c>
      <c r="R262" s="5">
        <v>42822</v>
      </c>
      <c r="S262" s="5">
        <v>42822</v>
      </c>
      <c r="T262" s="5">
        <v>42825</v>
      </c>
      <c r="U262" s="7">
        <v>42828.610092592593</v>
      </c>
      <c r="V262" s="4">
        <v>4</v>
      </c>
      <c r="W262" s="6">
        <v>7485.6</v>
      </c>
      <c r="X262" s="1" t="s">
        <v>983</v>
      </c>
      <c r="Y262" s="4">
        <v>480</v>
      </c>
      <c r="Z262" s="6">
        <v>15.6</v>
      </c>
      <c r="AA262" s="1" t="s">
        <v>1319</v>
      </c>
      <c r="AB262" s="1" t="s">
        <v>540</v>
      </c>
      <c r="AC262" s="1" t="s">
        <v>1202</v>
      </c>
      <c r="AD262" s="1" t="s">
        <v>704</v>
      </c>
      <c r="AE262" s="1" t="s">
        <v>987</v>
      </c>
      <c r="AF262" s="6">
        <v>4326</v>
      </c>
      <c r="AG262" s="6">
        <v>9.0124999999999993</v>
      </c>
      <c r="AH262" s="1" t="s">
        <v>1151</v>
      </c>
      <c r="AI262" s="6">
        <v>3159.6000000000004</v>
      </c>
      <c r="AJ262" s="6">
        <v>0.42209041359410071</v>
      </c>
      <c r="AK262" s="1" t="s">
        <v>1151</v>
      </c>
      <c r="AL262" s="1" t="s">
        <v>425</v>
      </c>
      <c r="AM262" s="1" t="s">
        <v>634</v>
      </c>
      <c r="AN262" s="1" t="s">
        <v>420</v>
      </c>
      <c r="AO262" s="6">
        <v>3159.6000000000004</v>
      </c>
      <c r="AP262" s="6">
        <v>0.42209041359410071</v>
      </c>
      <c r="AQ262" s="2" t="str">
        <f>HYPERLINK("https://auction.openprocurement.org/tenders/d30079afd4584209be1d45fe37e75da2")</f>
        <v>https://auction.openprocurement.org/tenders/d30079afd4584209be1d45fe37e75da2</v>
      </c>
      <c r="AR262" s="7">
        <v>42829.59595514206</v>
      </c>
      <c r="AS262" s="5">
        <v>42831</v>
      </c>
      <c r="AT262" s="5">
        <v>42852</v>
      </c>
      <c r="AU262" s="1" t="s">
        <v>1287</v>
      </c>
      <c r="AV262" s="7">
        <v>42839.413323921253</v>
      </c>
      <c r="AW262" s="1" t="s">
        <v>462</v>
      </c>
      <c r="AX262" s="6">
        <v>4326</v>
      </c>
      <c r="AY262" s="5">
        <v>42830</v>
      </c>
      <c r="AZ262" s="5">
        <v>42857</v>
      </c>
      <c r="BA262" s="7">
        <v>43100</v>
      </c>
      <c r="BB262" s="1" t="s">
        <v>1310</v>
      </c>
      <c r="BC262" s="1"/>
      <c r="BD262" s="1" t="s">
        <v>901</v>
      </c>
    </row>
    <row r="263" spans="1:56" hidden="1" x14ac:dyDescent="0.25">
      <c r="A263" s="4">
        <v>258</v>
      </c>
      <c r="B263" s="2" t="str">
        <f>HYPERLINK("https://my.zakupki.prom.ua/remote/dispatcher/state_purchase_view/2618756", "UA-2017-03-23-001638-b")</f>
        <v>UA-2017-03-23-001638-b</v>
      </c>
      <c r="C263" s="2" t="s">
        <v>983</v>
      </c>
      <c r="D263" s="1" t="s">
        <v>1273</v>
      </c>
      <c r="E263" s="1" t="s">
        <v>942</v>
      </c>
      <c r="F263" s="1" t="s">
        <v>375</v>
      </c>
      <c r="G263" s="1" t="s">
        <v>883</v>
      </c>
      <c r="H263" s="1" t="s">
        <v>987</v>
      </c>
      <c r="I263" s="1" t="s">
        <v>905</v>
      </c>
      <c r="J263" s="1" t="s">
        <v>158</v>
      </c>
      <c r="K263" s="1" t="s">
        <v>662</v>
      </c>
      <c r="L263" s="1" t="s">
        <v>1207</v>
      </c>
      <c r="M263" s="1" t="s">
        <v>147</v>
      </c>
      <c r="N263" s="1" t="s">
        <v>147</v>
      </c>
      <c r="O263" s="1" t="s">
        <v>147</v>
      </c>
      <c r="P263" s="5">
        <v>42817</v>
      </c>
      <c r="Q263" s="5">
        <v>42817</v>
      </c>
      <c r="R263" s="5">
        <v>42822</v>
      </c>
      <c r="S263" s="5">
        <v>42822</v>
      </c>
      <c r="T263" s="5">
        <v>42825</v>
      </c>
      <c r="U263" s="1" t="s">
        <v>1285</v>
      </c>
      <c r="V263" s="4">
        <v>0</v>
      </c>
      <c r="W263" s="6">
        <v>3294.9</v>
      </c>
      <c r="X263" s="1" t="s">
        <v>983</v>
      </c>
      <c r="Y263" s="4">
        <v>10</v>
      </c>
      <c r="Z263" s="6">
        <v>329.49</v>
      </c>
      <c r="AA263" s="1" t="s">
        <v>1302</v>
      </c>
      <c r="AB263" s="1" t="s">
        <v>540</v>
      </c>
      <c r="AC263" s="1" t="s">
        <v>1202</v>
      </c>
      <c r="AD263" s="1" t="s">
        <v>704</v>
      </c>
      <c r="AE263" s="1" t="s">
        <v>987</v>
      </c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2"/>
      <c r="AR263" s="1"/>
      <c r="AS263" s="1"/>
      <c r="AT263" s="1"/>
      <c r="AU263" s="1" t="s">
        <v>1288</v>
      </c>
      <c r="AV263" s="7">
        <v>42825.635926880634</v>
      </c>
      <c r="AW263" s="1"/>
      <c r="AX263" s="1"/>
      <c r="AY263" s="5">
        <v>42829</v>
      </c>
      <c r="AZ263" s="5">
        <v>42855</v>
      </c>
      <c r="BA263" s="1"/>
      <c r="BB263" s="1"/>
      <c r="BC263" s="1"/>
      <c r="BD263" s="1"/>
    </row>
    <row r="264" spans="1:56" hidden="1" x14ac:dyDescent="0.25">
      <c r="A264" s="4">
        <v>259</v>
      </c>
      <c r="B264" s="2" t="str">
        <f>HYPERLINK("https://my.zakupki.prom.ua/remote/dispatcher/state_purchase_view/2506269", "UA-2017-03-15-000053-b")</f>
        <v>UA-2017-03-15-000053-b</v>
      </c>
      <c r="C264" s="2" t="s">
        <v>983</v>
      </c>
      <c r="D264" s="1" t="s">
        <v>955</v>
      </c>
      <c r="E264" s="1" t="s">
        <v>1088</v>
      </c>
      <c r="F264" s="1" t="s">
        <v>355</v>
      </c>
      <c r="G264" s="1" t="s">
        <v>883</v>
      </c>
      <c r="H264" s="1" t="s">
        <v>987</v>
      </c>
      <c r="I264" s="1" t="s">
        <v>905</v>
      </c>
      <c r="J264" s="1" t="s">
        <v>158</v>
      </c>
      <c r="K264" s="1" t="s">
        <v>662</v>
      </c>
      <c r="L264" s="1" t="s">
        <v>1207</v>
      </c>
      <c r="M264" s="1" t="s">
        <v>147</v>
      </c>
      <c r="N264" s="1" t="s">
        <v>147</v>
      </c>
      <c r="O264" s="1" t="s">
        <v>147</v>
      </c>
      <c r="P264" s="5">
        <v>42809</v>
      </c>
      <c r="Q264" s="5">
        <v>42809</v>
      </c>
      <c r="R264" s="5">
        <v>42811</v>
      </c>
      <c r="S264" s="5">
        <v>42811</v>
      </c>
      <c r="T264" s="5">
        <v>42815</v>
      </c>
      <c r="U264" s="7">
        <v>42816.607511574075</v>
      </c>
      <c r="V264" s="4">
        <v>5</v>
      </c>
      <c r="W264" s="6">
        <v>8280</v>
      </c>
      <c r="X264" s="1" t="s">
        <v>983</v>
      </c>
      <c r="Y264" s="4">
        <v>3300</v>
      </c>
      <c r="Z264" s="6">
        <v>2.5099999999999998</v>
      </c>
      <c r="AA264" s="1" t="s">
        <v>1305</v>
      </c>
      <c r="AB264" s="1" t="s">
        <v>540</v>
      </c>
      <c r="AC264" s="1" t="s">
        <v>1202</v>
      </c>
      <c r="AD264" s="1" t="s">
        <v>704</v>
      </c>
      <c r="AE264" s="1" t="s">
        <v>987</v>
      </c>
      <c r="AF264" s="6">
        <v>4770</v>
      </c>
      <c r="AG264" s="6">
        <v>1.4454545454545455</v>
      </c>
      <c r="AH264" s="1" t="s">
        <v>1167</v>
      </c>
      <c r="AI264" s="6">
        <v>3510</v>
      </c>
      <c r="AJ264" s="6">
        <v>0.42391304347826086</v>
      </c>
      <c r="AK264" s="1" t="s">
        <v>1167</v>
      </c>
      <c r="AL264" s="1" t="s">
        <v>373</v>
      </c>
      <c r="AM264" s="1" t="s">
        <v>616</v>
      </c>
      <c r="AN264" s="1" t="s">
        <v>47</v>
      </c>
      <c r="AO264" s="6">
        <v>3510</v>
      </c>
      <c r="AP264" s="6">
        <v>0.42391304347826086</v>
      </c>
      <c r="AQ264" s="2" t="str">
        <f>HYPERLINK("https://auction.openprocurement.org/tenders/13122324b9144baebec0d031034b5f3d")</f>
        <v>https://auction.openprocurement.org/tenders/13122324b9144baebec0d031034b5f3d</v>
      </c>
      <c r="AR264" s="7">
        <v>42817.367717740672</v>
      </c>
      <c r="AS264" s="5">
        <v>42821</v>
      </c>
      <c r="AT264" s="5">
        <v>42841</v>
      </c>
      <c r="AU264" s="1" t="s">
        <v>1287</v>
      </c>
      <c r="AV264" s="7">
        <v>42839.4957662409</v>
      </c>
      <c r="AW264" s="1" t="s">
        <v>523</v>
      </c>
      <c r="AX264" s="6">
        <v>4770</v>
      </c>
      <c r="AY264" s="5">
        <v>42817</v>
      </c>
      <c r="AZ264" s="5">
        <v>42826</v>
      </c>
      <c r="BA264" s="7">
        <v>43100</v>
      </c>
      <c r="BB264" s="1" t="s">
        <v>1310</v>
      </c>
      <c r="BC264" s="1"/>
      <c r="BD264" s="1" t="s">
        <v>901</v>
      </c>
    </row>
    <row r="265" spans="1:56" hidden="1" x14ac:dyDescent="0.25">
      <c r="A265" s="4">
        <v>260</v>
      </c>
      <c r="B265" s="2" t="str">
        <f>HYPERLINK("https://my.zakupki.prom.ua/remote/dispatcher/state_purchase_view/2441801", "UA-2017-03-09-001084-b")</f>
        <v>UA-2017-03-09-001084-b</v>
      </c>
      <c r="C265" s="2" t="s">
        <v>983</v>
      </c>
      <c r="D265" s="1" t="s">
        <v>286</v>
      </c>
      <c r="E265" s="1" t="s">
        <v>1075</v>
      </c>
      <c r="F265" s="1" t="s">
        <v>284</v>
      </c>
      <c r="G265" s="1" t="s">
        <v>883</v>
      </c>
      <c r="H265" s="1" t="s">
        <v>987</v>
      </c>
      <c r="I265" s="1" t="s">
        <v>905</v>
      </c>
      <c r="J265" s="1" t="s">
        <v>158</v>
      </c>
      <c r="K265" s="1" t="s">
        <v>662</v>
      </c>
      <c r="L265" s="1" t="s">
        <v>1207</v>
      </c>
      <c r="M265" s="1" t="s">
        <v>147</v>
      </c>
      <c r="N265" s="1" t="s">
        <v>147</v>
      </c>
      <c r="O265" s="1" t="s">
        <v>147</v>
      </c>
      <c r="P265" s="5">
        <v>42803</v>
      </c>
      <c r="Q265" s="5">
        <v>42803</v>
      </c>
      <c r="R265" s="5">
        <v>42807</v>
      </c>
      <c r="S265" s="5">
        <v>42807</v>
      </c>
      <c r="T265" s="5">
        <v>42809</v>
      </c>
      <c r="U265" s="7">
        <v>42810.502743055556</v>
      </c>
      <c r="V265" s="4">
        <v>3</v>
      </c>
      <c r="W265" s="6">
        <v>21355.94</v>
      </c>
      <c r="X265" s="1" t="s">
        <v>983</v>
      </c>
      <c r="Y265" s="4">
        <v>16</v>
      </c>
      <c r="Z265" s="6">
        <v>1334.75</v>
      </c>
      <c r="AA265" s="1" t="s">
        <v>1319</v>
      </c>
      <c r="AB265" s="1" t="s">
        <v>540</v>
      </c>
      <c r="AC265" s="1" t="s">
        <v>1202</v>
      </c>
      <c r="AD265" s="1" t="s">
        <v>704</v>
      </c>
      <c r="AE265" s="1" t="s">
        <v>987</v>
      </c>
      <c r="AF265" s="6">
        <v>8150</v>
      </c>
      <c r="AG265" s="6">
        <v>509.375</v>
      </c>
      <c r="AH265" s="1" t="s">
        <v>945</v>
      </c>
      <c r="AI265" s="6">
        <v>13205.939999999999</v>
      </c>
      <c r="AJ265" s="6">
        <v>0.61837315519710201</v>
      </c>
      <c r="AK265" s="1" t="s">
        <v>945</v>
      </c>
      <c r="AL265" s="1" t="s">
        <v>248</v>
      </c>
      <c r="AM265" s="1" t="s">
        <v>548</v>
      </c>
      <c r="AN265" s="1" t="s">
        <v>66</v>
      </c>
      <c r="AO265" s="6">
        <v>13205.939999999999</v>
      </c>
      <c r="AP265" s="6">
        <v>0.61837315519710201</v>
      </c>
      <c r="AQ265" s="2" t="str">
        <f>HYPERLINK("https://auction.openprocurement.org/tenders/cc549d4fe9f64e7bb7376f73db835c0f")</f>
        <v>https://auction.openprocurement.org/tenders/cc549d4fe9f64e7bb7376f73db835c0f</v>
      </c>
      <c r="AR265" s="7">
        <v>42811.557738350115</v>
      </c>
      <c r="AS265" s="5">
        <v>42815</v>
      </c>
      <c r="AT265" s="5">
        <v>42837</v>
      </c>
      <c r="AU265" s="1" t="s">
        <v>1287</v>
      </c>
      <c r="AV265" s="7">
        <v>42818.517414351438</v>
      </c>
      <c r="AW265" s="1" t="s">
        <v>514</v>
      </c>
      <c r="AX265" s="6">
        <v>8150</v>
      </c>
      <c r="AY265" s="5">
        <v>42811</v>
      </c>
      <c r="AZ265" s="5">
        <v>42826</v>
      </c>
      <c r="BA265" s="7">
        <v>43100</v>
      </c>
      <c r="BB265" s="1" t="s">
        <v>1310</v>
      </c>
      <c r="BC265" s="1"/>
      <c r="BD265" s="1" t="s">
        <v>901</v>
      </c>
    </row>
    <row r="266" spans="1:56" hidden="1" x14ac:dyDescent="0.25">
      <c r="A266" s="4">
        <v>261</v>
      </c>
      <c r="B266" s="2" t="str">
        <f>HYPERLINK("https://my.zakupki.prom.ua/remote/dispatcher/state_purchase_view/2248185", "UA-2017-02-22-000433-c")</f>
        <v>UA-2017-02-22-000433-c</v>
      </c>
      <c r="C266" s="2" t="s">
        <v>983</v>
      </c>
      <c r="D266" s="1" t="s">
        <v>957</v>
      </c>
      <c r="E266" s="1" t="s">
        <v>703</v>
      </c>
      <c r="F266" s="1" t="s">
        <v>355</v>
      </c>
      <c r="G266" s="1" t="s">
        <v>883</v>
      </c>
      <c r="H266" s="1" t="s">
        <v>987</v>
      </c>
      <c r="I266" s="1" t="s">
        <v>905</v>
      </c>
      <c r="J266" s="1" t="s">
        <v>158</v>
      </c>
      <c r="K266" s="1" t="s">
        <v>662</v>
      </c>
      <c r="L266" s="1" t="s">
        <v>1207</v>
      </c>
      <c r="M266" s="1" t="s">
        <v>147</v>
      </c>
      <c r="N266" s="1" t="s">
        <v>147</v>
      </c>
      <c r="O266" s="1" t="s">
        <v>147</v>
      </c>
      <c r="P266" s="5">
        <v>42788</v>
      </c>
      <c r="Q266" s="5">
        <v>42788</v>
      </c>
      <c r="R266" s="5">
        <v>42791</v>
      </c>
      <c r="S266" s="5">
        <v>42791</v>
      </c>
      <c r="T266" s="5">
        <v>42794</v>
      </c>
      <c r="U266" s="7">
        <v>42795.575682870367</v>
      </c>
      <c r="V266" s="4">
        <v>4</v>
      </c>
      <c r="W266" s="6">
        <v>14747</v>
      </c>
      <c r="X266" s="1" t="s">
        <v>983</v>
      </c>
      <c r="Y266" s="4">
        <v>4930</v>
      </c>
      <c r="Z266" s="6">
        <v>2.99</v>
      </c>
      <c r="AA266" s="1" t="s">
        <v>1319</v>
      </c>
      <c r="AB266" s="1" t="s">
        <v>540</v>
      </c>
      <c r="AC266" s="1" t="s">
        <v>1202</v>
      </c>
      <c r="AD266" s="1" t="s">
        <v>704</v>
      </c>
      <c r="AE266" s="1" t="s">
        <v>987</v>
      </c>
      <c r="AF266" s="6">
        <v>6934.66</v>
      </c>
      <c r="AG266" s="6">
        <v>1.4066247464503043</v>
      </c>
      <c r="AH266" s="1" t="s">
        <v>1188</v>
      </c>
      <c r="AI266" s="6">
        <v>7812.34</v>
      </c>
      <c r="AJ266" s="6">
        <v>0.52975791686444706</v>
      </c>
      <c r="AK266" s="1" t="s">
        <v>1188</v>
      </c>
      <c r="AL266" s="1" t="s">
        <v>438</v>
      </c>
      <c r="AM266" s="1" t="s">
        <v>573</v>
      </c>
      <c r="AN266" s="1" t="s">
        <v>87</v>
      </c>
      <c r="AO266" s="6">
        <v>7812.34</v>
      </c>
      <c r="AP266" s="6">
        <v>0.52975791686444706</v>
      </c>
      <c r="AQ266" s="2" t="str">
        <f>HYPERLINK("https://auction.openprocurement.org/tenders/ecb613fdfaea49409de82943dac8059e")</f>
        <v>https://auction.openprocurement.org/tenders/ecb613fdfaea49409de82943dac8059e</v>
      </c>
      <c r="AR266" s="7">
        <v>42795.632786867442</v>
      </c>
      <c r="AS266" s="5">
        <v>42797</v>
      </c>
      <c r="AT266" s="5">
        <v>42821</v>
      </c>
      <c r="AU266" s="1" t="s">
        <v>1287</v>
      </c>
      <c r="AV266" s="7">
        <v>42803.700730707409</v>
      </c>
      <c r="AW266" s="1" t="s">
        <v>490</v>
      </c>
      <c r="AX266" s="6">
        <v>6934.66</v>
      </c>
      <c r="AY266" s="5">
        <v>42798</v>
      </c>
      <c r="AZ266" s="5">
        <v>42828</v>
      </c>
      <c r="BA266" s="7">
        <v>43100</v>
      </c>
      <c r="BB266" s="1" t="s">
        <v>1310</v>
      </c>
      <c r="BC266" s="1"/>
      <c r="BD266" s="1" t="s">
        <v>901</v>
      </c>
    </row>
    <row r="267" spans="1:56" hidden="1" x14ac:dyDescent="0.25">
      <c r="A267" s="4">
        <v>262</v>
      </c>
      <c r="B267" s="2" t="str">
        <f>HYPERLINK("https://my.zakupki.prom.ua/remote/dispatcher/state_purchase_view/2204026", "UA-2017-02-18-000032-c")</f>
        <v>UA-2017-02-18-000032-c</v>
      </c>
      <c r="C267" s="2" t="s">
        <v>983</v>
      </c>
      <c r="D267" s="1" t="s">
        <v>1120</v>
      </c>
      <c r="E267" s="1" t="s">
        <v>1105</v>
      </c>
      <c r="F267" s="1" t="s">
        <v>277</v>
      </c>
      <c r="G267" s="1" t="s">
        <v>883</v>
      </c>
      <c r="H267" s="1" t="s">
        <v>987</v>
      </c>
      <c r="I267" s="1" t="s">
        <v>905</v>
      </c>
      <c r="J267" s="1" t="s">
        <v>158</v>
      </c>
      <c r="K267" s="1" t="s">
        <v>662</v>
      </c>
      <c r="L267" s="1" t="s">
        <v>1207</v>
      </c>
      <c r="M267" s="1" t="s">
        <v>147</v>
      </c>
      <c r="N267" s="1" t="s">
        <v>147</v>
      </c>
      <c r="O267" s="1" t="s">
        <v>147</v>
      </c>
      <c r="P267" s="5">
        <v>42784</v>
      </c>
      <c r="Q267" s="5">
        <v>42784</v>
      </c>
      <c r="R267" s="5">
        <v>42788</v>
      </c>
      <c r="S267" s="5">
        <v>42788</v>
      </c>
      <c r="T267" s="5">
        <v>42792</v>
      </c>
      <c r="U267" s="1" t="s">
        <v>1285</v>
      </c>
      <c r="V267" s="4">
        <v>1</v>
      </c>
      <c r="W267" s="6">
        <v>4659.6000000000004</v>
      </c>
      <c r="X267" s="1" t="s">
        <v>983</v>
      </c>
      <c r="Y267" s="4">
        <v>240</v>
      </c>
      <c r="Z267" s="6">
        <v>19.420000000000002</v>
      </c>
      <c r="AA267" s="1" t="s">
        <v>1316</v>
      </c>
      <c r="AB267" s="1" t="s">
        <v>540</v>
      </c>
      <c r="AC267" s="1" t="s">
        <v>1202</v>
      </c>
      <c r="AD267" s="1" t="s">
        <v>704</v>
      </c>
      <c r="AE267" s="1" t="s">
        <v>987</v>
      </c>
      <c r="AF267" s="6">
        <v>3620</v>
      </c>
      <c r="AG267" s="6">
        <v>15.083333333333334</v>
      </c>
      <c r="AH267" s="1" t="s">
        <v>1174</v>
      </c>
      <c r="AI267" s="6">
        <v>1039.6000000000004</v>
      </c>
      <c r="AJ267" s="6">
        <v>0.22310927976650363</v>
      </c>
      <c r="AK267" s="1" t="s">
        <v>1174</v>
      </c>
      <c r="AL267" s="1" t="s">
        <v>4</v>
      </c>
      <c r="AM267" s="1" t="s">
        <v>633</v>
      </c>
      <c r="AN267" s="1" t="s">
        <v>81</v>
      </c>
      <c r="AO267" s="6">
        <v>1039.6000000000004</v>
      </c>
      <c r="AP267" s="6">
        <v>0.22310927976650363</v>
      </c>
      <c r="AQ267" s="2"/>
      <c r="AR267" s="7">
        <v>42794.383174643714</v>
      </c>
      <c r="AS267" s="5">
        <v>42796</v>
      </c>
      <c r="AT267" s="5">
        <v>42818</v>
      </c>
      <c r="AU267" s="1" t="s">
        <v>1287</v>
      </c>
      <c r="AV267" s="7">
        <v>42803.694769663794</v>
      </c>
      <c r="AW267" s="1" t="s">
        <v>316</v>
      </c>
      <c r="AX267" s="6">
        <v>3620</v>
      </c>
      <c r="AY267" s="5">
        <v>42796</v>
      </c>
      <c r="AZ267" s="5">
        <v>42826</v>
      </c>
      <c r="BA267" s="7">
        <v>43100</v>
      </c>
      <c r="BB267" s="1" t="s">
        <v>1310</v>
      </c>
      <c r="BC267" s="1"/>
      <c r="BD267" s="1" t="s">
        <v>901</v>
      </c>
    </row>
    <row r="268" spans="1:56" hidden="1" x14ac:dyDescent="0.25">
      <c r="A268" s="4">
        <v>263</v>
      </c>
      <c r="B268" s="2" t="str">
        <f>HYPERLINK("https://my.zakupki.prom.ua/remote/dispatcher/state_purchase_view/2203865", "UA-2017-02-18-000019-c")</f>
        <v>UA-2017-02-18-000019-c</v>
      </c>
      <c r="C268" s="2" t="str">
        <f>HYPERLINK("https://my.zakupki.prom.ua/remote/dispatcher/state_purchase_lot_view/172794", "UA-2017-02-18-000019-c-L1")</f>
        <v>UA-2017-02-18-000019-c-L1</v>
      </c>
      <c r="D268" s="1" t="s">
        <v>210</v>
      </c>
      <c r="E268" s="1" t="s">
        <v>962</v>
      </c>
      <c r="F268" s="1" t="s">
        <v>213</v>
      </c>
      <c r="G268" s="1" t="s">
        <v>883</v>
      </c>
      <c r="H268" s="1" t="s">
        <v>987</v>
      </c>
      <c r="I268" s="1" t="s">
        <v>905</v>
      </c>
      <c r="J268" s="1" t="s">
        <v>158</v>
      </c>
      <c r="K268" s="1" t="s">
        <v>662</v>
      </c>
      <c r="L268" s="1" t="s">
        <v>1207</v>
      </c>
      <c r="M268" s="1" t="s">
        <v>148</v>
      </c>
      <c r="N268" s="1" t="s">
        <v>148</v>
      </c>
      <c r="O268" s="1" t="s">
        <v>148</v>
      </c>
      <c r="P268" s="5">
        <v>42784</v>
      </c>
      <c r="Q268" s="5">
        <v>42784</v>
      </c>
      <c r="R268" s="5">
        <v>42788</v>
      </c>
      <c r="S268" s="5">
        <v>42789</v>
      </c>
      <c r="T268" s="5">
        <v>42792</v>
      </c>
      <c r="U268" s="7">
        <v>42793.655462962961</v>
      </c>
      <c r="V268" s="4">
        <v>3</v>
      </c>
      <c r="W268" s="6">
        <v>25582.9</v>
      </c>
      <c r="X268" s="6">
        <v>25582.9</v>
      </c>
      <c r="Y268" s="4">
        <v>1610</v>
      </c>
      <c r="Z268" s="6">
        <v>15.89</v>
      </c>
      <c r="AA268" s="1" t="s">
        <v>1299</v>
      </c>
      <c r="AB268" s="1" t="s">
        <v>540</v>
      </c>
      <c r="AC268" s="1" t="s">
        <v>1202</v>
      </c>
      <c r="AD268" s="1" t="s">
        <v>704</v>
      </c>
      <c r="AE268" s="1" t="s">
        <v>987</v>
      </c>
      <c r="AF268" s="6">
        <v>17708</v>
      </c>
      <c r="AG268" s="6">
        <v>10.998757763975155</v>
      </c>
      <c r="AH268" s="1" t="s">
        <v>1182</v>
      </c>
      <c r="AI268" s="6">
        <v>7874.9000000000015</v>
      </c>
      <c r="AJ268" s="6">
        <v>0.30781889465228729</v>
      </c>
      <c r="AK268" s="1" t="s">
        <v>1182</v>
      </c>
      <c r="AL268" s="1" t="s">
        <v>415</v>
      </c>
      <c r="AM268" s="1" t="s">
        <v>258</v>
      </c>
      <c r="AN268" s="1" t="s">
        <v>98</v>
      </c>
      <c r="AO268" s="6">
        <v>7874.9000000000015</v>
      </c>
      <c r="AP268" s="6">
        <v>0.30781889465228729</v>
      </c>
      <c r="AQ268" s="2" t="str">
        <f>HYPERLINK("https://auction.openprocurement.org/tenders/3b354ffcdbf3457e86e4775e0b4de207_93d67a216c094ed0b04f6b3ba0ad2acd")</f>
        <v>https://auction.openprocurement.org/tenders/3b354ffcdbf3457e86e4775e0b4de207_93d67a216c094ed0b04f6b3ba0ad2acd</v>
      </c>
      <c r="AR268" s="7">
        <v>42794.382439284731</v>
      </c>
      <c r="AS268" s="5">
        <v>42796</v>
      </c>
      <c r="AT268" s="5">
        <v>42818</v>
      </c>
      <c r="AU268" s="1" t="s">
        <v>1287</v>
      </c>
      <c r="AV268" s="7">
        <v>42803.658957789572</v>
      </c>
      <c r="AW268" s="1" t="s">
        <v>467</v>
      </c>
      <c r="AX268" s="6">
        <v>17708</v>
      </c>
      <c r="AY268" s="5">
        <v>42796</v>
      </c>
      <c r="AZ268" s="5">
        <v>43101</v>
      </c>
      <c r="BA268" s="7">
        <v>43100</v>
      </c>
      <c r="BB268" s="1" t="s">
        <v>1310</v>
      </c>
      <c r="BC268" s="1"/>
      <c r="BD268" s="1" t="s">
        <v>901</v>
      </c>
    </row>
    <row r="269" spans="1:56" hidden="1" x14ac:dyDescent="0.25">
      <c r="A269" s="4">
        <v>264</v>
      </c>
      <c r="B269" s="2" t="str">
        <f>HYPERLINK("https://my.zakupki.prom.ua/remote/dispatcher/state_purchase_view/2203842", "UA-2017-02-18-000018-c")</f>
        <v>UA-2017-02-18-000018-c</v>
      </c>
      <c r="C269" s="2" t="s">
        <v>983</v>
      </c>
      <c r="D269" s="1" t="s">
        <v>476</v>
      </c>
      <c r="E269" s="1" t="s">
        <v>1051</v>
      </c>
      <c r="F269" s="1" t="s">
        <v>475</v>
      </c>
      <c r="G269" s="1" t="s">
        <v>883</v>
      </c>
      <c r="H269" s="1" t="s">
        <v>987</v>
      </c>
      <c r="I269" s="1" t="s">
        <v>905</v>
      </c>
      <c r="J269" s="1" t="s">
        <v>158</v>
      </c>
      <c r="K269" s="1" t="s">
        <v>662</v>
      </c>
      <c r="L269" s="1" t="s">
        <v>1207</v>
      </c>
      <c r="M269" s="1" t="s">
        <v>147</v>
      </c>
      <c r="N269" s="1" t="s">
        <v>147</v>
      </c>
      <c r="O269" s="1" t="s">
        <v>147</v>
      </c>
      <c r="P269" s="5">
        <v>42784</v>
      </c>
      <c r="Q269" s="5">
        <v>42784</v>
      </c>
      <c r="R269" s="5">
        <v>42788</v>
      </c>
      <c r="S269" s="5">
        <v>42788</v>
      </c>
      <c r="T269" s="5">
        <v>42790</v>
      </c>
      <c r="U269" s="1" t="s">
        <v>1285</v>
      </c>
      <c r="V269" s="4">
        <v>1</v>
      </c>
      <c r="W269" s="6">
        <v>47721.599999999999</v>
      </c>
      <c r="X269" s="1" t="s">
        <v>983</v>
      </c>
      <c r="Y269" s="4">
        <v>6</v>
      </c>
      <c r="Z269" s="6">
        <v>7953.6</v>
      </c>
      <c r="AA269" s="1" t="s">
        <v>1307</v>
      </c>
      <c r="AB269" s="1" t="s">
        <v>540</v>
      </c>
      <c r="AC269" s="1" t="s">
        <v>1202</v>
      </c>
      <c r="AD269" s="1" t="s">
        <v>704</v>
      </c>
      <c r="AE269" s="1" t="s">
        <v>987</v>
      </c>
      <c r="AF269" s="6">
        <v>47721.599999999999</v>
      </c>
      <c r="AG269" s="6">
        <v>7953.5999999999995</v>
      </c>
      <c r="AH269" s="1" t="s">
        <v>1171</v>
      </c>
      <c r="AI269" s="1"/>
      <c r="AJ269" s="1"/>
      <c r="AK269" s="1" t="s">
        <v>1171</v>
      </c>
      <c r="AL269" s="1" t="s">
        <v>262</v>
      </c>
      <c r="AM269" s="1" t="s">
        <v>624</v>
      </c>
      <c r="AN269" s="1" t="s">
        <v>65</v>
      </c>
      <c r="AO269" s="1"/>
      <c r="AP269" s="1"/>
      <c r="AQ269" s="2"/>
      <c r="AR269" s="7">
        <v>42790.564200496228</v>
      </c>
      <c r="AS269" s="5">
        <v>42794</v>
      </c>
      <c r="AT269" s="5">
        <v>42818</v>
      </c>
      <c r="AU269" s="1" t="s">
        <v>1287</v>
      </c>
      <c r="AV269" s="7">
        <v>42803.646272595113</v>
      </c>
      <c r="AW269" s="1" t="s">
        <v>395</v>
      </c>
      <c r="AX269" s="6">
        <v>47721.599999999999</v>
      </c>
      <c r="AY269" s="5">
        <v>42784</v>
      </c>
      <c r="AZ269" s="5">
        <v>43100</v>
      </c>
      <c r="BA269" s="7">
        <v>43100</v>
      </c>
      <c r="BB269" s="1" t="s">
        <v>1310</v>
      </c>
      <c r="BC269" s="1"/>
      <c r="BD269" s="1" t="s">
        <v>901</v>
      </c>
    </row>
    <row r="270" spans="1:56" hidden="1" x14ac:dyDescent="0.25">
      <c r="A270" s="4">
        <v>265</v>
      </c>
      <c r="B270" s="2" t="str">
        <f>HYPERLINK("https://my.zakupki.prom.ua/remote/dispatcher/state_purchase_view/2198002", "UA-2017-02-17-001891-c")</f>
        <v>UA-2017-02-17-001891-c</v>
      </c>
      <c r="C270" s="2" t="str">
        <f>HYPERLINK("https://my.zakupki.prom.ua/remote/dispatcher/state_purchase_lot_view/172338", "UA-2017-02-17-001891-c-L1")</f>
        <v>UA-2017-02-17-001891-c-L1</v>
      </c>
      <c r="D270" s="1" t="s">
        <v>5</v>
      </c>
      <c r="E270" s="1" t="s">
        <v>932</v>
      </c>
      <c r="F270" s="1" t="s">
        <v>381</v>
      </c>
      <c r="G270" s="1" t="s">
        <v>883</v>
      </c>
      <c r="H270" s="1" t="s">
        <v>987</v>
      </c>
      <c r="I270" s="1" t="s">
        <v>905</v>
      </c>
      <c r="J270" s="1" t="s">
        <v>158</v>
      </c>
      <c r="K270" s="1" t="s">
        <v>662</v>
      </c>
      <c r="L270" s="1" t="s">
        <v>1207</v>
      </c>
      <c r="M270" s="1" t="s">
        <v>148</v>
      </c>
      <c r="N270" s="1" t="s">
        <v>148</v>
      </c>
      <c r="O270" s="1" t="s">
        <v>148</v>
      </c>
      <c r="P270" s="5">
        <v>42783</v>
      </c>
      <c r="Q270" s="5">
        <v>42783</v>
      </c>
      <c r="R270" s="5">
        <v>42788</v>
      </c>
      <c r="S270" s="5">
        <v>42788</v>
      </c>
      <c r="T270" s="5">
        <v>42790</v>
      </c>
      <c r="U270" s="1" t="s">
        <v>1286</v>
      </c>
      <c r="V270" s="4">
        <v>1</v>
      </c>
      <c r="W270" s="6">
        <v>8000</v>
      </c>
      <c r="X270" s="6">
        <v>8000</v>
      </c>
      <c r="Y270" s="4">
        <v>9</v>
      </c>
      <c r="Z270" s="6">
        <v>888.89</v>
      </c>
      <c r="AA270" s="1" t="s">
        <v>1301</v>
      </c>
      <c r="AB270" s="1" t="s">
        <v>540</v>
      </c>
      <c r="AC270" s="1" t="s">
        <v>987</v>
      </c>
      <c r="AD270" s="1" t="s">
        <v>704</v>
      </c>
      <c r="AE270" s="1" t="s">
        <v>987</v>
      </c>
      <c r="AF270" s="6">
        <v>8000</v>
      </c>
      <c r="AG270" s="6">
        <v>888.88888888888891</v>
      </c>
      <c r="AH270" s="1" t="s">
        <v>1256</v>
      </c>
      <c r="AI270" s="1"/>
      <c r="AJ270" s="1"/>
      <c r="AK270" s="1" t="s">
        <v>1256</v>
      </c>
      <c r="AL270" s="1" t="s">
        <v>230</v>
      </c>
      <c r="AM270" s="1" t="s">
        <v>583</v>
      </c>
      <c r="AN270" s="1" t="s">
        <v>102</v>
      </c>
      <c r="AO270" s="1"/>
      <c r="AP270" s="1"/>
      <c r="AQ270" s="2"/>
      <c r="AR270" s="7">
        <v>42793.561504235338</v>
      </c>
      <c r="AS270" s="5">
        <v>42795</v>
      </c>
      <c r="AT270" s="5">
        <v>42818</v>
      </c>
      <c r="AU270" s="1" t="s">
        <v>1287</v>
      </c>
      <c r="AV270" s="7">
        <v>42803.670425138589</v>
      </c>
      <c r="AW270" s="1" t="s">
        <v>303</v>
      </c>
      <c r="AX270" s="6">
        <v>8000</v>
      </c>
      <c r="AY270" s="5">
        <v>42793</v>
      </c>
      <c r="AZ270" s="5">
        <v>42827</v>
      </c>
      <c r="BA270" s="7">
        <v>43100</v>
      </c>
      <c r="BB270" s="1" t="s">
        <v>1310</v>
      </c>
      <c r="BC270" s="1"/>
      <c r="BD270" s="1" t="s">
        <v>901</v>
      </c>
    </row>
    <row r="271" spans="1:56" hidden="1" x14ac:dyDescent="0.25">
      <c r="A271" s="4">
        <v>266</v>
      </c>
      <c r="B271" s="2" t="str">
        <f>HYPERLINK("https://my.zakupki.prom.ua/remote/dispatcher/state_purchase_view/1187380", "UA-2016-12-14-000294-b")</f>
        <v>UA-2016-12-14-000294-b</v>
      </c>
      <c r="C271" s="2" t="s">
        <v>983</v>
      </c>
      <c r="D271" s="1" t="s">
        <v>345</v>
      </c>
      <c r="E271" s="1" t="s">
        <v>1053</v>
      </c>
      <c r="F271" s="1" t="s">
        <v>473</v>
      </c>
      <c r="G271" s="1" t="s">
        <v>883</v>
      </c>
      <c r="H271" s="1" t="s">
        <v>987</v>
      </c>
      <c r="I271" s="1" t="s">
        <v>905</v>
      </c>
      <c r="J271" s="1" t="s">
        <v>158</v>
      </c>
      <c r="K271" s="1" t="s">
        <v>662</v>
      </c>
      <c r="L271" s="1" t="s">
        <v>1207</v>
      </c>
      <c r="M271" s="1" t="s">
        <v>147</v>
      </c>
      <c r="N271" s="1" t="s">
        <v>147</v>
      </c>
      <c r="O271" s="1" t="s">
        <v>147</v>
      </c>
      <c r="P271" s="5">
        <v>42718</v>
      </c>
      <c r="Q271" s="5">
        <v>42718</v>
      </c>
      <c r="R271" s="5">
        <v>42719</v>
      </c>
      <c r="S271" s="5">
        <v>42719</v>
      </c>
      <c r="T271" s="5">
        <v>42722</v>
      </c>
      <c r="U271" s="1" t="s">
        <v>1285</v>
      </c>
      <c r="V271" s="4">
        <v>1</v>
      </c>
      <c r="W271" s="6">
        <v>12603.46</v>
      </c>
      <c r="X271" s="1" t="s">
        <v>983</v>
      </c>
      <c r="Y271" s="4">
        <v>1</v>
      </c>
      <c r="Z271" s="6">
        <v>12603.46</v>
      </c>
      <c r="AA271" s="1" t="s">
        <v>1307</v>
      </c>
      <c r="AB271" s="1" t="s">
        <v>540</v>
      </c>
      <c r="AC271" s="1" t="s">
        <v>1202</v>
      </c>
      <c r="AD271" s="1" t="s">
        <v>704</v>
      </c>
      <c r="AE271" s="1" t="s">
        <v>987</v>
      </c>
      <c r="AF271" s="6">
        <v>12603.46</v>
      </c>
      <c r="AG271" s="6">
        <v>12603.46</v>
      </c>
      <c r="AH271" s="1" t="s">
        <v>1193</v>
      </c>
      <c r="AI271" s="1"/>
      <c r="AJ271" s="1"/>
      <c r="AK271" s="1" t="s">
        <v>1193</v>
      </c>
      <c r="AL271" s="1" t="s">
        <v>323</v>
      </c>
      <c r="AM271" s="1" t="s">
        <v>625</v>
      </c>
      <c r="AN271" s="1" t="s">
        <v>65</v>
      </c>
      <c r="AO271" s="1"/>
      <c r="AP271" s="1"/>
      <c r="AQ271" s="2"/>
      <c r="AR271" s="7">
        <v>42723.372750662973</v>
      </c>
      <c r="AS271" s="5">
        <v>42725</v>
      </c>
      <c r="AT271" s="5">
        <v>42749</v>
      </c>
      <c r="AU271" s="1" t="s">
        <v>1287</v>
      </c>
      <c r="AV271" s="7">
        <v>42725.378470300384</v>
      </c>
      <c r="AW271" s="1" t="s">
        <v>259</v>
      </c>
      <c r="AX271" s="6">
        <v>12603.46</v>
      </c>
      <c r="AY271" s="5">
        <v>42723</v>
      </c>
      <c r="AZ271" s="5">
        <v>42727</v>
      </c>
      <c r="BA271" s="7">
        <v>42735</v>
      </c>
      <c r="BB271" s="1" t="s">
        <v>1310</v>
      </c>
      <c r="BC271" s="1"/>
      <c r="BD271" s="1" t="s">
        <v>901</v>
      </c>
    </row>
    <row r="272" spans="1:56" hidden="1" x14ac:dyDescent="0.25">
      <c r="A272" s="4">
        <v>267</v>
      </c>
      <c r="B272" s="2" t="str">
        <f>HYPERLINK("https://my.zakupki.prom.ua/remote/dispatcher/state_purchase_view/1068658", "UA-2016-12-01-001095-a")</f>
        <v>UA-2016-12-01-001095-a</v>
      </c>
      <c r="C272" s="2" t="str">
        <f>HYPERLINK("https://my.zakupki.prom.ua/remote/dispatcher/state_purchase_lot_view/126032", "UA-2016-12-01-001095-a-L1")</f>
        <v>UA-2016-12-01-001095-a-L1</v>
      </c>
      <c r="D272" s="1" t="s">
        <v>877</v>
      </c>
      <c r="E272" s="1" t="s">
        <v>876</v>
      </c>
      <c r="F272" s="1" t="s">
        <v>279</v>
      </c>
      <c r="G272" s="1" t="s">
        <v>883</v>
      </c>
      <c r="H272" s="1" t="s">
        <v>987</v>
      </c>
      <c r="I272" s="1" t="s">
        <v>905</v>
      </c>
      <c r="J272" s="1" t="s">
        <v>158</v>
      </c>
      <c r="K272" s="1" t="s">
        <v>662</v>
      </c>
      <c r="L272" s="1" t="s">
        <v>1207</v>
      </c>
      <c r="M272" s="1" t="s">
        <v>148</v>
      </c>
      <c r="N272" s="1" t="s">
        <v>148</v>
      </c>
      <c r="O272" s="1" t="s">
        <v>148</v>
      </c>
      <c r="P272" s="5">
        <v>42705</v>
      </c>
      <c r="Q272" s="5">
        <v>42705</v>
      </c>
      <c r="R272" s="5">
        <v>42706</v>
      </c>
      <c r="S272" s="5">
        <v>42706</v>
      </c>
      <c r="T272" s="5">
        <v>42709</v>
      </c>
      <c r="U272" s="7">
        <v>42710.530740740738</v>
      </c>
      <c r="V272" s="4">
        <v>2</v>
      </c>
      <c r="W272" s="6">
        <v>20200</v>
      </c>
      <c r="X272" s="6">
        <v>20200</v>
      </c>
      <c r="Y272" s="4">
        <v>103</v>
      </c>
      <c r="Z272" s="6">
        <v>196.12</v>
      </c>
      <c r="AA272" s="1" t="s">
        <v>1319</v>
      </c>
      <c r="AB272" s="1" t="s">
        <v>540</v>
      </c>
      <c r="AC272" s="1" t="s">
        <v>1202</v>
      </c>
      <c r="AD272" s="1" t="s">
        <v>704</v>
      </c>
      <c r="AE272" s="1" t="s">
        <v>987</v>
      </c>
      <c r="AF272" s="6">
        <v>11387.7</v>
      </c>
      <c r="AG272" s="6">
        <v>110.56019417475729</v>
      </c>
      <c r="AH272" s="1" t="s">
        <v>1141</v>
      </c>
      <c r="AI272" s="6">
        <v>8812.2999999999993</v>
      </c>
      <c r="AJ272" s="6">
        <v>0.4362524752475247</v>
      </c>
      <c r="AK272" s="1" t="s">
        <v>1314</v>
      </c>
      <c r="AL272" s="1" t="s">
        <v>414</v>
      </c>
      <c r="AM272" s="1" t="s">
        <v>622</v>
      </c>
      <c r="AN272" s="1" t="s">
        <v>419</v>
      </c>
      <c r="AO272" s="6">
        <v>2319.9399999999987</v>
      </c>
      <c r="AP272" s="6">
        <v>0.11484851485148509</v>
      </c>
      <c r="AQ272" s="2" t="str">
        <f>HYPERLINK("https://auction.openprocurement.org/tenders/974043cc3aa94ec0b6b8e44d2b9ec77b_6e99d3bafa3c4965aac5643dcac39ac2")</f>
        <v>https://auction.openprocurement.org/tenders/974043cc3aa94ec0b6b8e44d2b9ec77b_6e99d3bafa3c4965aac5643dcac39ac2</v>
      </c>
      <c r="AR272" s="7">
        <v>42710.680587539675</v>
      </c>
      <c r="AS272" s="5">
        <v>42712</v>
      </c>
      <c r="AT272" s="5">
        <v>42736</v>
      </c>
      <c r="AU272" s="1" t="s">
        <v>1287</v>
      </c>
      <c r="AV272" s="7">
        <v>42713.451560792695</v>
      </c>
      <c r="AW272" s="1" t="s">
        <v>511</v>
      </c>
      <c r="AX272" s="6">
        <v>17880.060000000001</v>
      </c>
      <c r="AY272" s="5">
        <v>42711</v>
      </c>
      <c r="AZ272" s="5">
        <v>42735</v>
      </c>
      <c r="BA272" s="7">
        <v>42735</v>
      </c>
      <c r="BB272" s="1" t="s">
        <v>1310</v>
      </c>
      <c r="BC272" s="1"/>
      <c r="BD272" s="1" t="s">
        <v>901</v>
      </c>
    </row>
    <row r="273" spans="1:56" hidden="1" x14ac:dyDescent="0.25">
      <c r="A273" s="4">
        <v>268</v>
      </c>
      <c r="B273" s="2" t="str">
        <f>HYPERLINK("https://my.zakupki.prom.ua/remote/dispatcher/state_purchase_view/1067375", "UA-2016-12-01-000804-a")</f>
        <v>UA-2016-12-01-000804-a</v>
      </c>
      <c r="C273" s="2" t="str">
        <f>HYPERLINK("https://my.zakupki.prom.ua/remote/dispatcher/state_purchase_lot_view/125904", "UA-2016-12-01-000804-a-L1")</f>
        <v>UA-2016-12-01-000804-a-L1</v>
      </c>
      <c r="D273" s="1" t="s">
        <v>696</v>
      </c>
      <c r="E273" s="1" t="s">
        <v>695</v>
      </c>
      <c r="F273" s="1" t="s">
        <v>357</v>
      </c>
      <c r="G273" s="1" t="s">
        <v>883</v>
      </c>
      <c r="H273" s="1" t="s">
        <v>987</v>
      </c>
      <c r="I273" s="1" t="s">
        <v>905</v>
      </c>
      <c r="J273" s="1" t="s">
        <v>158</v>
      </c>
      <c r="K273" s="1" t="s">
        <v>662</v>
      </c>
      <c r="L273" s="1" t="s">
        <v>1207</v>
      </c>
      <c r="M273" s="1" t="s">
        <v>148</v>
      </c>
      <c r="N273" s="1" t="s">
        <v>148</v>
      </c>
      <c r="O273" s="1" t="s">
        <v>148</v>
      </c>
      <c r="P273" s="5">
        <v>42705</v>
      </c>
      <c r="Q273" s="5">
        <v>42705</v>
      </c>
      <c r="R273" s="5">
        <v>42706</v>
      </c>
      <c r="S273" s="5">
        <v>42706</v>
      </c>
      <c r="T273" s="5">
        <v>42709</v>
      </c>
      <c r="U273" s="7">
        <v>42710.528912037036</v>
      </c>
      <c r="V273" s="4">
        <v>3</v>
      </c>
      <c r="W273" s="6">
        <v>6800</v>
      </c>
      <c r="X273" s="6">
        <v>6800</v>
      </c>
      <c r="Y273" s="4">
        <v>3700</v>
      </c>
      <c r="Z273" s="6">
        <v>1.84</v>
      </c>
      <c r="AA273" s="1" t="s">
        <v>1319</v>
      </c>
      <c r="AB273" s="1" t="s">
        <v>540</v>
      </c>
      <c r="AC273" s="1" t="s">
        <v>1202</v>
      </c>
      <c r="AD273" s="1" t="s">
        <v>704</v>
      </c>
      <c r="AE273" s="1" t="s">
        <v>987</v>
      </c>
      <c r="AF273" s="6">
        <v>5365</v>
      </c>
      <c r="AG273" s="6">
        <v>1.45</v>
      </c>
      <c r="AH273" s="1" t="s">
        <v>1188</v>
      </c>
      <c r="AI273" s="6">
        <v>1435</v>
      </c>
      <c r="AJ273" s="6">
        <v>0.21102941176470588</v>
      </c>
      <c r="AK273" s="1" t="s">
        <v>1188</v>
      </c>
      <c r="AL273" s="1" t="s">
        <v>438</v>
      </c>
      <c r="AM273" s="1" t="s">
        <v>573</v>
      </c>
      <c r="AN273" s="1" t="s">
        <v>87</v>
      </c>
      <c r="AO273" s="6">
        <v>1435</v>
      </c>
      <c r="AP273" s="6">
        <v>0.21102941176470588</v>
      </c>
      <c r="AQ273" s="2" t="str">
        <f>HYPERLINK("https://auction.openprocurement.org/tenders/756713b458b7407abc1e347c76725ac0_e57069df38234386ab64429161b5d931")</f>
        <v>https://auction.openprocurement.org/tenders/756713b458b7407abc1e347c76725ac0_e57069df38234386ab64429161b5d931</v>
      </c>
      <c r="AR273" s="7">
        <v>42710.685611585264</v>
      </c>
      <c r="AS273" s="5">
        <v>42712</v>
      </c>
      <c r="AT273" s="5">
        <v>42736</v>
      </c>
      <c r="AU273" s="1" t="s">
        <v>1287</v>
      </c>
      <c r="AV273" s="7">
        <v>42713.447140476725</v>
      </c>
      <c r="AW273" s="1" t="s">
        <v>492</v>
      </c>
      <c r="AX273" s="6">
        <v>5365</v>
      </c>
      <c r="AY273" s="5">
        <v>42710</v>
      </c>
      <c r="AZ273" s="5">
        <v>42735</v>
      </c>
      <c r="BA273" s="7">
        <v>42735</v>
      </c>
      <c r="BB273" s="1" t="s">
        <v>1310</v>
      </c>
      <c r="BC273" s="1"/>
      <c r="BD273" s="1" t="s">
        <v>901</v>
      </c>
    </row>
    <row r="274" spans="1:56" hidden="1" x14ac:dyDescent="0.25">
      <c r="A274" s="4">
        <v>269</v>
      </c>
      <c r="B274" s="2" t="str">
        <f>HYPERLINK("https://my.zakupki.prom.ua/remote/dispatcher/state_purchase_view/1067291", "UA-2016-12-01-000778-a")</f>
        <v>UA-2016-12-01-000778-a</v>
      </c>
      <c r="C274" s="2" t="str">
        <f>HYPERLINK("https://my.zakupki.prom.ua/remote/dispatcher/state_purchase_lot_view/125898", "UA-2016-12-01-000778-a-L1")</f>
        <v>UA-2016-12-01-000778-a-L1</v>
      </c>
      <c r="D274" s="1" t="s">
        <v>1097</v>
      </c>
      <c r="E274" s="1" t="s">
        <v>1095</v>
      </c>
      <c r="F274" s="1" t="s">
        <v>228</v>
      </c>
      <c r="G274" s="1" t="s">
        <v>883</v>
      </c>
      <c r="H274" s="1" t="s">
        <v>987</v>
      </c>
      <c r="I274" s="1" t="s">
        <v>905</v>
      </c>
      <c r="J274" s="1" t="s">
        <v>158</v>
      </c>
      <c r="K274" s="1" t="s">
        <v>662</v>
      </c>
      <c r="L274" s="1" t="s">
        <v>1207</v>
      </c>
      <c r="M274" s="1" t="s">
        <v>148</v>
      </c>
      <c r="N274" s="1" t="s">
        <v>148</v>
      </c>
      <c r="O274" s="1" t="s">
        <v>148</v>
      </c>
      <c r="P274" s="5">
        <v>42705</v>
      </c>
      <c r="Q274" s="5">
        <v>42705</v>
      </c>
      <c r="R274" s="5">
        <v>42706</v>
      </c>
      <c r="S274" s="5">
        <v>42706</v>
      </c>
      <c r="T274" s="5">
        <v>42709</v>
      </c>
      <c r="U274" s="7">
        <v>42710.508622685185</v>
      </c>
      <c r="V274" s="4">
        <v>2</v>
      </c>
      <c r="W274" s="6">
        <v>7750</v>
      </c>
      <c r="X274" s="6">
        <v>7750</v>
      </c>
      <c r="Y274" s="4">
        <v>6000</v>
      </c>
      <c r="Z274" s="6">
        <v>1.29</v>
      </c>
      <c r="AA274" s="1" t="s">
        <v>1305</v>
      </c>
      <c r="AB274" s="1" t="s">
        <v>540</v>
      </c>
      <c r="AC274" s="1" t="s">
        <v>1202</v>
      </c>
      <c r="AD274" s="1" t="s">
        <v>704</v>
      </c>
      <c r="AE274" s="1" t="s">
        <v>987</v>
      </c>
      <c r="AF274" s="6">
        <v>6599.99</v>
      </c>
      <c r="AG274" s="6">
        <v>1.0999983333333332</v>
      </c>
      <c r="AH274" s="1" t="s">
        <v>1188</v>
      </c>
      <c r="AI274" s="6">
        <v>1150.0100000000002</v>
      </c>
      <c r="AJ274" s="6">
        <v>0.14838838709677421</v>
      </c>
      <c r="AK274" s="1" t="s">
        <v>1188</v>
      </c>
      <c r="AL274" s="1" t="s">
        <v>438</v>
      </c>
      <c r="AM274" s="1" t="s">
        <v>573</v>
      </c>
      <c r="AN274" s="1" t="s">
        <v>87</v>
      </c>
      <c r="AO274" s="6">
        <v>1150.0100000000002</v>
      </c>
      <c r="AP274" s="6">
        <v>0.14838838709677421</v>
      </c>
      <c r="AQ274" s="2" t="str">
        <f>HYPERLINK("https://auction.openprocurement.org/tenders/badaeaef28a5498aac08d608039bf052_cf544ecc107c4ed69db3ecab08bcbcc0")</f>
        <v>https://auction.openprocurement.org/tenders/badaeaef28a5498aac08d608039bf052_cf544ecc107c4ed69db3ecab08bcbcc0</v>
      </c>
      <c r="AR274" s="7">
        <v>42710.688018244182</v>
      </c>
      <c r="AS274" s="5">
        <v>42712</v>
      </c>
      <c r="AT274" s="5">
        <v>42736</v>
      </c>
      <c r="AU274" s="1" t="s">
        <v>1287</v>
      </c>
      <c r="AV274" s="7">
        <v>42713.444091110046</v>
      </c>
      <c r="AW274" s="1" t="s">
        <v>493</v>
      </c>
      <c r="AX274" s="6">
        <v>6599.99</v>
      </c>
      <c r="AY274" s="5">
        <v>42710</v>
      </c>
      <c r="AZ274" s="5">
        <v>42735</v>
      </c>
      <c r="BA274" s="7">
        <v>42735</v>
      </c>
      <c r="BB274" s="1" t="s">
        <v>1310</v>
      </c>
      <c r="BC274" s="1"/>
      <c r="BD274" s="1" t="s">
        <v>901</v>
      </c>
    </row>
    <row r="275" spans="1:56" hidden="1" x14ac:dyDescent="0.25">
      <c r="A275" s="4">
        <v>270</v>
      </c>
      <c r="B275" s="2" t="str">
        <f>HYPERLINK("https://my.zakupki.prom.ua/remote/dispatcher/state_purchase_view/1067216", "UA-2016-12-01-000765-a")</f>
        <v>UA-2016-12-01-000765-a</v>
      </c>
      <c r="C275" s="2" t="str">
        <f>HYPERLINK("https://my.zakupki.prom.ua/remote/dispatcher/state_purchase_lot_view/125880", "UA-2016-12-01-000765-a-L1")</f>
        <v>UA-2016-12-01-000765-a-L1</v>
      </c>
      <c r="D275" s="1" t="s">
        <v>1108</v>
      </c>
      <c r="E275" s="1" t="s">
        <v>1107</v>
      </c>
      <c r="F275" s="1" t="s">
        <v>277</v>
      </c>
      <c r="G275" s="1" t="s">
        <v>883</v>
      </c>
      <c r="H275" s="1" t="s">
        <v>987</v>
      </c>
      <c r="I275" s="1" t="s">
        <v>905</v>
      </c>
      <c r="J275" s="1" t="s">
        <v>158</v>
      </c>
      <c r="K275" s="1" t="s">
        <v>662</v>
      </c>
      <c r="L275" s="1" t="s">
        <v>1207</v>
      </c>
      <c r="M275" s="1" t="s">
        <v>148</v>
      </c>
      <c r="N275" s="1" t="s">
        <v>148</v>
      </c>
      <c r="O275" s="1" t="s">
        <v>148</v>
      </c>
      <c r="P275" s="5">
        <v>42705</v>
      </c>
      <c r="Q275" s="5">
        <v>42705</v>
      </c>
      <c r="R275" s="5">
        <v>42706</v>
      </c>
      <c r="S275" s="5">
        <v>42706</v>
      </c>
      <c r="T275" s="5">
        <v>42709</v>
      </c>
      <c r="U275" s="1" t="s">
        <v>1285</v>
      </c>
      <c r="V275" s="4">
        <v>1</v>
      </c>
      <c r="W275" s="6">
        <v>5450</v>
      </c>
      <c r="X275" s="6">
        <v>5450</v>
      </c>
      <c r="Y275" s="4">
        <v>400</v>
      </c>
      <c r="Z275" s="6">
        <v>13.63</v>
      </c>
      <c r="AA275" s="1" t="s">
        <v>1274</v>
      </c>
      <c r="AB275" s="1" t="s">
        <v>540</v>
      </c>
      <c r="AC275" s="1" t="s">
        <v>1202</v>
      </c>
      <c r="AD275" s="1" t="s">
        <v>704</v>
      </c>
      <c r="AE275" s="1" t="s">
        <v>987</v>
      </c>
      <c r="AF275" s="6">
        <v>5234.4399999999996</v>
      </c>
      <c r="AG275" s="6">
        <v>13.086099999999998</v>
      </c>
      <c r="AH275" s="1" t="s">
        <v>1178</v>
      </c>
      <c r="AI275" s="6">
        <v>215.5600000000004</v>
      </c>
      <c r="AJ275" s="6">
        <v>3.9552293577981727E-2</v>
      </c>
      <c r="AK275" s="1"/>
      <c r="AL275" s="1"/>
      <c r="AM275" s="1"/>
      <c r="AN275" s="1"/>
      <c r="AO275" s="1"/>
      <c r="AP275" s="1"/>
      <c r="AQ275" s="2"/>
      <c r="AR275" s="7">
        <v>42710.682931073461</v>
      </c>
      <c r="AS275" s="1"/>
      <c r="AT275" s="1"/>
      <c r="AU275" s="1" t="s">
        <v>1288</v>
      </c>
      <c r="AV275" s="7">
        <v>42712.685224899411</v>
      </c>
      <c r="AW275" s="1"/>
      <c r="AX275" s="1"/>
      <c r="AY275" s="5">
        <v>42710</v>
      </c>
      <c r="AZ275" s="5">
        <v>42735</v>
      </c>
      <c r="BA275" s="1"/>
      <c r="BB275" s="1"/>
      <c r="BC275" s="1"/>
      <c r="BD275" s="1"/>
    </row>
    <row r="276" spans="1:56" hidden="1" x14ac:dyDescent="0.25">
      <c r="A276" s="4">
        <v>271</v>
      </c>
      <c r="B276" s="2" t="str">
        <f>HYPERLINK("https://my.zakupki.prom.ua/remote/dispatcher/state_purchase_view/1003919", "UA-2016-11-24-000517-a")</f>
        <v>UA-2016-11-24-000517-a</v>
      </c>
      <c r="C276" s="2" t="str">
        <f>HYPERLINK("https://my.zakupki.prom.ua/remote/dispatcher/state_purchase_lot_view/121367", "UA-2016-11-24-000517-a-L1")</f>
        <v>UA-2016-11-24-000517-a-L1</v>
      </c>
      <c r="D276" s="1" t="s">
        <v>1113</v>
      </c>
      <c r="E276" s="1" t="s">
        <v>1109</v>
      </c>
      <c r="F276" s="1" t="s">
        <v>355</v>
      </c>
      <c r="G276" s="1" t="s">
        <v>883</v>
      </c>
      <c r="H276" s="1" t="s">
        <v>987</v>
      </c>
      <c r="I276" s="1" t="s">
        <v>905</v>
      </c>
      <c r="J276" s="1" t="s">
        <v>158</v>
      </c>
      <c r="K276" s="1" t="s">
        <v>662</v>
      </c>
      <c r="L276" s="1" t="s">
        <v>1207</v>
      </c>
      <c r="M276" s="1" t="s">
        <v>148</v>
      </c>
      <c r="N276" s="1" t="s">
        <v>148</v>
      </c>
      <c r="O276" s="1" t="s">
        <v>148</v>
      </c>
      <c r="P276" s="5">
        <v>42698</v>
      </c>
      <c r="Q276" s="5">
        <v>42698</v>
      </c>
      <c r="R276" s="5">
        <v>42703</v>
      </c>
      <c r="S276" s="5">
        <v>42703</v>
      </c>
      <c r="T276" s="5">
        <v>42705</v>
      </c>
      <c r="U276" s="1" t="s">
        <v>1285</v>
      </c>
      <c r="V276" s="4">
        <v>0</v>
      </c>
      <c r="W276" s="6">
        <v>20000</v>
      </c>
      <c r="X276" s="6">
        <v>20000</v>
      </c>
      <c r="Y276" s="4">
        <v>10100</v>
      </c>
      <c r="Z276" s="6">
        <v>1.98</v>
      </c>
      <c r="AA276" s="1" t="s">
        <v>1319</v>
      </c>
      <c r="AB276" s="1" t="s">
        <v>540</v>
      </c>
      <c r="AC276" s="1" t="s">
        <v>1202</v>
      </c>
      <c r="AD276" s="1" t="s">
        <v>704</v>
      </c>
      <c r="AE276" s="1" t="s">
        <v>987</v>
      </c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2"/>
      <c r="AR276" s="1"/>
      <c r="AS276" s="1"/>
      <c r="AT276" s="1"/>
      <c r="AU276" s="1" t="s">
        <v>1288</v>
      </c>
      <c r="AV276" s="7">
        <v>42705.504294169245</v>
      </c>
      <c r="AW276" s="1"/>
      <c r="AX276" s="1"/>
      <c r="AY276" s="5">
        <v>42706</v>
      </c>
      <c r="AZ276" s="5">
        <v>42735</v>
      </c>
      <c r="BA276" s="1"/>
      <c r="BB276" s="1"/>
      <c r="BC276" s="1"/>
      <c r="BD276" s="1"/>
    </row>
    <row r="277" spans="1:56" hidden="1" x14ac:dyDescent="0.25">
      <c r="A277" s="4">
        <v>272</v>
      </c>
      <c r="B277" s="2" t="str">
        <f>HYPERLINK("https://my.zakupki.prom.ua/remote/dispatcher/state_purchase_view/978980", "UA-2016-11-22-000774-a")</f>
        <v>UA-2016-11-22-000774-a</v>
      </c>
      <c r="C277" s="2" t="str">
        <f>HYPERLINK("https://my.zakupki.prom.ua/remote/dispatcher/state_purchase_lot_view/119690", "UA-2016-11-22-000774-a-L1")</f>
        <v>UA-2016-11-22-000774-a-L1</v>
      </c>
      <c r="D277" s="1" t="s">
        <v>935</v>
      </c>
      <c r="E277" s="1" t="s">
        <v>931</v>
      </c>
      <c r="F277" s="1" t="s">
        <v>381</v>
      </c>
      <c r="G277" s="1" t="s">
        <v>883</v>
      </c>
      <c r="H277" s="1" t="s">
        <v>987</v>
      </c>
      <c r="I277" s="1" t="s">
        <v>905</v>
      </c>
      <c r="J277" s="1" t="s">
        <v>158</v>
      </c>
      <c r="K277" s="1" t="s">
        <v>662</v>
      </c>
      <c r="L277" s="1" t="s">
        <v>1207</v>
      </c>
      <c r="M277" s="1" t="s">
        <v>148</v>
      </c>
      <c r="N277" s="1" t="s">
        <v>148</v>
      </c>
      <c r="O277" s="1" t="s">
        <v>148</v>
      </c>
      <c r="P277" s="5">
        <v>42696</v>
      </c>
      <c r="Q277" s="5">
        <v>42696</v>
      </c>
      <c r="R277" s="5">
        <v>42699</v>
      </c>
      <c r="S277" s="5">
        <v>42699</v>
      </c>
      <c r="T277" s="5">
        <v>42704</v>
      </c>
      <c r="U277" s="1" t="s">
        <v>1286</v>
      </c>
      <c r="V277" s="4">
        <v>1</v>
      </c>
      <c r="W277" s="6">
        <v>4999</v>
      </c>
      <c r="X277" s="6">
        <v>4999</v>
      </c>
      <c r="Y277" s="4">
        <v>10</v>
      </c>
      <c r="Z277" s="6">
        <v>499.9</v>
      </c>
      <c r="AA277" s="1" t="s">
        <v>1315</v>
      </c>
      <c r="AB277" s="1" t="s">
        <v>540</v>
      </c>
      <c r="AC277" s="1" t="s">
        <v>1202</v>
      </c>
      <c r="AD277" s="1" t="s">
        <v>704</v>
      </c>
      <c r="AE277" s="1" t="s">
        <v>987</v>
      </c>
      <c r="AF277" s="6">
        <v>4997</v>
      </c>
      <c r="AG277" s="6">
        <v>499.7</v>
      </c>
      <c r="AH277" s="1" t="s">
        <v>1006</v>
      </c>
      <c r="AI277" s="6">
        <v>2</v>
      </c>
      <c r="AJ277" s="6">
        <v>4.0008001600320064E-4</v>
      </c>
      <c r="AK277" s="1" t="s">
        <v>1006</v>
      </c>
      <c r="AL277" s="1" t="s">
        <v>335</v>
      </c>
      <c r="AM277" s="1" t="s">
        <v>539</v>
      </c>
      <c r="AN277" s="1" t="s">
        <v>53</v>
      </c>
      <c r="AO277" s="6">
        <v>2</v>
      </c>
      <c r="AP277" s="6">
        <v>4.0008001600320064E-4</v>
      </c>
      <c r="AQ277" s="2"/>
      <c r="AR277" s="7">
        <v>42704.635997271333</v>
      </c>
      <c r="AS277" s="5">
        <v>42706</v>
      </c>
      <c r="AT277" s="5">
        <v>42729</v>
      </c>
      <c r="AU277" s="1" t="s">
        <v>1287</v>
      </c>
      <c r="AV277" s="7">
        <v>42712.700774835823</v>
      </c>
      <c r="AW277" s="1" t="s">
        <v>487</v>
      </c>
      <c r="AX277" s="6">
        <v>4997</v>
      </c>
      <c r="AY277" s="5">
        <v>42705</v>
      </c>
      <c r="AZ277" s="5">
        <v>42735</v>
      </c>
      <c r="BA277" s="7">
        <v>42735</v>
      </c>
      <c r="BB277" s="1" t="s">
        <v>1310</v>
      </c>
      <c r="BC277" s="1"/>
      <c r="BD277" s="1" t="s">
        <v>901</v>
      </c>
    </row>
    <row r="278" spans="1:56" hidden="1" x14ac:dyDescent="0.25">
      <c r="A278" s="4">
        <v>273</v>
      </c>
      <c r="B278" s="2" t="str">
        <f>HYPERLINK("https://my.zakupki.prom.ua/remote/dispatcher/state_purchase_view/978698", "UA-2016-11-22-000730-a")</f>
        <v>UA-2016-11-22-000730-a</v>
      </c>
      <c r="C278" s="2" t="str">
        <f>HYPERLINK("https://my.zakupki.prom.ua/remote/dispatcher/state_purchase_lot_view/119671", "UA-2016-11-22-000730-a-L1")</f>
        <v>UA-2016-11-22-000730-a-L1</v>
      </c>
      <c r="D278" s="1" t="s">
        <v>937</v>
      </c>
      <c r="E278" s="1" t="s">
        <v>931</v>
      </c>
      <c r="F278" s="1" t="s">
        <v>381</v>
      </c>
      <c r="G278" s="1" t="s">
        <v>883</v>
      </c>
      <c r="H278" s="1" t="s">
        <v>987</v>
      </c>
      <c r="I278" s="1" t="s">
        <v>905</v>
      </c>
      <c r="J278" s="1" t="s">
        <v>158</v>
      </c>
      <c r="K278" s="1" t="s">
        <v>662</v>
      </c>
      <c r="L278" s="1" t="s">
        <v>1207</v>
      </c>
      <c r="M278" s="1" t="s">
        <v>148</v>
      </c>
      <c r="N278" s="1" t="s">
        <v>148</v>
      </c>
      <c r="O278" s="1" t="s">
        <v>148</v>
      </c>
      <c r="P278" s="5">
        <v>42696</v>
      </c>
      <c r="Q278" s="5">
        <v>42696</v>
      </c>
      <c r="R278" s="5">
        <v>42699</v>
      </c>
      <c r="S278" s="5">
        <v>42699</v>
      </c>
      <c r="T278" s="5">
        <v>42704</v>
      </c>
      <c r="U278" s="1" t="s">
        <v>1286</v>
      </c>
      <c r="V278" s="4">
        <v>1</v>
      </c>
      <c r="W278" s="6">
        <v>4872</v>
      </c>
      <c r="X278" s="6">
        <v>4872</v>
      </c>
      <c r="Y278" s="4">
        <v>15</v>
      </c>
      <c r="Z278" s="6">
        <v>324.8</v>
      </c>
      <c r="AA278" s="1" t="s">
        <v>1315</v>
      </c>
      <c r="AB278" s="1" t="s">
        <v>540</v>
      </c>
      <c r="AC278" s="1" t="s">
        <v>1202</v>
      </c>
      <c r="AD278" s="1" t="s">
        <v>704</v>
      </c>
      <c r="AE278" s="1" t="s">
        <v>987</v>
      </c>
      <c r="AF278" s="6">
        <v>4300</v>
      </c>
      <c r="AG278" s="6">
        <v>286.66666666666669</v>
      </c>
      <c r="AH278" s="1" t="s">
        <v>1006</v>
      </c>
      <c r="AI278" s="6">
        <v>572</v>
      </c>
      <c r="AJ278" s="6">
        <v>0.1174055829228243</v>
      </c>
      <c r="AK278" s="1" t="s">
        <v>1006</v>
      </c>
      <c r="AL278" s="1" t="s">
        <v>335</v>
      </c>
      <c r="AM278" s="1" t="s">
        <v>539</v>
      </c>
      <c r="AN278" s="1" t="s">
        <v>53</v>
      </c>
      <c r="AO278" s="6">
        <v>572</v>
      </c>
      <c r="AP278" s="6">
        <v>0.1174055829228243</v>
      </c>
      <c r="AQ278" s="2"/>
      <c r="AR278" s="7">
        <v>42704.633746861109</v>
      </c>
      <c r="AS278" s="5">
        <v>42706</v>
      </c>
      <c r="AT278" s="5">
        <v>42729</v>
      </c>
      <c r="AU278" s="1" t="s">
        <v>1287</v>
      </c>
      <c r="AV278" s="7">
        <v>42712.705284724063</v>
      </c>
      <c r="AW278" s="1" t="s">
        <v>486</v>
      </c>
      <c r="AX278" s="6">
        <v>4300</v>
      </c>
      <c r="AY278" s="5">
        <v>42705</v>
      </c>
      <c r="AZ278" s="5">
        <v>42735</v>
      </c>
      <c r="BA278" s="7">
        <v>42735</v>
      </c>
      <c r="BB278" s="1" t="s">
        <v>1310</v>
      </c>
      <c r="BC278" s="1"/>
      <c r="BD278" s="1" t="s">
        <v>901</v>
      </c>
    </row>
    <row r="279" spans="1:56" hidden="1" x14ac:dyDescent="0.25">
      <c r="A279" s="4">
        <v>274</v>
      </c>
      <c r="B279" s="2" t="str">
        <f>HYPERLINK("https://my.zakupki.prom.ua/remote/dispatcher/state_purchase_view/977079", "UA-2016-11-22-000485-a")</f>
        <v>UA-2016-11-22-000485-a</v>
      </c>
      <c r="C279" s="2" t="str">
        <f>HYPERLINK("https://my.zakupki.prom.ua/remote/dispatcher/state_purchase_lot_view/119503", "UA-2016-11-22-000485-a-L1")</f>
        <v>UA-2016-11-22-000485-a-L1</v>
      </c>
      <c r="D279" s="1" t="s">
        <v>938</v>
      </c>
      <c r="E279" s="1" t="s">
        <v>931</v>
      </c>
      <c r="F279" s="1" t="s">
        <v>381</v>
      </c>
      <c r="G279" s="1" t="s">
        <v>883</v>
      </c>
      <c r="H279" s="1" t="s">
        <v>987</v>
      </c>
      <c r="I279" s="1" t="s">
        <v>905</v>
      </c>
      <c r="J279" s="1" t="s">
        <v>158</v>
      </c>
      <c r="K279" s="1" t="s">
        <v>662</v>
      </c>
      <c r="L279" s="1" t="s">
        <v>1207</v>
      </c>
      <c r="M279" s="1" t="s">
        <v>148</v>
      </c>
      <c r="N279" s="1" t="s">
        <v>148</v>
      </c>
      <c r="O279" s="1" t="s">
        <v>148</v>
      </c>
      <c r="P279" s="5">
        <v>42696</v>
      </c>
      <c r="Q279" s="5">
        <v>42696</v>
      </c>
      <c r="R279" s="5">
        <v>42699</v>
      </c>
      <c r="S279" s="5">
        <v>42699</v>
      </c>
      <c r="T279" s="5">
        <v>42704</v>
      </c>
      <c r="U279" s="1" t="s">
        <v>1286</v>
      </c>
      <c r="V279" s="4">
        <v>1</v>
      </c>
      <c r="W279" s="6">
        <v>3340</v>
      </c>
      <c r="X279" s="6">
        <v>3340</v>
      </c>
      <c r="Y279" s="4">
        <v>8</v>
      </c>
      <c r="Z279" s="6">
        <v>417.5</v>
      </c>
      <c r="AA279" s="1" t="s">
        <v>1315</v>
      </c>
      <c r="AB279" s="1" t="s">
        <v>540</v>
      </c>
      <c r="AC279" s="1" t="s">
        <v>1202</v>
      </c>
      <c r="AD279" s="1" t="s">
        <v>704</v>
      </c>
      <c r="AE279" s="1" t="s">
        <v>987</v>
      </c>
      <c r="AF279" s="6">
        <v>3340</v>
      </c>
      <c r="AG279" s="6">
        <v>417.5</v>
      </c>
      <c r="AH279" s="1" t="s">
        <v>1177</v>
      </c>
      <c r="AI279" s="1"/>
      <c r="AJ279" s="1"/>
      <c r="AK279" s="1" t="s">
        <v>1177</v>
      </c>
      <c r="AL279" s="1" t="s">
        <v>432</v>
      </c>
      <c r="AM279" s="1" t="s">
        <v>552</v>
      </c>
      <c r="AN279" s="1" t="s">
        <v>95</v>
      </c>
      <c r="AO279" s="1"/>
      <c r="AP279" s="1"/>
      <c r="AQ279" s="2"/>
      <c r="AR279" s="7">
        <v>42704.631098353319</v>
      </c>
      <c r="AS279" s="5">
        <v>42706</v>
      </c>
      <c r="AT279" s="5">
        <v>42729</v>
      </c>
      <c r="AU279" s="1" t="s">
        <v>1287</v>
      </c>
      <c r="AV279" s="7">
        <v>42712.707596433807</v>
      </c>
      <c r="AW279" s="1" t="s">
        <v>489</v>
      </c>
      <c r="AX279" s="6">
        <v>3340</v>
      </c>
      <c r="AY279" s="5">
        <v>42705</v>
      </c>
      <c r="AZ279" s="5">
        <v>42735</v>
      </c>
      <c r="BA279" s="7">
        <v>42735</v>
      </c>
      <c r="BB279" s="1" t="s">
        <v>1310</v>
      </c>
      <c r="BC279" s="1"/>
      <c r="BD279" s="1" t="s">
        <v>901</v>
      </c>
    </row>
    <row r="280" spans="1:56" hidden="1" x14ac:dyDescent="0.25">
      <c r="A280" s="4">
        <v>275</v>
      </c>
      <c r="B280" s="2" t="str">
        <f>HYPERLINK("https://my.zakupki.prom.ua/remote/dispatcher/state_purchase_view/976403", "UA-2016-11-22-000410-a")</f>
        <v>UA-2016-11-22-000410-a</v>
      </c>
      <c r="C280" s="2" t="str">
        <f>HYPERLINK("https://my.zakupki.prom.ua/remote/dispatcher/state_purchase_lot_view/119452", "UA-2016-11-22-000410-a-L1")</f>
        <v>UA-2016-11-22-000410-a-L1</v>
      </c>
      <c r="D280" s="1" t="s">
        <v>936</v>
      </c>
      <c r="E280" s="1" t="s">
        <v>931</v>
      </c>
      <c r="F280" s="1" t="s">
        <v>381</v>
      </c>
      <c r="G280" s="1" t="s">
        <v>883</v>
      </c>
      <c r="H280" s="1" t="s">
        <v>987</v>
      </c>
      <c r="I280" s="1" t="s">
        <v>905</v>
      </c>
      <c r="J280" s="1" t="s">
        <v>158</v>
      </c>
      <c r="K280" s="1" t="s">
        <v>662</v>
      </c>
      <c r="L280" s="1" t="s">
        <v>1207</v>
      </c>
      <c r="M280" s="1" t="s">
        <v>148</v>
      </c>
      <c r="N280" s="1" t="s">
        <v>148</v>
      </c>
      <c r="O280" s="1" t="s">
        <v>148</v>
      </c>
      <c r="P280" s="5">
        <v>42696</v>
      </c>
      <c r="Q280" s="5">
        <v>42696</v>
      </c>
      <c r="R280" s="5">
        <v>42699</v>
      </c>
      <c r="S280" s="5">
        <v>42699</v>
      </c>
      <c r="T280" s="5">
        <v>42704</v>
      </c>
      <c r="U280" s="1" t="s">
        <v>1285</v>
      </c>
      <c r="V280" s="4">
        <v>0</v>
      </c>
      <c r="W280" s="6">
        <v>4390</v>
      </c>
      <c r="X280" s="6">
        <v>4390</v>
      </c>
      <c r="Y280" s="4">
        <v>9</v>
      </c>
      <c r="Z280" s="6">
        <v>487.78</v>
      </c>
      <c r="AA280" s="1" t="s">
        <v>1296</v>
      </c>
      <c r="AB280" s="1" t="s">
        <v>540</v>
      </c>
      <c r="AC280" s="1" t="s">
        <v>1202</v>
      </c>
      <c r="AD280" s="1" t="s">
        <v>704</v>
      </c>
      <c r="AE280" s="1" t="s">
        <v>987</v>
      </c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2"/>
      <c r="AR280" s="1"/>
      <c r="AS280" s="1"/>
      <c r="AT280" s="1"/>
      <c r="AU280" s="1" t="s">
        <v>1288</v>
      </c>
      <c r="AV280" s="7">
        <v>42704.468508582926</v>
      </c>
      <c r="AW280" s="1"/>
      <c r="AX280" s="1"/>
      <c r="AY280" s="5">
        <v>42705</v>
      </c>
      <c r="AZ280" s="5">
        <v>42735</v>
      </c>
      <c r="BA280" s="1"/>
      <c r="BB280" s="1"/>
      <c r="BC280" s="1"/>
      <c r="BD280" s="1"/>
    </row>
    <row r="281" spans="1:56" hidden="1" x14ac:dyDescent="0.25">
      <c r="A281" s="4">
        <v>276</v>
      </c>
      <c r="B281" s="2" t="str">
        <f>HYPERLINK("https://my.zakupki.prom.ua/remote/dispatcher/state_purchase_view/946799", "UA-2016-11-17-001667-a")</f>
        <v>UA-2016-11-17-001667-a</v>
      </c>
      <c r="C281" s="2" t="s">
        <v>983</v>
      </c>
      <c r="D281" s="1" t="s">
        <v>350</v>
      </c>
      <c r="E281" s="1" t="s">
        <v>1056</v>
      </c>
      <c r="F281" s="1" t="s">
        <v>475</v>
      </c>
      <c r="G281" s="1" t="s">
        <v>883</v>
      </c>
      <c r="H281" s="1" t="s">
        <v>987</v>
      </c>
      <c r="I281" s="1" t="s">
        <v>905</v>
      </c>
      <c r="J281" s="1" t="s">
        <v>158</v>
      </c>
      <c r="K281" s="1" t="s">
        <v>662</v>
      </c>
      <c r="L281" s="1" t="s">
        <v>1207</v>
      </c>
      <c r="M281" s="1" t="s">
        <v>147</v>
      </c>
      <c r="N281" s="1" t="s">
        <v>147</v>
      </c>
      <c r="O281" s="1" t="s">
        <v>147</v>
      </c>
      <c r="P281" s="5">
        <v>42691</v>
      </c>
      <c r="Q281" s="5">
        <v>42691</v>
      </c>
      <c r="R281" s="5">
        <v>42696</v>
      </c>
      <c r="S281" s="5">
        <v>42696</v>
      </c>
      <c r="T281" s="5">
        <v>42698</v>
      </c>
      <c r="U281" s="1" t="s">
        <v>1285</v>
      </c>
      <c r="V281" s="4">
        <v>1</v>
      </c>
      <c r="W281" s="6">
        <v>121306</v>
      </c>
      <c r="X281" s="1" t="s">
        <v>983</v>
      </c>
      <c r="Y281" s="4">
        <v>3</v>
      </c>
      <c r="Z281" s="6">
        <v>40435.33</v>
      </c>
      <c r="AA281" s="1" t="s">
        <v>1307</v>
      </c>
      <c r="AB281" s="1" t="s">
        <v>540</v>
      </c>
      <c r="AC281" s="1" t="s">
        <v>1202</v>
      </c>
      <c r="AD281" s="1" t="s">
        <v>704</v>
      </c>
      <c r="AE281" s="1" t="s">
        <v>987</v>
      </c>
      <c r="AF281" s="6">
        <v>121306</v>
      </c>
      <c r="AG281" s="6">
        <v>40435.333333333336</v>
      </c>
      <c r="AH281" s="1" t="s">
        <v>1193</v>
      </c>
      <c r="AI281" s="1"/>
      <c r="AJ281" s="1"/>
      <c r="AK281" s="1" t="s">
        <v>1193</v>
      </c>
      <c r="AL281" s="1" t="s">
        <v>323</v>
      </c>
      <c r="AM281" s="1" t="s">
        <v>625</v>
      </c>
      <c r="AN281" s="1" t="s">
        <v>65</v>
      </c>
      <c r="AO281" s="1"/>
      <c r="AP281" s="1"/>
      <c r="AQ281" s="2"/>
      <c r="AR281" s="7">
        <v>42699.424050727954</v>
      </c>
      <c r="AS281" s="5">
        <v>42703</v>
      </c>
      <c r="AT281" s="5">
        <v>42726</v>
      </c>
      <c r="AU281" s="1" t="s">
        <v>1287</v>
      </c>
      <c r="AV281" s="7">
        <v>42703.516139908737</v>
      </c>
      <c r="AW281" s="1" t="s">
        <v>227</v>
      </c>
      <c r="AX281" s="6">
        <v>121306</v>
      </c>
      <c r="AY281" s="5">
        <v>42699</v>
      </c>
      <c r="AZ281" s="5">
        <v>42704</v>
      </c>
      <c r="BA281" s="7">
        <v>42735</v>
      </c>
      <c r="BB281" s="1" t="s">
        <v>1310</v>
      </c>
      <c r="BC281" s="1"/>
      <c r="BD281" s="1" t="s">
        <v>901</v>
      </c>
    </row>
    <row r="282" spans="1:56" hidden="1" x14ac:dyDescent="0.25">
      <c r="A282" s="4">
        <v>277</v>
      </c>
      <c r="B282" s="2" t="str">
        <f>HYPERLINK("https://my.zakupki.prom.ua/remote/dispatcher/state_purchase_view/946767", "UA-2016-11-17-001673-a")</f>
        <v>UA-2016-11-17-001673-a</v>
      </c>
      <c r="C282" s="2" t="s">
        <v>983</v>
      </c>
      <c r="D282" s="1" t="s">
        <v>349</v>
      </c>
      <c r="E282" s="1" t="s">
        <v>1055</v>
      </c>
      <c r="F282" s="1" t="s">
        <v>473</v>
      </c>
      <c r="G282" s="1" t="s">
        <v>883</v>
      </c>
      <c r="H282" s="1" t="s">
        <v>987</v>
      </c>
      <c r="I282" s="1" t="s">
        <v>905</v>
      </c>
      <c r="J282" s="1" t="s">
        <v>158</v>
      </c>
      <c r="K282" s="1" t="s">
        <v>662</v>
      </c>
      <c r="L282" s="1" t="s">
        <v>1207</v>
      </c>
      <c r="M282" s="1" t="s">
        <v>147</v>
      </c>
      <c r="N282" s="1" t="s">
        <v>147</v>
      </c>
      <c r="O282" s="1" t="s">
        <v>147</v>
      </c>
      <c r="P282" s="5">
        <v>42691</v>
      </c>
      <c r="Q282" s="5">
        <v>42691</v>
      </c>
      <c r="R282" s="5">
        <v>42692</v>
      </c>
      <c r="S282" s="5">
        <v>42692</v>
      </c>
      <c r="T282" s="5">
        <v>42695</v>
      </c>
      <c r="U282" s="1" t="s">
        <v>1285</v>
      </c>
      <c r="V282" s="4">
        <v>1</v>
      </c>
      <c r="W282" s="6">
        <v>10734.33</v>
      </c>
      <c r="X282" s="1" t="s">
        <v>983</v>
      </c>
      <c r="Y282" s="4">
        <v>2</v>
      </c>
      <c r="Z282" s="6">
        <v>5367.16</v>
      </c>
      <c r="AA282" s="1" t="s">
        <v>1307</v>
      </c>
      <c r="AB282" s="1" t="s">
        <v>540</v>
      </c>
      <c r="AC282" s="1" t="s">
        <v>1202</v>
      </c>
      <c r="AD282" s="1" t="s">
        <v>704</v>
      </c>
      <c r="AE282" s="1" t="s">
        <v>987</v>
      </c>
      <c r="AF282" s="6">
        <v>10734.33</v>
      </c>
      <c r="AG282" s="6">
        <v>5367.165</v>
      </c>
      <c r="AH282" s="1" t="s">
        <v>1193</v>
      </c>
      <c r="AI282" s="1"/>
      <c r="AJ282" s="1"/>
      <c r="AK282" s="1" t="s">
        <v>1193</v>
      </c>
      <c r="AL282" s="1" t="s">
        <v>323</v>
      </c>
      <c r="AM282" s="1" t="s">
        <v>625</v>
      </c>
      <c r="AN282" s="1" t="s">
        <v>65</v>
      </c>
      <c r="AO282" s="1"/>
      <c r="AP282" s="1"/>
      <c r="AQ282" s="2"/>
      <c r="AR282" s="7">
        <v>42696.420069386171</v>
      </c>
      <c r="AS282" s="5">
        <v>42698</v>
      </c>
      <c r="AT282" s="5">
        <v>42722</v>
      </c>
      <c r="AU282" s="1" t="s">
        <v>1287</v>
      </c>
      <c r="AV282" s="7">
        <v>42699.440386775917</v>
      </c>
      <c r="AW282" s="1" t="s">
        <v>225</v>
      </c>
      <c r="AX282" s="6">
        <v>10734.33</v>
      </c>
      <c r="AY282" s="5">
        <v>42697</v>
      </c>
      <c r="AZ282" s="5">
        <v>42704</v>
      </c>
      <c r="BA282" s="7">
        <v>42735</v>
      </c>
      <c r="BB282" s="1" t="s">
        <v>1310</v>
      </c>
      <c r="BC282" s="1"/>
      <c r="BD282" s="1" t="s">
        <v>901</v>
      </c>
    </row>
    <row r="283" spans="1:56" hidden="1" x14ac:dyDescent="0.25">
      <c r="A283" s="4">
        <v>278</v>
      </c>
      <c r="B283" s="2" t="str">
        <f>HYPERLINK("https://my.zakupki.prom.ua/remote/dispatcher/state_purchase_view/946713", "UA-2016-11-17-001671-a")</f>
        <v>UA-2016-11-17-001671-a</v>
      </c>
      <c r="C283" s="2" t="s">
        <v>983</v>
      </c>
      <c r="D283" s="1" t="s">
        <v>351</v>
      </c>
      <c r="E283" s="1" t="s">
        <v>1057</v>
      </c>
      <c r="F283" s="1" t="s">
        <v>473</v>
      </c>
      <c r="G283" s="1" t="s">
        <v>883</v>
      </c>
      <c r="H283" s="1" t="s">
        <v>987</v>
      </c>
      <c r="I283" s="1" t="s">
        <v>905</v>
      </c>
      <c r="J283" s="1" t="s">
        <v>158</v>
      </c>
      <c r="K283" s="1" t="s">
        <v>662</v>
      </c>
      <c r="L283" s="1" t="s">
        <v>1207</v>
      </c>
      <c r="M283" s="1" t="s">
        <v>147</v>
      </c>
      <c r="N283" s="1" t="s">
        <v>147</v>
      </c>
      <c r="O283" s="1" t="s">
        <v>147</v>
      </c>
      <c r="P283" s="5">
        <v>42691</v>
      </c>
      <c r="Q283" s="5">
        <v>42691</v>
      </c>
      <c r="R283" s="5">
        <v>42692</v>
      </c>
      <c r="S283" s="5">
        <v>42692</v>
      </c>
      <c r="T283" s="5">
        <v>42695</v>
      </c>
      <c r="U283" s="1" t="s">
        <v>1285</v>
      </c>
      <c r="V283" s="4">
        <v>1</v>
      </c>
      <c r="W283" s="6">
        <v>8304.7999999999993</v>
      </c>
      <c r="X283" s="1" t="s">
        <v>983</v>
      </c>
      <c r="Y283" s="4">
        <v>2</v>
      </c>
      <c r="Z283" s="6">
        <v>4152.3999999999996</v>
      </c>
      <c r="AA283" s="1" t="s">
        <v>1307</v>
      </c>
      <c r="AB283" s="1" t="s">
        <v>540</v>
      </c>
      <c r="AC283" s="1" t="s">
        <v>1202</v>
      </c>
      <c r="AD283" s="1" t="s">
        <v>704</v>
      </c>
      <c r="AE283" s="1" t="s">
        <v>987</v>
      </c>
      <c r="AF283" s="6">
        <v>8304.7999999999993</v>
      </c>
      <c r="AG283" s="6">
        <v>4152.3999999999996</v>
      </c>
      <c r="AH283" s="1" t="s">
        <v>1193</v>
      </c>
      <c r="AI283" s="1"/>
      <c r="AJ283" s="1"/>
      <c r="AK283" s="1" t="s">
        <v>1193</v>
      </c>
      <c r="AL283" s="1" t="s">
        <v>323</v>
      </c>
      <c r="AM283" s="1" t="s">
        <v>625</v>
      </c>
      <c r="AN283" s="1" t="s">
        <v>65</v>
      </c>
      <c r="AO283" s="1"/>
      <c r="AP283" s="1"/>
      <c r="AQ283" s="2"/>
      <c r="AR283" s="7">
        <v>42696.422737340938</v>
      </c>
      <c r="AS283" s="5">
        <v>42698</v>
      </c>
      <c r="AT283" s="5">
        <v>42722</v>
      </c>
      <c r="AU283" s="1" t="s">
        <v>1287</v>
      </c>
      <c r="AV283" s="7">
        <v>42699.443387126958</v>
      </c>
      <c r="AW283" s="1" t="s">
        <v>226</v>
      </c>
      <c r="AX283" s="6">
        <v>8304.7999999999993</v>
      </c>
      <c r="AY283" s="5">
        <v>42698</v>
      </c>
      <c r="AZ283" s="5">
        <v>42704</v>
      </c>
      <c r="BA283" s="7">
        <v>42735</v>
      </c>
      <c r="BB283" s="1" t="s">
        <v>1310</v>
      </c>
      <c r="BC283" s="1"/>
      <c r="BD283" s="1" t="s">
        <v>901</v>
      </c>
    </row>
    <row r="284" spans="1:56" hidden="1" x14ac:dyDescent="0.25">
      <c r="A284" s="4">
        <v>279</v>
      </c>
      <c r="B284" s="2" t="str">
        <f>HYPERLINK("https://my.zakupki.prom.ua/remote/dispatcher/state_purchase_view/946675", "UA-2016-11-17-001674-a")</f>
        <v>UA-2016-11-17-001674-a</v>
      </c>
      <c r="C284" s="2" t="s">
        <v>983</v>
      </c>
      <c r="D284" s="1" t="s">
        <v>3</v>
      </c>
      <c r="E284" s="1" t="s">
        <v>29</v>
      </c>
      <c r="F284" s="1" t="s">
        <v>284</v>
      </c>
      <c r="G284" s="1" t="s">
        <v>883</v>
      </c>
      <c r="H284" s="1" t="s">
        <v>987</v>
      </c>
      <c r="I284" s="1" t="s">
        <v>905</v>
      </c>
      <c r="J284" s="1" t="s">
        <v>158</v>
      </c>
      <c r="K284" s="1" t="s">
        <v>662</v>
      </c>
      <c r="L284" s="1" t="s">
        <v>1207</v>
      </c>
      <c r="M284" s="1" t="s">
        <v>147</v>
      </c>
      <c r="N284" s="1" t="s">
        <v>147</v>
      </c>
      <c r="O284" s="1" t="s">
        <v>147</v>
      </c>
      <c r="P284" s="5">
        <v>42691</v>
      </c>
      <c r="Q284" s="5">
        <v>42691</v>
      </c>
      <c r="R284" s="5">
        <v>42696</v>
      </c>
      <c r="S284" s="5">
        <v>42696</v>
      </c>
      <c r="T284" s="5">
        <v>42698</v>
      </c>
      <c r="U284" s="7">
        <v>42699.5703125</v>
      </c>
      <c r="V284" s="4">
        <v>2</v>
      </c>
      <c r="W284" s="6">
        <v>14367</v>
      </c>
      <c r="X284" s="1" t="s">
        <v>983</v>
      </c>
      <c r="Y284" s="4">
        <v>20</v>
      </c>
      <c r="Z284" s="6">
        <v>718.35</v>
      </c>
      <c r="AA284" s="1" t="s">
        <v>1319</v>
      </c>
      <c r="AB284" s="1" t="s">
        <v>540</v>
      </c>
      <c r="AC284" s="1" t="s">
        <v>1202</v>
      </c>
      <c r="AD284" s="1" t="s">
        <v>704</v>
      </c>
      <c r="AE284" s="1" t="s">
        <v>987</v>
      </c>
      <c r="AF284" s="6">
        <v>12090</v>
      </c>
      <c r="AG284" s="6">
        <v>604.5</v>
      </c>
      <c r="AH284" s="1" t="s">
        <v>1224</v>
      </c>
      <c r="AI284" s="6">
        <v>2277</v>
      </c>
      <c r="AJ284" s="6">
        <v>0.15848820212988099</v>
      </c>
      <c r="AK284" s="1" t="s">
        <v>1224</v>
      </c>
      <c r="AL284" s="1" t="s">
        <v>296</v>
      </c>
      <c r="AM284" s="1" t="s">
        <v>557</v>
      </c>
      <c r="AN284" s="1" t="s">
        <v>104</v>
      </c>
      <c r="AO284" s="6">
        <v>2277</v>
      </c>
      <c r="AP284" s="6">
        <v>0.15848820212988099</v>
      </c>
      <c r="AQ284" s="2" t="str">
        <f>HYPERLINK("https://auction.openprocurement.org/tenders/bb19526b927146b88e7ed5681952be4c")</f>
        <v>https://auction.openprocurement.org/tenders/bb19526b927146b88e7ed5681952be4c</v>
      </c>
      <c r="AR284" s="7">
        <v>42699.624738694118</v>
      </c>
      <c r="AS284" s="5">
        <v>42703</v>
      </c>
      <c r="AT284" s="5">
        <v>42726</v>
      </c>
      <c r="AU284" s="1" t="s">
        <v>1287</v>
      </c>
      <c r="AV284" s="7">
        <v>42712.686994669872</v>
      </c>
      <c r="AW284" s="1" t="s">
        <v>480</v>
      </c>
      <c r="AX284" s="6">
        <v>12090</v>
      </c>
      <c r="AY284" s="5">
        <v>42699</v>
      </c>
      <c r="AZ284" s="5">
        <v>42704</v>
      </c>
      <c r="BA284" s="7">
        <v>42735</v>
      </c>
      <c r="BB284" s="1" t="s">
        <v>1310</v>
      </c>
      <c r="BC284" s="1"/>
      <c r="BD284" s="1" t="s">
        <v>901</v>
      </c>
    </row>
    <row r="285" spans="1:56" hidden="1" x14ac:dyDescent="0.25">
      <c r="A285" s="4">
        <v>280</v>
      </c>
      <c r="B285" s="2" t="str">
        <f>HYPERLINK("https://my.zakupki.prom.ua/remote/dispatcher/state_purchase_view/946585", "UA-2016-11-18-001121-a")</f>
        <v>UA-2016-11-18-001121-a</v>
      </c>
      <c r="C285" s="2" t="str">
        <f>HYPERLINK("https://my.zakupki.prom.ua/remote/dispatcher/state_purchase_lot_view/117133", "UA-2016-11-18-001121-a-L1")</f>
        <v>UA-2016-11-18-001121-a-L1</v>
      </c>
      <c r="D285" s="1" t="s">
        <v>1112</v>
      </c>
      <c r="E285" s="1" t="s">
        <v>1107</v>
      </c>
      <c r="F285" s="1" t="s">
        <v>355</v>
      </c>
      <c r="G285" s="1" t="s">
        <v>883</v>
      </c>
      <c r="H285" s="1" t="s">
        <v>987</v>
      </c>
      <c r="I285" s="1" t="s">
        <v>905</v>
      </c>
      <c r="J285" s="1" t="s">
        <v>158</v>
      </c>
      <c r="K285" s="1" t="s">
        <v>662</v>
      </c>
      <c r="L285" s="1" t="s">
        <v>1207</v>
      </c>
      <c r="M285" s="1" t="s">
        <v>148</v>
      </c>
      <c r="N285" s="1" t="s">
        <v>148</v>
      </c>
      <c r="O285" s="1" t="s">
        <v>148</v>
      </c>
      <c r="P285" s="5">
        <v>42691</v>
      </c>
      <c r="Q285" s="5">
        <v>42692</v>
      </c>
      <c r="R285" s="5">
        <v>42695</v>
      </c>
      <c r="S285" s="5">
        <v>42695</v>
      </c>
      <c r="T285" s="5">
        <v>42697</v>
      </c>
      <c r="U285" s="1" t="s">
        <v>1285</v>
      </c>
      <c r="V285" s="4">
        <v>0</v>
      </c>
      <c r="W285" s="6">
        <v>20000</v>
      </c>
      <c r="X285" s="6">
        <v>5450</v>
      </c>
      <c r="Y285" s="4">
        <v>400</v>
      </c>
      <c r="Z285" s="6">
        <v>13.63</v>
      </c>
      <c r="AA285" s="1" t="s">
        <v>1319</v>
      </c>
      <c r="AB285" s="1" t="s">
        <v>540</v>
      </c>
      <c r="AC285" s="1" t="s">
        <v>1202</v>
      </c>
      <c r="AD285" s="1" t="s">
        <v>704</v>
      </c>
      <c r="AE285" s="1" t="s">
        <v>987</v>
      </c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2"/>
      <c r="AR285" s="1"/>
      <c r="AS285" s="1"/>
      <c r="AT285" s="1"/>
      <c r="AU285" s="1" t="s">
        <v>1288</v>
      </c>
      <c r="AV285" s="7">
        <v>42697.630295428367</v>
      </c>
      <c r="AW285" s="1"/>
      <c r="AX285" s="1"/>
      <c r="AY285" s="5">
        <v>42698</v>
      </c>
      <c r="AZ285" s="5">
        <v>42704</v>
      </c>
      <c r="BA285" s="1"/>
      <c r="BB285" s="1"/>
      <c r="BC285" s="1"/>
      <c r="BD285" s="1"/>
    </row>
    <row r="286" spans="1:56" hidden="1" x14ac:dyDescent="0.25">
      <c r="A286" s="4">
        <v>281</v>
      </c>
      <c r="B286" s="2" t="str">
        <f>HYPERLINK("https://my.zakupki.prom.ua/remote/dispatcher/state_purchase_view/946585", "UA-2016-11-18-001121-a")</f>
        <v>UA-2016-11-18-001121-a</v>
      </c>
      <c r="C286" s="2" t="str">
        <f>HYPERLINK("https://my.zakupki.prom.ua/remote/dispatcher/state_purchase_lot_view/117134", "UA-2016-11-18-001121-a-L2")</f>
        <v>UA-2016-11-18-001121-a-L2</v>
      </c>
      <c r="D286" s="1" t="s">
        <v>1110</v>
      </c>
      <c r="E286" s="1" t="s">
        <v>686</v>
      </c>
      <c r="F286" s="1" t="s">
        <v>355</v>
      </c>
      <c r="G286" s="1" t="s">
        <v>883</v>
      </c>
      <c r="H286" s="1" t="s">
        <v>987</v>
      </c>
      <c r="I286" s="1" t="s">
        <v>905</v>
      </c>
      <c r="J286" s="1" t="s">
        <v>158</v>
      </c>
      <c r="K286" s="1" t="s">
        <v>662</v>
      </c>
      <c r="L286" s="1" t="s">
        <v>1207</v>
      </c>
      <c r="M286" s="1" t="s">
        <v>148</v>
      </c>
      <c r="N286" s="1" t="s">
        <v>148</v>
      </c>
      <c r="O286" s="1" t="s">
        <v>148</v>
      </c>
      <c r="P286" s="5">
        <v>42691</v>
      </c>
      <c r="Q286" s="5">
        <v>42692</v>
      </c>
      <c r="R286" s="5">
        <v>42695</v>
      </c>
      <c r="S286" s="5">
        <v>42695</v>
      </c>
      <c r="T286" s="5">
        <v>42697</v>
      </c>
      <c r="U286" s="1" t="s">
        <v>1285</v>
      </c>
      <c r="V286" s="4">
        <v>0</v>
      </c>
      <c r="W286" s="6">
        <v>20000</v>
      </c>
      <c r="X286" s="6">
        <v>6800</v>
      </c>
      <c r="Y286" s="4">
        <v>3700</v>
      </c>
      <c r="Z286" s="6">
        <v>1.84</v>
      </c>
      <c r="AA286" s="1" t="s">
        <v>1319</v>
      </c>
      <c r="AB286" s="1" t="s">
        <v>540</v>
      </c>
      <c r="AC286" s="1" t="s">
        <v>1202</v>
      </c>
      <c r="AD286" s="1" t="s">
        <v>704</v>
      </c>
      <c r="AE286" s="1" t="s">
        <v>987</v>
      </c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2"/>
      <c r="AR286" s="1"/>
      <c r="AS286" s="1"/>
      <c r="AT286" s="1"/>
      <c r="AU286" s="1" t="s">
        <v>1288</v>
      </c>
      <c r="AV286" s="7">
        <v>42697.630295428367</v>
      </c>
      <c r="AW286" s="1"/>
      <c r="AX286" s="1"/>
      <c r="AY286" s="5">
        <v>42698</v>
      </c>
      <c r="AZ286" s="5">
        <v>42704</v>
      </c>
      <c r="BA286" s="1"/>
      <c r="BB286" s="1"/>
      <c r="BC286" s="1"/>
      <c r="BD286" s="1"/>
    </row>
    <row r="287" spans="1:56" hidden="1" x14ac:dyDescent="0.25">
      <c r="A287" s="4">
        <v>282</v>
      </c>
      <c r="B287" s="2" t="str">
        <f>HYPERLINK("https://my.zakupki.prom.ua/remote/dispatcher/state_purchase_view/946585", "UA-2016-11-18-001121-a")</f>
        <v>UA-2016-11-18-001121-a</v>
      </c>
      <c r="C287" s="2" t="str">
        <f>HYPERLINK("https://my.zakupki.prom.ua/remote/dispatcher/state_purchase_lot_view/117135", "UA-2016-11-18-001121-a-L3")</f>
        <v>UA-2016-11-18-001121-a-L3</v>
      </c>
      <c r="D287" s="1" t="s">
        <v>1111</v>
      </c>
      <c r="E287" s="1" t="s">
        <v>1098</v>
      </c>
      <c r="F287" s="1" t="s">
        <v>355</v>
      </c>
      <c r="G287" s="1" t="s">
        <v>883</v>
      </c>
      <c r="H287" s="1" t="s">
        <v>987</v>
      </c>
      <c r="I287" s="1" t="s">
        <v>905</v>
      </c>
      <c r="J287" s="1" t="s">
        <v>158</v>
      </c>
      <c r="K287" s="1" t="s">
        <v>662</v>
      </c>
      <c r="L287" s="1" t="s">
        <v>1207</v>
      </c>
      <c r="M287" s="1" t="s">
        <v>148</v>
      </c>
      <c r="N287" s="1" t="s">
        <v>148</v>
      </c>
      <c r="O287" s="1" t="s">
        <v>148</v>
      </c>
      <c r="P287" s="5">
        <v>42691</v>
      </c>
      <c r="Q287" s="5">
        <v>42692</v>
      </c>
      <c r="R287" s="5">
        <v>42695</v>
      </c>
      <c r="S287" s="5">
        <v>42695</v>
      </c>
      <c r="T287" s="5">
        <v>42697</v>
      </c>
      <c r="U287" s="1" t="s">
        <v>1285</v>
      </c>
      <c r="V287" s="4">
        <v>0</v>
      </c>
      <c r="W287" s="6">
        <v>20000</v>
      </c>
      <c r="X287" s="6">
        <v>7750</v>
      </c>
      <c r="Y287" s="4">
        <v>6000</v>
      </c>
      <c r="Z287" s="6">
        <v>1.29</v>
      </c>
      <c r="AA287" s="1" t="s">
        <v>1305</v>
      </c>
      <c r="AB287" s="1" t="s">
        <v>540</v>
      </c>
      <c r="AC287" s="1" t="s">
        <v>1202</v>
      </c>
      <c r="AD287" s="1" t="s">
        <v>704</v>
      </c>
      <c r="AE287" s="1" t="s">
        <v>987</v>
      </c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2"/>
      <c r="AR287" s="1"/>
      <c r="AS287" s="1"/>
      <c r="AT287" s="1"/>
      <c r="AU287" s="1" t="s">
        <v>1288</v>
      </c>
      <c r="AV287" s="7">
        <v>42697.630295428367</v>
      </c>
      <c r="AW287" s="1"/>
      <c r="AX287" s="1"/>
      <c r="AY287" s="5">
        <v>42698</v>
      </c>
      <c r="AZ287" s="5">
        <v>42704</v>
      </c>
      <c r="BA287" s="1"/>
      <c r="BB287" s="1"/>
      <c r="BC287" s="1"/>
      <c r="BD287" s="1"/>
    </row>
    <row r="288" spans="1:56" hidden="1" x14ac:dyDescent="0.25">
      <c r="A288" s="4">
        <v>283</v>
      </c>
      <c r="B288" s="2" t="str">
        <f>HYPERLINK("https://my.zakupki.prom.ua/remote/dispatcher/state_purchase_view/931888", "UA-2016-11-16-001380-a")</f>
        <v>UA-2016-11-16-001380-a</v>
      </c>
      <c r="C288" s="2" t="s">
        <v>983</v>
      </c>
      <c r="D288" s="1" t="s">
        <v>347</v>
      </c>
      <c r="E288" s="1" t="s">
        <v>1051</v>
      </c>
      <c r="F288" s="1" t="s">
        <v>475</v>
      </c>
      <c r="G288" s="1" t="s">
        <v>883</v>
      </c>
      <c r="H288" s="1" t="s">
        <v>987</v>
      </c>
      <c r="I288" s="1" t="s">
        <v>905</v>
      </c>
      <c r="J288" s="1" t="s">
        <v>158</v>
      </c>
      <c r="K288" s="1" t="s">
        <v>662</v>
      </c>
      <c r="L288" s="1" t="s">
        <v>1207</v>
      </c>
      <c r="M288" s="1" t="s">
        <v>147</v>
      </c>
      <c r="N288" s="1" t="s">
        <v>147</v>
      </c>
      <c r="O288" s="1" t="s">
        <v>147</v>
      </c>
      <c r="P288" s="5">
        <v>42690</v>
      </c>
      <c r="Q288" s="5">
        <v>42690</v>
      </c>
      <c r="R288" s="5">
        <v>42691</v>
      </c>
      <c r="S288" s="5">
        <v>42691</v>
      </c>
      <c r="T288" s="5">
        <v>42692</v>
      </c>
      <c r="U288" s="1" t="s">
        <v>1285</v>
      </c>
      <c r="V288" s="4">
        <v>1</v>
      </c>
      <c r="W288" s="6">
        <v>10918.7</v>
      </c>
      <c r="X288" s="1" t="s">
        <v>983</v>
      </c>
      <c r="Y288" s="4">
        <v>6</v>
      </c>
      <c r="Z288" s="6">
        <v>1819.78</v>
      </c>
      <c r="AA288" s="1" t="s">
        <v>1307</v>
      </c>
      <c r="AB288" s="1" t="s">
        <v>540</v>
      </c>
      <c r="AC288" s="1" t="s">
        <v>1202</v>
      </c>
      <c r="AD288" s="1" t="s">
        <v>704</v>
      </c>
      <c r="AE288" s="1" t="s">
        <v>987</v>
      </c>
      <c r="AF288" s="6">
        <v>10918.7</v>
      </c>
      <c r="AG288" s="6">
        <v>1819.7833333333335</v>
      </c>
      <c r="AH288" s="1" t="s">
        <v>1171</v>
      </c>
      <c r="AI288" s="1"/>
      <c r="AJ288" s="1"/>
      <c r="AK288" s="1" t="s">
        <v>1171</v>
      </c>
      <c r="AL288" s="1" t="s">
        <v>262</v>
      </c>
      <c r="AM288" s="1" t="s">
        <v>624</v>
      </c>
      <c r="AN288" s="1" t="s">
        <v>65</v>
      </c>
      <c r="AO288" s="1"/>
      <c r="AP288" s="1"/>
      <c r="AQ288" s="2"/>
      <c r="AR288" s="7">
        <v>42695.379190655454</v>
      </c>
      <c r="AS288" s="5">
        <v>42697</v>
      </c>
      <c r="AT288" s="5">
        <v>42721</v>
      </c>
      <c r="AU288" s="1" t="s">
        <v>1287</v>
      </c>
      <c r="AV288" s="7">
        <v>42699.445906696725</v>
      </c>
      <c r="AW288" s="1" t="s">
        <v>198</v>
      </c>
      <c r="AX288" s="6">
        <v>10918.7</v>
      </c>
      <c r="AY288" s="5">
        <v>42692</v>
      </c>
      <c r="AZ288" s="5">
        <v>42699</v>
      </c>
      <c r="BA288" s="7">
        <v>42735</v>
      </c>
      <c r="BB288" s="1" t="s">
        <v>1310</v>
      </c>
      <c r="BC288" s="1"/>
      <c r="BD288" s="1" t="s">
        <v>901</v>
      </c>
    </row>
    <row r="289" spans="1:56" hidden="1" x14ac:dyDescent="0.25">
      <c r="A289" s="4">
        <v>284</v>
      </c>
      <c r="B289" s="2" t="str">
        <f>HYPERLINK("https://my.zakupki.prom.ua/remote/dispatcher/state_purchase_view/929448", "UA-2016-11-16-001280-a")</f>
        <v>UA-2016-11-16-001280-a</v>
      </c>
      <c r="C289" s="2" t="s">
        <v>983</v>
      </c>
      <c r="D289" s="1" t="s">
        <v>348</v>
      </c>
      <c r="E289" s="1" t="s">
        <v>1054</v>
      </c>
      <c r="F289" s="1" t="s">
        <v>473</v>
      </c>
      <c r="G289" s="1" t="s">
        <v>883</v>
      </c>
      <c r="H289" s="1" t="s">
        <v>987</v>
      </c>
      <c r="I289" s="1" t="s">
        <v>905</v>
      </c>
      <c r="J289" s="1" t="s">
        <v>158</v>
      </c>
      <c r="K289" s="1" t="s">
        <v>662</v>
      </c>
      <c r="L289" s="1" t="s">
        <v>1207</v>
      </c>
      <c r="M289" s="1" t="s">
        <v>147</v>
      </c>
      <c r="N289" s="1" t="s">
        <v>147</v>
      </c>
      <c r="O289" s="1" t="s">
        <v>147</v>
      </c>
      <c r="P289" s="5">
        <v>42690</v>
      </c>
      <c r="Q289" s="5">
        <v>42690</v>
      </c>
      <c r="R289" s="5">
        <v>42691</v>
      </c>
      <c r="S289" s="5">
        <v>42691</v>
      </c>
      <c r="T289" s="5">
        <v>42692</v>
      </c>
      <c r="U289" s="1" t="s">
        <v>1285</v>
      </c>
      <c r="V289" s="4">
        <v>1</v>
      </c>
      <c r="W289" s="6">
        <v>14407.09</v>
      </c>
      <c r="X289" s="1" t="s">
        <v>983</v>
      </c>
      <c r="Y289" s="4">
        <v>2</v>
      </c>
      <c r="Z289" s="6">
        <v>7203.55</v>
      </c>
      <c r="AA289" s="1" t="s">
        <v>1307</v>
      </c>
      <c r="AB289" s="1" t="s">
        <v>540</v>
      </c>
      <c r="AC289" s="1" t="s">
        <v>1202</v>
      </c>
      <c r="AD289" s="1" t="s">
        <v>704</v>
      </c>
      <c r="AE289" s="1" t="s">
        <v>987</v>
      </c>
      <c r="AF289" s="6">
        <v>14407.09</v>
      </c>
      <c r="AG289" s="6">
        <v>7203.5450000000001</v>
      </c>
      <c r="AH289" s="1" t="s">
        <v>1193</v>
      </c>
      <c r="AI289" s="1"/>
      <c r="AJ289" s="1"/>
      <c r="AK289" s="1" t="s">
        <v>1193</v>
      </c>
      <c r="AL289" s="1" t="s">
        <v>323</v>
      </c>
      <c r="AM289" s="1" t="s">
        <v>625</v>
      </c>
      <c r="AN289" s="1" t="s">
        <v>65</v>
      </c>
      <c r="AO289" s="1"/>
      <c r="AP289" s="1"/>
      <c r="AQ289" s="2"/>
      <c r="AR289" s="7">
        <v>42695.377846221425</v>
      </c>
      <c r="AS289" s="5">
        <v>42697</v>
      </c>
      <c r="AT289" s="5">
        <v>42721</v>
      </c>
      <c r="AU289" s="1" t="s">
        <v>1287</v>
      </c>
      <c r="AV289" s="7">
        <v>42699.45239165744</v>
      </c>
      <c r="AW289" s="1" t="s">
        <v>223</v>
      </c>
      <c r="AX289" s="6">
        <v>14407.09</v>
      </c>
      <c r="AY289" s="5">
        <v>42692</v>
      </c>
      <c r="AZ289" s="5">
        <v>42699</v>
      </c>
      <c r="BA289" s="7">
        <v>42735</v>
      </c>
      <c r="BB289" s="1" t="s">
        <v>1310</v>
      </c>
      <c r="BC289" s="1"/>
      <c r="BD289" s="1" t="s">
        <v>901</v>
      </c>
    </row>
    <row r="290" spans="1:56" hidden="1" x14ac:dyDescent="0.25">
      <c r="A290" s="4">
        <v>285</v>
      </c>
      <c r="B290" s="2" t="str">
        <f>HYPERLINK("https://my.zakupki.prom.ua/remote/dispatcher/state_purchase_view/913724", "UA-2016-11-15-000420-a")</f>
        <v>UA-2016-11-15-000420-a</v>
      </c>
      <c r="C290" s="2" t="str">
        <f>HYPERLINK("https://my.zakupki.prom.ua/remote/dispatcher/state_purchase_lot_view/114673", "UA-2016-11-15-000420-a-L1")</f>
        <v>UA-2016-11-15-000420-a-L1</v>
      </c>
      <c r="D290" s="1" t="s">
        <v>878</v>
      </c>
      <c r="E290" s="1" t="s">
        <v>876</v>
      </c>
      <c r="F290" s="1" t="s">
        <v>279</v>
      </c>
      <c r="G290" s="1" t="s">
        <v>883</v>
      </c>
      <c r="H290" s="1" t="s">
        <v>987</v>
      </c>
      <c r="I290" s="1" t="s">
        <v>905</v>
      </c>
      <c r="J290" s="1" t="s">
        <v>158</v>
      </c>
      <c r="K290" s="1" t="s">
        <v>662</v>
      </c>
      <c r="L290" s="1" t="s">
        <v>1207</v>
      </c>
      <c r="M290" s="1" t="s">
        <v>148</v>
      </c>
      <c r="N290" s="1" t="s">
        <v>148</v>
      </c>
      <c r="O290" s="1" t="s">
        <v>148</v>
      </c>
      <c r="P290" s="5">
        <v>42689</v>
      </c>
      <c r="Q290" s="5">
        <v>42689</v>
      </c>
      <c r="R290" s="5">
        <v>42691</v>
      </c>
      <c r="S290" s="5">
        <v>42691</v>
      </c>
      <c r="T290" s="5">
        <v>42695</v>
      </c>
      <c r="U290" s="7">
        <v>42696.546678240738</v>
      </c>
      <c r="V290" s="4">
        <v>2</v>
      </c>
      <c r="W290" s="6">
        <v>18742</v>
      </c>
      <c r="X290" s="6">
        <v>18742</v>
      </c>
      <c r="Y290" s="4">
        <v>101</v>
      </c>
      <c r="Z290" s="6">
        <v>185.56</v>
      </c>
      <c r="AA290" s="1" t="s">
        <v>1319</v>
      </c>
      <c r="AB290" s="1" t="s">
        <v>540</v>
      </c>
      <c r="AC290" s="1" t="s">
        <v>1202</v>
      </c>
      <c r="AD290" s="1" t="s">
        <v>704</v>
      </c>
      <c r="AE290" s="1" t="s">
        <v>987</v>
      </c>
      <c r="AF290" s="6">
        <v>7719</v>
      </c>
      <c r="AG290" s="6">
        <v>76.425742574257427</v>
      </c>
      <c r="AH290" s="1" t="s">
        <v>1161</v>
      </c>
      <c r="AI290" s="6">
        <v>11023</v>
      </c>
      <c r="AJ290" s="6">
        <v>0.58814427489062004</v>
      </c>
      <c r="AK290" s="1"/>
      <c r="AL290" s="1"/>
      <c r="AM290" s="1"/>
      <c r="AN290" s="1"/>
      <c r="AO290" s="1"/>
      <c r="AP290" s="1"/>
      <c r="AQ290" s="2" t="str">
        <f>HYPERLINK("https://auction.openprocurement.org/tenders/924aa8b3e4e642c3a034d89f5d7f72dc_075635c1491241e495e9b7f986bc3502")</f>
        <v>https://auction.openprocurement.org/tenders/924aa8b3e4e642c3a034d89f5d7f72dc_075635c1491241e495e9b7f986bc3502</v>
      </c>
      <c r="AR290" s="7">
        <v>42697.493314442698</v>
      </c>
      <c r="AS290" s="1"/>
      <c r="AT290" s="1"/>
      <c r="AU290" s="1" t="s">
        <v>1288</v>
      </c>
      <c r="AV290" s="7">
        <v>42699.494544114954</v>
      </c>
      <c r="AW290" s="1"/>
      <c r="AX290" s="1"/>
      <c r="AY290" s="5">
        <v>42696</v>
      </c>
      <c r="AZ290" s="5">
        <v>42704</v>
      </c>
      <c r="BA290" s="1"/>
      <c r="BB290" s="1"/>
      <c r="BC290" s="1"/>
      <c r="BD290" s="1"/>
    </row>
    <row r="291" spans="1:56" hidden="1" x14ac:dyDescent="0.25">
      <c r="A291" s="4">
        <v>286</v>
      </c>
      <c r="B291" s="2" t="str">
        <f>HYPERLINK("https://my.zakupki.prom.ua/remote/dispatcher/state_purchase_view/814942", "UA-2016-11-03-000394-b")</f>
        <v>UA-2016-11-03-000394-b</v>
      </c>
      <c r="C291" s="2" t="str">
        <f>HYPERLINK("https://my.zakupki.prom.ua/remote/dispatcher/state_purchase_lot_view/107668", "UA-2016-11-03-000394-b-L1")</f>
        <v>UA-2016-11-03-000394-b-L1</v>
      </c>
      <c r="D291" s="1" t="s">
        <v>371</v>
      </c>
      <c r="E291" s="1" t="s">
        <v>370</v>
      </c>
      <c r="F291" s="1" t="s">
        <v>372</v>
      </c>
      <c r="G291" s="1" t="s">
        <v>883</v>
      </c>
      <c r="H291" s="1" t="s">
        <v>987</v>
      </c>
      <c r="I291" s="1" t="s">
        <v>905</v>
      </c>
      <c r="J291" s="1" t="s">
        <v>158</v>
      </c>
      <c r="K291" s="1" t="s">
        <v>662</v>
      </c>
      <c r="L291" s="1" t="s">
        <v>1207</v>
      </c>
      <c r="M291" s="1" t="s">
        <v>148</v>
      </c>
      <c r="N291" s="1" t="s">
        <v>148</v>
      </c>
      <c r="O291" s="1" t="s">
        <v>148</v>
      </c>
      <c r="P291" s="5">
        <v>42677</v>
      </c>
      <c r="Q291" s="5">
        <v>42677</v>
      </c>
      <c r="R291" s="5">
        <v>42681</v>
      </c>
      <c r="S291" s="5">
        <v>42681</v>
      </c>
      <c r="T291" s="5">
        <v>42684</v>
      </c>
      <c r="U291" s="1" t="s">
        <v>1286</v>
      </c>
      <c r="V291" s="4">
        <v>1</v>
      </c>
      <c r="W291" s="6">
        <v>3440</v>
      </c>
      <c r="X291" s="6">
        <v>3440</v>
      </c>
      <c r="Y291" s="4">
        <v>16</v>
      </c>
      <c r="Z291" s="6">
        <v>215</v>
      </c>
      <c r="AA291" s="1" t="s">
        <v>1315</v>
      </c>
      <c r="AB291" s="1" t="s">
        <v>540</v>
      </c>
      <c r="AC291" s="1" t="s">
        <v>1202</v>
      </c>
      <c r="AD291" s="1" t="s">
        <v>704</v>
      </c>
      <c r="AE291" s="1" t="s">
        <v>987</v>
      </c>
      <c r="AF291" s="6">
        <v>3124.8</v>
      </c>
      <c r="AG291" s="6">
        <v>195.3</v>
      </c>
      <c r="AH291" s="1" t="s">
        <v>1247</v>
      </c>
      <c r="AI291" s="6">
        <v>315.19999999999982</v>
      </c>
      <c r="AJ291" s="6">
        <v>9.1627906976744139E-2</v>
      </c>
      <c r="AK291" s="1" t="s">
        <v>1247</v>
      </c>
      <c r="AL291" s="1" t="s">
        <v>246</v>
      </c>
      <c r="AM291" s="1" t="s">
        <v>564</v>
      </c>
      <c r="AN291" s="1" t="s">
        <v>121</v>
      </c>
      <c r="AO291" s="6">
        <v>315.19999999999982</v>
      </c>
      <c r="AP291" s="6">
        <v>9.1627906976744139E-2</v>
      </c>
      <c r="AQ291" s="2"/>
      <c r="AR291" s="7">
        <v>42685.484604924721</v>
      </c>
      <c r="AS291" s="5">
        <v>42689</v>
      </c>
      <c r="AT291" s="5">
        <v>42711</v>
      </c>
      <c r="AU291" s="1" t="s">
        <v>1287</v>
      </c>
      <c r="AV291" s="7">
        <v>42692.652861429546</v>
      </c>
      <c r="AW291" s="1" t="s">
        <v>462</v>
      </c>
      <c r="AX291" s="6">
        <v>3124.8</v>
      </c>
      <c r="AY291" s="5">
        <v>42688</v>
      </c>
      <c r="AZ291" s="5">
        <v>42704</v>
      </c>
      <c r="BA291" s="7">
        <v>42735</v>
      </c>
      <c r="BB291" s="1" t="s">
        <v>1310</v>
      </c>
      <c r="BC291" s="1"/>
      <c r="BD291" s="1" t="s">
        <v>901</v>
      </c>
    </row>
    <row r="292" spans="1:56" hidden="1" x14ac:dyDescent="0.25">
      <c r="A292" s="4">
        <v>287</v>
      </c>
      <c r="B292" s="2" t="str">
        <f>HYPERLINK("https://my.zakupki.prom.ua/remote/dispatcher/state_purchase_view/800926", "UA-2016-11-02-000377-b")</f>
        <v>UA-2016-11-02-000377-b</v>
      </c>
      <c r="C292" s="2" t="str">
        <f>HYPERLINK("https://my.zakupki.prom.ua/remote/dispatcher/state_purchase_lot_view/106896", "UA-2016-11-02-000377-b-L1")</f>
        <v>UA-2016-11-02-000377-b-L1</v>
      </c>
      <c r="D292" s="1" t="s">
        <v>209</v>
      </c>
      <c r="E292" s="1" t="s">
        <v>964</v>
      </c>
      <c r="F292" s="1" t="s">
        <v>213</v>
      </c>
      <c r="G292" s="1" t="s">
        <v>883</v>
      </c>
      <c r="H292" s="1" t="s">
        <v>987</v>
      </c>
      <c r="I292" s="1" t="s">
        <v>905</v>
      </c>
      <c r="J292" s="1" t="s">
        <v>158</v>
      </c>
      <c r="K292" s="1" t="s">
        <v>662</v>
      </c>
      <c r="L292" s="1" t="s">
        <v>1207</v>
      </c>
      <c r="M292" s="1" t="s">
        <v>148</v>
      </c>
      <c r="N292" s="1" t="s">
        <v>148</v>
      </c>
      <c r="O292" s="1" t="s">
        <v>148</v>
      </c>
      <c r="P292" s="5">
        <v>42676</v>
      </c>
      <c r="Q292" s="5">
        <v>42676</v>
      </c>
      <c r="R292" s="5">
        <v>42677</v>
      </c>
      <c r="S292" s="5">
        <v>42677</v>
      </c>
      <c r="T292" s="5">
        <v>42680</v>
      </c>
      <c r="U292" s="1" t="s">
        <v>1286</v>
      </c>
      <c r="V292" s="4">
        <v>1</v>
      </c>
      <c r="W292" s="6">
        <v>4994</v>
      </c>
      <c r="X292" s="6">
        <v>4994</v>
      </c>
      <c r="Y292" s="4">
        <v>412</v>
      </c>
      <c r="Z292" s="6">
        <v>12.12</v>
      </c>
      <c r="AA292" s="1" t="s">
        <v>1299</v>
      </c>
      <c r="AB292" s="1" t="s">
        <v>540</v>
      </c>
      <c r="AC292" s="1" t="s">
        <v>1202</v>
      </c>
      <c r="AD292" s="1" t="s">
        <v>704</v>
      </c>
      <c r="AE292" s="1" t="s">
        <v>987</v>
      </c>
      <c r="AF292" s="6">
        <v>4944</v>
      </c>
      <c r="AG292" s="6">
        <v>12</v>
      </c>
      <c r="AH292" s="1" t="s">
        <v>1214</v>
      </c>
      <c r="AI292" s="6">
        <v>50</v>
      </c>
      <c r="AJ292" s="6">
        <v>1.0012014417300761E-2</v>
      </c>
      <c r="AK292" s="1" t="s">
        <v>1214</v>
      </c>
      <c r="AL292" s="1" t="s">
        <v>280</v>
      </c>
      <c r="AM292" s="1" t="s">
        <v>602</v>
      </c>
      <c r="AN292" s="1" t="s">
        <v>130</v>
      </c>
      <c r="AO292" s="6">
        <v>50</v>
      </c>
      <c r="AP292" s="6">
        <v>1.0012014417300761E-2</v>
      </c>
      <c r="AQ292" s="2"/>
      <c r="AR292" s="7">
        <v>42681.454587652093</v>
      </c>
      <c r="AS292" s="5">
        <v>42683</v>
      </c>
      <c r="AT292" s="5">
        <v>42707</v>
      </c>
      <c r="AU292" s="1" t="s">
        <v>1287</v>
      </c>
      <c r="AV292" s="7">
        <v>42691.916992226455</v>
      </c>
      <c r="AW292" s="1" t="s">
        <v>444</v>
      </c>
      <c r="AX292" s="6">
        <v>4944</v>
      </c>
      <c r="AY292" s="5">
        <v>42682</v>
      </c>
      <c r="AZ292" s="5">
        <v>42735</v>
      </c>
      <c r="BA292" s="7">
        <v>42735</v>
      </c>
      <c r="BB292" s="1" t="s">
        <v>1310</v>
      </c>
      <c r="BC292" s="1"/>
      <c r="BD292" s="1" t="s">
        <v>901</v>
      </c>
    </row>
    <row r="293" spans="1:56" hidden="1" x14ac:dyDescent="0.25">
      <c r="A293" s="4">
        <v>288</v>
      </c>
      <c r="B293" s="2" t="str">
        <f>HYPERLINK("https://my.zakupki.prom.ua/remote/dispatcher/state_purchase_view/725799", "UA-2016-10-24-000782-b")</f>
        <v>UA-2016-10-24-000782-b</v>
      </c>
      <c r="C293" s="2" t="str">
        <f>HYPERLINK("https://my.zakupki.prom.ua/remote/dispatcher/state_purchase_lot_view/92314", "UA-2016-10-24-000782-b-L1")</f>
        <v>UA-2016-10-24-000782-b-L1</v>
      </c>
      <c r="D293" s="1" t="s">
        <v>211</v>
      </c>
      <c r="E293" s="1" t="s">
        <v>964</v>
      </c>
      <c r="F293" s="1" t="s">
        <v>213</v>
      </c>
      <c r="G293" s="1" t="s">
        <v>883</v>
      </c>
      <c r="H293" s="1" t="s">
        <v>987</v>
      </c>
      <c r="I293" s="1" t="s">
        <v>905</v>
      </c>
      <c r="J293" s="1" t="s">
        <v>158</v>
      </c>
      <c r="K293" s="1" t="s">
        <v>662</v>
      </c>
      <c r="L293" s="1" t="s">
        <v>1207</v>
      </c>
      <c r="M293" s="1" t="s">
        <v>148</v>
      </c>
      <c r="N293" s="1" t="s">
        <v>148</v>
      </c>
      <c r="O293" s="1" t="s">
        <v>148</v>
      </c>
      <c r="P293" s="5">
        <v>42667</v>
      </c>
      <c r="Q293" s="5">
        <v>42667</v>
      </c>
      <c r="R293" s="5">
        <v>42669</v>
      </c>
      <c r="S293" s="5">
        <v>42669</v>
      </c>
      <c r="T293" s="5">
        <v>42671</v>
      </c>
      <c r="U293" s="1" t="s">
        <v>1285</v>
      </c>
      <c r="V293" s="4">
        <v>0</v>
      </c>
      <c r="W293" s="6">
        <v>4995</v>
      </c>
      <c r="X293" s="6">
        <v>4995</v>
      </c>
      <c r="Y293" s="4">
        <v>540</v>
      </c>
      <c r="Z293" s="6">
        <v>9.25</v>
      </c>
      <c r="AA293" s="1" t="s">
        <v>1299</v>
      </c>
      <c r="AB293" s="1" t="s">
        <v>540</v>
      </c>
      <c r="AC293" s="1" t="s">
        <v>1202</v>
      </c>
      <c r="AD293" s="1" t="s">
        <v>704</v>
      </c>
      <c r="AE293" s="1" t="s">
        <v>987</v>
      </c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2"/>
      <c r="AR293" s="1"/>
      <c r="AS293" s="1"/>
      <c r="AT293" s="1"/>
      <c r="AU293" s="1" t="s">
        <v>1288</v>
      </c>
      <c r="AV293" s="7">
        <v>42671.612230800056</v>
      </c>
      <c r="AW293" s="1"/>
      <c r="AX293" s="1"/>
      <c r="AY293" s="5">
        <v>42675</v>
      </c>
      <c r="AZ293" s="5">
        <v>42735</v>
      </c>
      <c r="BA293" s="1"/>
      <c r="BB293" s="1"/>
      <c r="BC293" s="1"/>
      <c r="BD293" s="1"/>
    </row>
    <row r="294" spans="1:56" hidden="1" x14ac:dyDescent="0.25">
      <c r="A294" s="4">
        <v>289</v>
      </c>
      <c r="B294" s="2" t="str">
        <f>HYPERLINK("https://my.zakupki.prom.ua/remote/dispatcher/state_purchase_view/703933", "UA-2016-10-19-001174-b")</f>
        <v>UA-2016-10-19-001174-b</v>
      </c>
      <c r="C294" s="2" t="s">
        <v>983</v>
      </c>
      <c r="D294" s="1" t="s">
        <v>287</v>
      </c>
      <c r="E294" s="1" t="s">
        <v>1076</v>
      </c>
      <c r="F294" s="1" t="s">
        <v>284</v>
      </c>
      <c r="G294" s="1" t="s">
        <v>883</v>
      </c>
      <c r="H294" s="1" t="s">
        <v>987</v>
      </c>
      <c r="I294" s="1" t="s">
        <v>905</v>
      </c>
      <c r="J294" s="1" t="s">
        <v>158</v>
      </c>
      <c r="K294" s="1" t="s">
        <v>662</v>
      </c>
      <c r="L294" s="1" t="s">
        <v>1207</v>
      </c>
      <c r="M294" s="1" t="s">
        <v>147</v>
      </c>
      <c r="N294" s="1" t="s">
        <v>147</v>
      </c>
      <c r="O294" s="1" t="s">
        <v>147</v>
      </c>
      <c r="P294" s="5">
        <v>42662</v>
      </c>
      <c r="Q294" s="5">
        <v>42662</v>
      </c>
      <c r="R294" s="5">
        <v>42668</v>
      </c>
      <c r="S294" s="5">
        <v>42668</v>
      </c>
      <c r="T294" s="5">
        <v>42670</v>
      </c>
      <c r="U294" s="7">
        <v>42671.527777777781</v>
      </c>
      <c r="V294" s="4">
        <v>2</v>
      </c>
      <c r="W294" s="6">
        <v>16900</v>
      </c>
      <c r="X294" s="1" t="s">
        <v>983</v>
      </c>
      <c r="Y294" s="4">
        <v>26</v>
      </c>
      <c r="Z294" s="6">
        <v>650</v>
      </c>
      <c r="AA294" s="1" t="s">
        <v>1319</v>
      </c>
      <c r="AB294" s="1" t="s">
        <v>540</v>
      </c>
      <c r="AC294" s="1" t="s">
        <v>1202</v>
      </c>
      <c r="AD294" s="1" t="s">
        <v>704</v>
      </c>
      <c r="AE294" s="1" t="s">
        <v>987</v>
      </c>
      <c r="AF294" s="6">
        <v>14160</v>
      </c>
      <c r="AG294" s="6">
        <v>544.61538461538464</v>
      </c>
      <c r="AH294" s="1" t="s">
        <v>1224</v>
      </c>
      <c r="AI294" s="6">
        <v>2740</v>
      </c>
      <c r="AJ294" s="6">
        <v>0.16213017751479289</v>
      </c>
      <c r="AK294" s="1" t="s">
        <v>1224</v>
      </c>
      <c r="AL294" s="1" t="s">
        <v>296</v>
      </c>
      <c r="AM294" s="1" t="s">
        <v>557</v>
      </c>
      <c r="AN294" s="1" t="s">
        <v>104</v>
      </c>
      <c r="AO294" s="6">
        <v>2740</v>
      </c>
      <c r="AP294" s="6">
        <v>0.16213017751479289</v>
      </c>
      <c r="AQ294" s="2" t="str">
        <f>HYPERLINK("https://auction.openprocurement.org/tenders/9e2059ca155d400a96e199dc121e538b")</f>
        <v>https://auction.openprocurement.org/tenders/9e2059ca155d400a96e199dc121e538b</v>
      </c>
      <c r="AR294" s="7">
        <v>42675.558430334284</v>
      </c>
      <c r="AS294" s="5">
        <v>42677</v>
      </c>
      <c r="AT294" s="5">
        <v>42698</v>
      </c>
      <c r="AU294" s="1" t="s">
        <v>1287</v>
      </c>
      <c r="AV294" s="7">
        <v>42681.476626978809</v>
      </c>
      <c r="AW294" s="1" t="s">
        <v>433</v>
      </c>
      <c r="AX294" s="6">
        <v>14160</v>
      </c>
      <c r="AY294" s="5">
        <v>42675</v>
      </c>
      <c r="AZ294" s="5">
        <v>42704</v>
      </c>
      <c r="BA294" s="7">
        <v>42735</v>
      </c>
      <c r="BB294" s="1" t="s">
        <v>1310</v>
      </c>
      <c r="BC294" s="1"/>
      <c r="BD294" s="1" t="s">
        <v>901</v>
      </c>
    </row>
    <row r="295" spans="1:56" hidden="1" x14ac:dyDescent="0.25">
      <c r="A295" s="4">
        <v>290</v>
      </c>
      <c r="B295" s="2" t="str">
        <f>HYPERLINK("https://my.zakupki.prom.ua/remote/dispatcher/state_purchase_view/629018", "UA-2016-10-07-000585-b")</f>
        <v>UA-2016-10-07-000585-b</v>
      </c>
      <c r="C295" s="2" t="str">
        <f>HYPERLINK("https://my.zakupki.prom.ua/remote/dispatcher/state_purchase_lot_view/84692", "UA-2016-10-07-000585-b-L1")</f>
        <v>UA-2016-10-07-000585-b-L1</v>
      </c>
      <c r="D295" s="1" t="s">
        <v>233</v>
      </c>
      <c r="E295" s="1" t="s">
        <v>671</v>
      </c>
      <c r="F295" s="1" t="s">
        <v>168</v>
      </c>
      <c r="G295" s="1" t="s">
        <v>883</v>
      </c>
      <c r="H295" s="1" t="s">
        <v>987</v>
      </c>
      <c r="I295" s="1" t="s">
        <v>905</v>
      </c>
      <c r="J295" s="1" t="s">
        <v>158</v>
      </c>
      <c r="K295" s="1" t="s">
        <v>662</v>
      </c>
      <c r="L295" s="1" t="s">
        <v>1207</v>
      </c>
      <c r="M295" s="1" t="s">
        <v>148</v>
      </c>
      <c r="N295" s="1" t="s">
        <v>148</v>
      </c>
      <c r="O295" s="1" t="s">
        <v>148</v>
      </c>
      <c r="P295" s="5">
        <v>42650</v>
      </c>
      <c r="Q295" s="5">
        <v>42650</v>
      </c>
      <c r="R295" s="5">
        <v>42654</v>
      </c>
      <c r="S295" s="5">
        <v>42654</v>
      </c>
      <c r="T295" s="5">
        <v>42656</v>
      </c>
      <c r="U295" s="7">
        <v>42660.604317129626</v>
      </c>
      <c r="V295" s="4">
        <v>2</v>
      </c>
      <c r="W295" s="6">
        <v>4998</v>
      </c>
      <c r="X295" s="6">
        <v>4998</v>
      </c>
      <c r="Y295" s="4">
        <v>230</v>
      </c>
      <c r="Z295" s="6">
        <v>21.73</v>
      </c>
      <c r="AA295" s="1" t="s">
        <v>1299</v>
      </c>
      <c r="AB295" s="1" t="s">
        <v>540</v>
      </c>
      <c r="AC295" s="1" t="s">
        <v>1202</v>
      </c>
      <c r="AD295" s="1" t="s">
        <v>704</v>
      </c>
      <c r="AE295" s="1" t="s">
        <v>987</v>
      </c>
      <c r="AF295" s="6">
        <v>4692</v>
      </c>
      <c r="AG295" s="6">
        <v>20.399999999999999</v>
      </c>
      <c r="AH295" s="1" t="s">
        <v>1170</v>
      </c>
      <c r="AI295" s="6">
        <v>306</v>
      </c>
      <c r="AJ295" s="6">
        <v>6.1224489795918366E-2</v>
      </c>
      <c r="AK295" s="1" t="s">
        <v>1170</v>
      </c>
      <c r="AL295" s="1" t="s">
        <v>446</v>
      </c>
      <c r="AM295" s="1" t="s">
        <v>603</v>
      </c>
      <c r="AN295" s="1" t="s">
        <v>51</v>
      </c>
      <c r="AO295" s="6">
        <v>306</v>
      </c>
      <c r="AP295" s="6">
        <v>6.1224489795918366E-2</v>
      </c>
      <c r="AQ295" s="2" t="str">
        <f>HYPERLINK("https://auction.openprocurement.org/tenders/1193f67de7094ba3913951f03d58502f_ed18780b4ff8499ebde285c5375f1cc6")</f>
        <v>https://auction.openprocurement.org/tenders/1193f67de7094ba3913951f03d58502f_ed18780b4ff8499ebde285c5375f1cc6</v>
      </c>
      <c r="AR295" s="7">
        <v>42661.451966816981</v>
      </c>
      <c r="AS295" s="5">
        <v>42663</v>
      </c>
      <c r="AT295" s="5">
        <v>42684</v>
      </c>
      <c r="AU295" s="1" t="s">
        <v>1287</v>
      </c>
      <c r="AV295" s="7">
        <v>42664.491419544436</v>
      </c>
      <c r="AW295" s="1" t="s">
        <v>408</v>
      </c>
      <c r="AX295" s="6">
        <v>4692</v>
      </c>
      <c r="AY295" s="5">
        <v>42658</v>
      </c>
      <c r="AZ295" s="5">
        <v>42674</v>
      </c>
      <c r="BA295" s="7">
        <v>42735</v>
      </c>
      <c r="BB295" s="1" t="s">
        <v>1310</v>
      </c>
      <c r="BC295" s="1"/>
      <c r="BD295" s="1" t="s">
        <v>901</v>
      </c>
    </row>
    <row r="296" spans="1:56" hidden="1" x14ac:dyDescent="0.25">
      <c r="A296" s="4">
        <v>291</v>
      </c>
      <c r="B296" s="2" t="str">
        <f>HYPERLINK("https://my.zakupki.prom.ua/remote/dispatcher/state_purchase_view/616777", "UA-2016-10-06-000191-b")</f>
        <v>UA-2016-10-06-000191-b</v>
      </c>
      <c r="C296" s="2" t="s">
        <v>983</v>
      </c>
      <c r="D296" s="1" t="s">
        <v>346</v>
      </c>
      <c r="E296" s="1" t="s">
        <v>1058</v>
      </c>
      <c r="F296" s="1" t="s">
        <v>475</v>
      </c>
      <c r="G296" s="1" t="s">
        <v>883</v>
      </c>
      <c r="H296" s="1" t="s">
        <v>987</v>
      </c>
      <c r="I296" s="1" t="s">
        <v>905</v>
      </c>
      <c r="J296" s="1" t="s">
        <v>158</v>
      </c>
      <c r="K296" s="1" t="s">
        <v>662</v>
      </c>
      <c r="L296" s="1" t="s">
        <v>1207</v>
      </c>
      <c r="M296" s="1" t="s">
        <v>147</v>
      </c>
      <c r="N296" s="1" t="s">
        <v>147</v>
      </c>
      <c r="O296" s="1" t="s">
        <v>147</v>
      </c>
      <c r="P296" s="5">
        <v>42649</v>
      </c>
      <c r="Q296" s="5">
        <v>42649</v>
      </c>
      <c r="R296" s="5">
        <v>42650</v>
      </c>
      <c r="S296" s="5">
        <v>42650</v>
      </c>
      <c r="T296" s="5">
        <v>42653</v>
      </c>
      <c r="U296" s="1" t="s">
        <v>1285</v>
      </c>
      <c r="V296" s="4">
        <v>1</v>
      </c>
      <c r="W296" s="6">
        <v>5000</v>
      </c>
      <c r="X296" s="1" t="s">
        <v>983</v>
      </c>
      <c r="Y296" s="4">
        <v>1</v>
      </c>
      <c r="Z296" s="6">
        <v>5000</v>
      </c>
      <c r="AA296" s="1" t="s">
        <v>1307</v>
      </c>
      <c r="AB296" s="1" t="s">
        <v>540</v>
      </c>
      <c r="AC296" s="1" t="s">
        <v>1202</v>
      </c>
      <c r="AD296" s="1" t="s">
        <v>704</v>
      </c>
      <c r="AE296" s="1" t="s">
        <v>987</v>
      </c>
      <c r="AF296" s="6">
        <v>5000</v>
      </c>
      <c r="AG296" s="6">
        <v>5000</v>
      </c>
      <c r="AH296" s="1" t="s">
        <v>1193</v>
      </c>
      <c r="AI296" s="1"/>
      <c r="AJ296" s="1"/>
      <c r="AK296" s="1" t="s">
        <v>1193</v>
      </c>
      <c r="AL296" s="1" t="s">
        <v>323</v>
      </c>
      <c r="AM296" s="1" t="s">
        <v>625</v>
      </c>
      <c r="AN296" s="1" t="s">
        <v>65</v>
      </c>
      <c r="AO296" s="1"/>
      <c r="AP296" s="1"/>
      <c r="AQ296" s="2"/>
      <c r="AR296" s="7">
        <v>42654.660871206368</v>
      </c>
      <c r="AS296" s="5">
        <v>42656</v>
      </c>
      <c r="AT296" s="5">
        <v>42680</v>
      </c>
      <c r="AU296" s="1" t="s">
        <v>1287</v>
      </c>
      <c r="AV296" s="7">
        <v>42664.483664389001</v>
      </c>
      <c r="AW296" s="1" t="s">
        <v>203</v>
      </c>
      <c r="AX296" s="6">
        <v>5000</v>
      </c>
      <c r="AY296" s="5">
        <v>42654</v>
      </c>
      <c r="AZ296" s="5">
        <v>42657</v>
      </c>
      <c r="BA296" s="7">
        <v>42735</v>
      </c>
      <c r="BB296" s="1" t="s">
        <v>1310</v>
      </c>
      <c r="BC296" s="1"/>
      <c r="BD296" s="1" t="s">
        <v>901</v>
      </c>
    </row>
    <row r="297" spans="1:56" hidden="1" x14ac:dyDescent="0.25">
      <c r="A297" s="4">
        <v>292</v>
      </c>
      <c r="B297" s="2" t="str">
        <f>HYPERLINK("https://my.zakupki.prom.ua/remote/dispatcher/state_purchase_view/581039", "UA-2016-09-30-000692-b")</f>
        <v>UA-2016-09-30-000692-b</v>
      </c>
      <c r="C297" s="2" t="s">
        <v>983</v>
      </c>
      <c r="D297" s="1" t="s">
        <v>346</v>
      </c>
      <c r="E297" s="1" t="s">
        <v>1058</v>
      </c>
      <c r="F297" s="1" t="s">
        <v>475</v>
      </c>
      <c r="G297" s="1" t="s">
        <v>883</v>
      </c>
      <c r="H297" s="1" t="s">
        <v>987</v>
      </c>
      <c r="I297" s="1" t="s">
        <v>905</v>
      </c>
      <c r="J297" s="1" t="s">
        <v>158</v>
      </c>
      <c r="K297" s="1" t="s">
        <v>662</v>
      </c>
      <c r="L297" s="1" t="s">
        <v>1207</v>
      </c>
      <c r="M297" s="1" t="s">
        <v>147</v>
      </c>
      <c r="N297" s="1" t="s">
        <v>147</v>
      </c>
      <c r="O297" s="1" t="s">
        <v>147</v>
      </c>
      <c r="P297" s="5">
        <v>42643</v>
      </c>
      <c r="Q297" s="5">
        <v>42643</v>
      </c>
      <c r="R297" s="5">
        <v>42647</v>
      </c>
      <c r="S297" s="5">
        <v>42647</v>
      </c>
      <c r="T297" s="5">
        <v>42648</v>
      </c>
      <c r="U297" s="1" t="s">
        <v>1285</v>
      </c>
      <c r="V297" s="4">
        <v>0</v>
      </c>
      <c r="W297" s="6">
        <v>5000</v>
      </c>
      <c r="X297" s="1" t="s">
        <v>983</v>
      </c>
      <c r="Y297" s="4">
        <v>1</v>
      </c>
      <c r="Z297" s="6">
        <v>5000</v>
      </c>
      <c r="AA297" s="1" t="s">
        <v>1307</v>
      </c>
      <c r="AB297" s="1" t="s">
        <v>540</v>
      </c>
      <c r="AC297" s="1" t="s">
        <v>987</v>
      </c>
      <c r="AD297" s="1" t="s">
        <v>704</v>
      </c>
      <c r="AE297" s="1" t="s">
        <v>987</v>
      </c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2"/>
      <c r="AR297" s="1"/>
      <c r="AS297" s="1"/>
      <c r="AT297" s="1"/>
      <c r="AU297" s="1" t="s">
        <v>1288</v>
      </c>
      <c r="AV297" s="7">
        <v>42648.450465674759</v>
      </c>
      <c r="AW297" s="1"/>
      <c r="AX297" s="1"/>
      <c r="AY297" s="5">
        <v>42649</v>
      </c>
      <c r="AZ297" s="5">
        <v>42656</v>
      </c>
      <c r="BA297" s="1"/>
      <c r="BB297" s="1"/>
      <c r="BC297" s="1"/>
      <c r="BD297" s="1"/>
    </row>
    <row r="298" spans="1:56" hidden="1" x14ac:dyDescent="0.25">
      <c r="A298" s="4">
        <v>293</v>
      </c>
      <c r="B298" s="2" t="str">
        <f>HYPERLINK("https://my.zakupki.prom.ua/remote/dispatcher/state_purchase_view/551638", "UA-2016-09-27-001317-b")</f>
        <v>UA-2016-09-27-001317-b</v>
      </c>
      <c r="C298" s="2" t="str">
        <f>HYPERLINK("https://my.zakupki.prom.ua/remote/dispatcher/state_purchase_lot_view/79381", "UA-2016-09-27-001317-b-L1")</f>
        <v>UA-2016-09-27-001317-b-L1</v>
      </c>
      <c r="D298" s="1" t="s">
        <v>939</v>
      </c>
      <c r="E298" s="1" t="s">
        <v>931</v>
      </c>
      <c r="F298" s="1" t="s">
        <v>381</v>
      </c>
      <c r="G298" s="1" t="s">
        <v>883</v>
      </c>
      <c r="H298" s="1" t="s">
        <v>987</v>
      </c>
      <c r="I298" s="1" t="s">
        <v>905</v>
      </c>
      <c r="J298" s="1" t="s">
        <v>158</v>
      </c>
      <c r="K298" s="1" t="s">
        <v>662</v>
      </c>
      <c r="L298" s="1" t="s">
        <v>1207</v>
      </c>
      <c r="M298" s="1" t="s">
        <v>148</v>
      </c>
      <c r="N298" s="1" t="s">
        <v>148</v>
      </c>
      <c r="O298" s="1" t="s">
        <v>148</v>
      </c>
      <c r="P298" s="5">
        <v>42640</v>
      </c>
      <c r="Q298" s="5">
        <v>42640</v>
      </c>
      <c r="R298" s="5">
        <v>42643</v>
      </c>
      <c r="S298" s="5">
        <v>42643</v>
      </c>
      <c r="T298" s="5">
        <v>42647</v>
      </c>
      <c r="U298" s="1" t="s">
        <v>1286</v>
      </c>
      <c r="V298" s="4">
        <v>1</v>
      </c>
      <c r="W298" s="6">
        <v>4885</v>
      </c>
      <c r="X298" s="6">
        <v>4885</v>
      </c>
      <c r="Y298" s="4">
        <v>17</v>
      </c>
      <c r="Z298" s="6">
        <v>287.35000000000002</v>
      </c>
      <c r="AA298" s="1" t="s">
        <v>1296</v>
      </c>
      <c r="AB298" s="1" t="s">
        <v>540</v>
      </c>
      <c r="AC298" s="1" t="s">
        <v>1202</v>
      </c>
      <c r="AD298" s="1" t="s">
        <v>704</v>
      </c>
      <c r="AE298" s="1" t="s">
        <v>987</v>
      </c>
      <c r="AF298" s="6">
        <v>4796</v>
      </c>
      <c r="AG298" s="6">
        <v>282.11764705882354</v>
      </c>
      <c r="AH298" s="1" t="s">
        <v>1008</v>
      </c>
      <c r="AI298" s="6">
        <v>89</v>
      </c>
      <c r="AJ298" s="6">
        <v>1.8219037871033777E-2</v>
      </c>
      <c r="AK298" s="1" t="s">
        <v>1008</v>
      </c>
      <c r="AL298" s="1" t="s">
        <v>334</v>
      </c>
      <c r="AM298" s="1" t="s">
        <v>541</v>
      </c>
      <c r="AN298" s="1" t="s">
        <v>56</v>
      </c>
      <c r="AO298" s="6">
        <v>89</v>
      </c>
      <c r="AP298" s="6">
        <v>1.8219037871033777E-2</v>
      </c>
      <c r="AQ298" s="2"/>
      <c r="AR298" s="7">
        <v>42648.627437458228</v>
      </c>
      <c r="AS298" s="5">
        <v>42650</v>
      </c>
      <c r="AT298" s="5">
        <v>42673</v>
      </c>
      <c r="AU298" s="1" t="s">
        <v>1287</v>
      </c>
      <c r="AV298" s="7">
        <v>42664.476416351114</v>
      </c>
      <c r="AW298" s="1" t="s">
        <v>400</v>
      </c>
      <c r="AX298" s="6">
        <v>4796</v>
      </c>
      <c r="AY298" s="5">
        <v>42649</v>
      </c>
      <c r="AZ298" s="5">
        <v>42674</v>
      </c>
      <c r="BA298" s="7">
        <v>42735</v>
      </c>
      <c r="BB298" s="1" t="s">
        <v>1310</v>
      </c>
      <c r="BC298" s="1"/>
      <c r="BD298" s="1" t="s">
        <v>901</v>
      </c>
    </row>
    <row r="299" spans="1:56" hidden="1" x14ac:dyDescent="0.25">
      <c r="A299" s="4">
        <v>294</v>
      </c>
      <c r="B299" s="2" t="str">
        <f>HYPERLINK("https://my.zakupki.prom.ua/remote/dispatcher/state_purchase_view/506431", "UA-2016-09-21-000166-c")</f>
        <v>UA-2016-09-21-000166-c</v>
      </c>
      <c r="C299" s="2" t="s">
        <v>983</v>
      </c>
      <c r="D299" s="1" t="s">
        <v>340</v>
      </c>
      <c r="E299" s="1" t="s">
        <v>26</v>
      </c>
      <c r="F299" s="1" t="s">
        <v>341</v>
      </c>
      <c r="G299" s="1" t="s">
        <v>883</v>
      </c>
      <c r="H299" s="1" t="s">
        <v>987</v>
      </c>
      <c r="I299" s="1" t="s">
        <v>905</v>
      </c>
      <c r="J299" s="1" t="s">
        <v>158</v>
      </c>
      <c r="K299" s="1" t="s">
        <v>662</v>
      </c>
      <c r="L299" s="1" t="s">
        <v>1207</v>
      </c>
      <c r="M299" s="1" t="s">
        <v>147</v>
      </c>
      <c r="N299" s="1" t="s">
        <v>147</v>
      </c>
      <c r="O299" s="1" t="s">
        <v>147</v>
      </c>
      <c r="P299" s="5">
        <v>42634</v>
      </c>
      <c r="Q299" s="5">
        <v>42634</v>
      </c>
      <c r="R299" s="5">
        <v>42639</v>
      </c>
      <c r="S299" s="5">
        <v>42639</v>
      </c>
      <c r="T299" s="5">
        <v>42642</v>
      </c>
      <c r="U299" s="7">
        <v>42643.545659722222</v>
      </c>
      <c r="V299" s="4">
        <v>3</v>
      </c>
      <c r="W299" s="6">
        <v>4998</v>
      </c>
      <c r="X299" s="1" t="s">
        <v>983</v>
      </c>
      <c r="Y299" s="4">
        <v>3</v>
      </c>
      <c r="Z299" s="6">
        <v>1666</v>
      </c>
      <c r="AA299" s="1" t="s">
        <v>1311</v>
      </c>
      <c r="AB299" s="1" t="s">
        <v>540</v>
      </c>
      <c r="AC299" s="1" t="s">
        <v>1202</v>
      </c>
      <c r="AD299" s="1" t="s">
        <v>704</v>
      </c>
      <c r="AE299" s="1" t="s">
        <v>987</v>
      </c>
      <c r="AF299" s="6">
        <v>2991</v>
      </c>
      <c r="AG299" s="6">
        <v>997</v>
      </c>
      <c r="AH299" s="1" t="s">
        <v>1224</v>
      </c>
      <c r="AI299" s="6">
        <v>2007</v>
      </c>
      <c r="AJ299" s="6">
        <v>0.4015606242496999</v>
      </c>
      <c r="AK299" s="1" t="s">
        <v>1224</v>
      </c>
      <c r="AL299" s="1" t="s">
        <v>296</v>
      </c>
      <c r="AM299" s="1" t="s">
        <v>557</v>
      </c>
      <c r="AN299" s="1" t="s">
        <v>131</v>
      </c>
      <c r="AO299" s="6">
        <v>2007</v>
      </c>
      <c r="AP299" s="6">
        <v>0.4015606242496999</v>
      </c>
      <c r="AQ299" s="2" t="str">
        <f>HYPERLINK("https://auction.openprocurement.org/tenders/36f354c4391b4937b1a52ad222e3b4f7")</f>
        <v>https://auction.openprocurement.org/tenders/36f354c4391b4937b1a52ad222e3b4f7</v>
      </c>
      <c r="AR299" s="7">
        <v>42643.620657319261</v>
      </c>
      <c r="AS299" s="5">
        <v>42647</v>
      </c>
      <c r="AT299" s="5">
        <v>42669</v>
      </c>
      <c r="AU299" s="1" t="s">
        <v>1287</v>
      </c>
      <c r="AV299" s="7">
        <v>42656.552500544691</v>
      </c>
      <c r="AW299" s="1" t="s">
        <v>386</v>
      </c>
      <c r="AX299" s="6">
        <v>2991</v>
      </c>
      <c r="AY299" s="5">
        <v>42646</v>
      </c>
      <c r="AZ299" s="5">
        <v>42674</v>
      </c>
      <c r="BA299" s="7">
        <v>42735</v>
      </c>
      <c r="BB299" s="1" t="s">
        <v>1310</v>
      </c>
      <c r="BC299" s="1"/>
      <c r="BD299" s="1" t="s">
        <v>901</v>
      </c>
    </row>
    <row r="300" spans="1:56" hidden="1" x14ac:dyDescent="0.25">
      <c r="A300" s="4">
        <v>295</v>
      </c>
      <c r="B300" s="2" t="str">
        <f>HYPERLINK("https://my.zakupki.prom.ua/remote/dispatcher/state_purchase_view/480742", "UA-2016-09-16-000308-c")</f>
        <v>UA-2016-09-16-000308-c</v>
      </c>
      <c r="C300" s="2" t="s">
        <v>983</v>
      </c>
      <c r="D300" s="1" t="s">
        <v>265</v>
      </c>
      <c r="E300" s="1" t="s">
        <v>1096</v>
      </c>
      <c r="F300" s="1" t="s">
        <v>364</v>
      </c>
      <c r="G300" s="1" t="s">
        <v>883</v>
      </c>
      <c r="H300" s="1" t="s">
        <v>987</v>
      </c>
      <c r="I300" s="1" t="s">
        <v>905</v>
      </c>
      <c r="J300" s="1" t="s">
        <v>158</v>
      </c>
      <c r="K300" s="1" t="s">
        <v>662</v>
      </c>
      <c r="L300" s="1" t="s">
        <v>1207</v>
      </c>
      <c r="M300" s="1" t="s">
        <v>147</v>
      </c>
      <c r="N300" s="1" t="s">
        <v>147</v>
      </c>
      <c r="O300" s="1" t="s">
        <v>147</v>
      </c>
      <c r="P300" s="5">
        <v>42629</v>
      </c>
      <c r="Q300" s="5">
        <v>42629</v>
      </c>
      <c r="R300" s="5">
        <v>42634</v>
      </c>
      <c r="S300" s="5">
        <v>42634</v>
      </c>
      <c r="T300" s="5">
        <v>42639</v>
      </c>
      <c r="U300" s="7">
        <v>42640.578692129631</v>
      </c>
      <c r="V300" s="4">
        <v>3</v>
      </c>
      <c r="W300" s="6">
        <v>4735</v>
      </c>
      <c r="X300" s="1" t="s">
        <v>983</v>
      </c>
      <c r="Y300" s="4">
        <v>2500</v>
      </c>
      <c r="Z300" s="6">
        <v>1.89</v>
      </c>
      <c r="AA300" s="1" t="s">
        <v>1305</v>
      </c>
      <c r="AB300" s="1" t="s">
        <v>540</v>
      </c>
      <c r="AC300" s="1" t="s">
        <v>1202</v>
      </c>
      <c r="AD300" s="1" t="s">
        <v>704</v>
      </c>
      <c r="AE300" s="1" t="s">
        <v>987</v>
      </c>
      <c r="AF300" s="6">
        <v>3722.22</v>
      </c>
      <c r="AG300" s="6">
        <v>1.488888</v>
      </c>
      <c r="AH300" s="1" t="s">
        <v>1188</v>
      </c>
      <c r="AI300" s="6">
        <v>1012.7800000000002</v>
      </c>
      <c r="AJ300" s="6">
        <v>0.21389229144667374</v>
      </c>
      <c r="AK300" s="1" t="s">
        <v>1188</v>
      </c>
      <c r="AL300" s="1" t="s">
        <v>438</v>
      </c>
      <c r="AM300" s="1" t="s">
        <v>573</v>
      </c>
      <c r="AN300" s="1" t="s">
        <v>87</v>
      </c>
      <c r="AO300" s="6">
        <v>1012.7800000000002</v>
      </c>
      <c r="AP300" s="6">
        <v>0.21389229144667374</v>
      </c>
      <c r="AQ300" s="2" t="str">
        <f>HYPERLINK("https://auction.openprocurement.org/tenders/c7495dd648e9461ba58ca432187e0510")</f>
        <v>https://auction.openprocurement.org/tenders/c7495dd648e9461ba58ca432187e0510</v>
      </c>
      <c r="AR300" s="7">
        <v>42641.622713401746</v>
      </c>
      <c r="AS300" s="5">
        <v>42643</v>
      </c>
      <c r="AT300" s="5">
        <v>42664</v>
      </c>
      <c r="AU300" s="1" t="s">
        <v>1287</v>
      </c>
      <c r="AV300" s="7">
        <v>42656.537346538302</v>
      </c>
      <c r="AW300" s="1" t="s">
        <v>337</v>
      </c>
      <c r="AX300" s="6">
        <v>3722.22</v>
      </c>
      <c r="AY300" s="5">
        <v>42646</v>
      </c>
      <c r="AZ300" s="5">
        <v>42674</v>
      </c>
      <c r="BA300" s="7">
        <v>42735</v>
      </c>
      <c r="BB300" s="1" t="s">
        <v>1310</v>
      </c>
      <c r="BC300" s="1"/>
      <c r="BD300" s="1" t="s">
        <v>901</v>
      </c>
    </row>
    <row r="301" spans="1:56" hidden="1" x14ac:dyDescent="0.25">
      <c r="A301" s="4">
        <v>296</v>
      </c>
      <c r="B301" s="2" t="str">
        <f>HYPERLINK("https://my.zakupki.prom.ua/remote/dispatcher/state_purchase_view/480578", "UA-2016-09-16-000282-c")</f>
        <v>UA-2016-09-16-000282-c</v>
      </c>
      <c r="C301" s="2" t="s">
        <v>983</v>
      </c>
      <c r="D301" s="1" t="s">
        <v>398</v>
      </c>
      <c r="E301" s="1" t="s">
        <v>1131</v>
      </c>
      <c r="F301" s="1" t="s">
        <v>397</v>
      </c>
      <c r="G301" s="1" t="s">
        <v>883</v>
      </c>
      <c r="H301" s="1" t="s">
        <v>987</v>
      </c>
      <c r="I301" s="1" t="s">
        <v>905</v>
      </c>
      <c r="J301" s="1" t="s">
        <v>158</v>
      </c>
      <c r="K301" s="1" t="s">
        <v>662</v>
      </c>
      <c r="L301" s="1" t="s">
        <v>1207</v>
      </c>
      <c r="M301" s="1" t="s">
        <v>147</v>
      </c>
      <c r="N301" s="1" t="s">
        <v>147</v>
      </c>
      <c r="O301" s="1" t="s">
        <v>147</v>
      </c>
      <c r="P301" s="5">
        <v>42629</v>
      </c>
      <c r="Q301" s="5">
        <v>42629</v>
      </c>
      <c r="R301" s="5">
        <v>42634</v>
      </c>
      <c r="S301" s="5">
        <v>42634</v>
      </c>
      <c r="T301" s="5">
        <v>42639</v>
      </c>
      <c r="U301" s="1" t="s">
        <v>1285</v>
      </c>
      <c r="V301" s="4">
        <v>1</v>
      </c>
      <c r="W301" s="6">
        <v>4965</v>
      </c>
      <c r="X301" s="1" t="s">
        <v>983</v>
      </c>
      <c r="Y301" s="4">
        <v>3</v>
      </c>
      <c r="Z301" s="6">
        <v>1655</v>
      </c>
      <c r="AA301" s="1" t="s">
        <v>1319</v>
      </c>
      <c r="AB301" s="1" t="s">
        <v>540</v>
      </c>
      <c r="AC301" s="1" t="s">
        <v>1202</v>
      </c>
      <c r="AD301" s="1" t="s">
        <v>704</v>
      </c>
      <c r="AE301" s="1" t="s">
        <v>987</v>
      </c>
      <c r="AF301" s="6">
        <v>4800</v>
      </c>
      <c r="AG301" s="6">
        <v>1600</v>
      </c>
      <c r="AH301" s="1" t="s">
        <v>1234</v>
      </c>
      <c r="AI301" s="6">
        <v>165</v>
      </c>
      <c r="AJ301" s="6">
        <v>3.3232628398791542E-2</v>
      </c>
      <c r="AK301" s="1" t="s">
        <v>1234</v>
      </c>
      <c r="AL301" s="1" t="s">
        <v>290</v>
      </c>
      <c r="AM301" s="1" t="s">
        <v>567</v>
      </c>
      <c r="AN301" s="1" t="s">
        <v>42</v>
      </c>
      <c r="AO301" s="6">
        <v>165</v>
      </c>
      <c r="AP301" s="6">
        <v>3.3232628398791542E-2</v>
      </c>
      <c r="AQ301" s="2"/>
      <c r="AR301" s="7">
        <v>42640.395035810834</v>
      </c>
      <c r="AS301" s="5">
        <v>42642</v>
      </c>
      <c r="AT301" s="5">
        <v>42664</v>
      </c>
      <c r="AU301" s="1" t="s">
        <v>1287</v>
      </c>
      <c r="AV301" s="7">
        <v>42664.498278325373</v>
      </c>
      <c r="AW301" s="1" t="s">
        <v>154</v>
      </c>
      <c r="AX301" s="6">
        <v>4800</v>
      </c>
      <c r="AY301" s="5">
        <v>42646</v>
      </c>
      <c r="AZ301" s="5">
        <v>42674</v>
      </c>
      <c r="BA301" s="7">
        <v>42735</v>
      </c>
      <c r="BB301" s="1" t="s">
        <v>1310</v>
      </c>
      <c r="BC301" s="1"/>
      <c r="BD301" s="1" t="s">
        <v>901</v>
      </c>
    </row>
    <row r="302" spans="1:56" hidden="1" x14ac:dyDescent="0.25">
      <c r="A302" s="4">
        <v>297</v>
      </c>
      <c r="B302" s="2" t="str">
        <f>HYPERLINK("https://my.zakupki.prom.ua/remote/dispatcher/state_purchase_view/480453", "UA-2016-09-16-000262-c")</f>
        <v>UA-2016-09-16-000262-c</v>
      </c>
      <c r="C302" s="2" t="s">
        <v>983</v>
      </c>
      <c r="D302" s="1" t="s">
        <v>359</v>
      </c>
      <c r="E302" s="1" t="s">
        <v>687</v>
      </c>
      <c r="F302" s="1" t="s">
        <v>424</v>
      </c>
      <c r="G302" s="1" t="s">
        <v>883</v>
      </c>
      <c r="H302" s="1" t="s">
        <v>987</v>
      </c>
      <c r="I302" s="1" t="s">
        <v>905</v>
      </c>
      <c r="J302" s="1" t="s">
        <v>158</v>
      </c>
      <c r="K302" s="1" t="s">
        <v>662</v>
      </c>
      <c r="L302" s="1" t="s">
        <v>1207</v>
      </c>
      <c r="M302" s="1" t="s">
        <v>147</v>
      </c>
      <c r="N302" s="1" t="s">
        <v>147</v>
      </c>
      <c r="O302" s="1" t="s">
        <v>147</v>
      </c>
      <c r="P302" s="5">
        <v>42629</v>
      </c>
      <c r="Q302" s="5">
        <v>42629</v>
      </c>
      <c r="R302" s="5">
        <v>42634</v>
      </c>
      <c r="S302" s="5">
        <v>42634</v>
      </c>
      <c r="T302" s="5">
        <v>42639</v>
      </c>
      <c r="U302" s="1" t="s">
        <v>1285</v>
      </c>
      <c r="V302" s="4">
        <v>1</v>
      </c>
      <c r="W302" s="6">
        <v>3750</v>
      </c>
      <c r="X302" s="1" t="s">
        <v>983</v>
      </c>
      <c r="Y302" s="4">
        <v>900</v>
      </c>
      <c r="Z302" s="6">
        <v>4.17</v>
      </c>
      <c r="AA302" s="1" t="s">
        <v>1319</v>
      </c>
      <c r="AB302" s="1" t="s">
        <v>540</v>
      </c>
      <c r="AC302" s="1" t="s">
        <v>1202</v>
      </c>
      <c r="AD302" s="1" t="s">
        <v>704</v>
      </c>
      <c r="AE302" s="1" t="s">
        <v>987</v>
      </c>
      <c r="AF302" s="6">
        <v>3488.22</v>
      </c>
      <c r="AG302" s="6">
        <v>3.8757999999999999</v>
      </c>
      <c r="AH302" s="1" t="s">
        <v>1188</v>
      </c>
      <c r="AI302" s="6">
        <v>261.7800000000002</v>
      </c>
      <c r="AJ302" s="6">
        <v>6.9808000000000051E-2</v>
      </c>
      <c r="AK302" s="1" t="s">
        <v>1188</v>
      </c>
      <c r="AL302" s="1" t="s">
        <v>438</v>
      </c>
      <c r="AM302" s="1" t="s">
        <v>573</v>
      </c>
      <c r="AN302" s="1" t="s">
        <v>87</v>
      </c>
      <c r="AO302" s="6">
        <v>261.7800000000002</v>
      </c>
      <c r="AP302" s="6">
        <v>6.9808000000000051E-2</v>
      </c>
      <c r="AQ302" s="2"/>
      <c r="AR302" s="7">
        <v>42640.396306339375</v>
      </c>
      <c r="AS302" s="5">
        <v>42642</v>
      </c>
      <c r="AT302" s="5">
        <v>42664</v>
      </c>
      <c r="AU302" s="1" t="s">
        <v>1287</v>
      </c>
      <c r="AV302" s="7">
        <v>42656.532612983145</v>
      </c>
      <c r="AW302" s="1" t="s">
        <v>344</v>
      </c>
      <c r="AX302" s="6">
        <v>3488.22</v>
      </c>
      <c r="AY302" s="5">
        <v>42646</v>
      </c>
      <c r="AZ302" s="5">
        <v>42674</v>
      </c>
      <c r="BA302" s="7">
        <v>42735</v>
      </c>
      <c r="BB302" s="1" t="s">
        <v>1310</v>
      </c>
      <c r="BC302" s="1"/>
      <c r="BD302" s="1" t="s">
        <v>901</v>
      </c>
    </row>
    <row r="303" spans="1:56" hidden="1" x14ac:dyDescent="0.25">
      <c r="A303" s="4">
        <v>298</v>
      </c>
      <c r="B303" s="2" t="str">
        <f>HYPERLINK("https://my.zakupki.prom.ua/remote/dispatcher/state_purchase_view/479698", "UA-2016-09-16-000183-c")</f>
        <v>UA-2016-09-16-000183-c</v>
      </c>
      <c r="C303" s="2" t="s">
        <v>983</v>
      </c>
      <c r="D303" s="1" t="s">
        <v>943</v>
      </c>
      <c r="E303" s="1" t="s">
        <v>980</v>
      </c>
      <c r="F303" s="1" t="s">
        <v>375</v>
      </c>
      <c r="G303" s="1" t="s">
        <v>883</v>
      </c>
      <c r="H303" s="1" t="s">
        <v>987</v>
      </c>
      <c r="I303" s="1" t="s">
        <v>905</v>
      </c>
      <c r="J303" s="1" t="s">
        <v>158</v>
      </c>
      <c r="K303" s="1" t="s">
        <v>662</v>
      </c>
      <c r="L303" s="1" t="s">
        <v>1207</v>
      </c>
      <c r="M303" s="1" t="s">
        <v>147</v>
      </c>
      <c r="N303" s="1" t="s">
        <v>147</v>
      </c>
      <c r="O303" s="1" t="s">
        <v>147</v>
      </c>
      <c r="P303" s="5">
        <v>42629</v>
      </c>
      <c r="Q303" s="5">
        <v>42629</v>
      </c>
      <c r="R303" s="5">
        <v>42634</v>
      </c>
      <c r="S303" s="5">
        <v>42634</v>
      </c>
      <c r="T303" s="5">
        <v>42639</v>
      </c>
      <c r="U303" s="1" t="s">
        <v>1285</v>
      </c>
      <c r="V303" s="4">
        <v>1</v>
      </c>
      <c r="W303" s="6">
        <v>4757</v>
      </c>
      <c r="X303" s="1" t="s">
        <v>983</v>
      </c>
      <c r="Y303" s="4">
        <v>144</v>
      </c>
      <c r="Z303" s="6">
        <v>33.03</v>
      </c>
      <c r="AA303" s="1" t="s">
        <v>1319</v>
      </c>
      <c r="AB303" s="1" t="s">
        <v>540</v>
      </c>
      <c r="AC303" s="1" t="s">
        <v>1202</v>
      </c>
      <c r="AD303" s="1" t="s">
        <v>704</v>
      </c>
      <c r="AE303" s="1" t="s">
        <v>987</v>
      </c>
      <c r="AF303" s="6">
        <v>1936.2</v>
      </c>
      <c r="AG303" s="6">
        <v>13.445833333333333</v>
      </c>
      <c r="AH303" s="1" t="s">
        <v>1007</v>
      </c>
      <c r="AI303" s="6">
        <v>2820.8</v>
      </c>
      <c r="AJ303" s="6">
        <v>0.59297876813117512</v>
      </c>
      <c r="AK303" s="1" t="s">
        <v>1007</v>
      </c>
      <c r="AL303" s="1" t="s">
        <v>406</v>
      </c>
      <c r="AM303" s="1" t="s">
        <v>542</v>
      </c>
      <c r="AN303" s="1" t="s">
        <v>105</v>
      </c>
      <c r="AO303" s="6">
        <v>2820.8</v>
      </c>
      <c r="AP303" s="6">
        <v>0.59297876813117512</v>
      </c>
      <c r="AQ303" s="2"/>
      <c r="AR303" s="7">
        <v>42640.397767923379</v>
      </c>
      <c r="AS303" s="5">
        <v>42642</v>
      </c>
      <c r="AT303" s="5">
        <v>42664</v>
      </c>
      <c r="AU303" s="1" t="s">
        <v>1287</v>
      </c>
      <c r="AV303" s="7">
        <v>42656.52926367383</v>
      </c>
      <c r="AW303" s="1" t="s">
        <v>524</v>
      </c>
      <c r="AX303" s="6">
        <v>1936.2</v>
      </c>
      <c r="AY303" s="5">
        <v>42646</v>
      </c>
      <c r="AZ303" s="5">
        <v>42674</v>
      </c>
      <c r="BA303" s="7">
        <v>42735</v>
      </c>
      <c r="BB303" s="1" t="s">
        <v>1310</v>
      </c>
      <c r="BC303" s="1"/>
      <c r="BD303" s="1" t="s">
        <v>901</v>
      </c>
    </row>
    <row r="304" spans="1:56" hidden="1" x14ac:dyDescent="0.25">
      <c r="A304" s="4">
        <v>299</v>
      </c>
      <c r="B304" s="2" t="str">
        <f>HYPERLINK("https://my.zakupki.prom.ua/remote/dispatcher/state_purchase_view/479480", "UA-2016-09-16-000156-c")</f>
        <v>UA-2016-09-16-000156-c</v>
      </c>
      <c r="C304" s="2" t="s">
        <v>983</v>
      </c>
      <c r="D304" s="1" t="s">
        <v>424</v>
      </c>
      <c r="E304" s="1" t="s">
        <v>1203</v>
      </c>
      <c r="F304" s="1" t="s">
        <v>424</v>
      </c>
      <c r="G304" s="1" t="s">
        <v>883</v>
      </c>
      <c r="H304" s="1" t="s">
        <v>987</v>
      </c>
      <c r="I304" s="1" t="s">
        <v>905</v>
      </c>
      <c r="J304" s="1" t="s">
        <v>158</v>
      </c>
      <c r="K304" s="1" t="s">
        <v>662</v>
      </c>
      <c r="L304" s="1" t="s">
        <v>1207</v>
      </c>
      <c r="M304" s="1" t="s">
        <v>147</v>
      </c>
      <c r="N304" s="1" t="s">
        <v>147</v>
      </c>
      <c r="O304" s="1" t="s">
        <v>147</v>
      </c>
      <c r="P304" s="5">
        <v>42629</v>
      </c>
      <c r="Q304" s="5">
        <v>42629</v>
      </c>
      <c r="R304" s="5">
        <v>42634</v>
      </c>
      <c r="S304" s="5">
        <v>42634</v>
      </c>
      <c r="T304" s="5">
        <v>42639</v>
      </c>
      <c r="U304" s="7">
        <v>42640.581909722219</v>
      </c>
      <c r="V304" s="4">
        <v>2</v>
      </c>
      <c r="W304" s="6">
        <v>3750</v>
      </c>
      <c r="X304" s="1" t="s">
        <v>983</v>
      </c>
      <c r="Y304" s="4">
        <v>17</v>
      </c>
      <c r="Z304" s="6">
        <v>220.59</v>
      </c>
      <c r="AA304" s="1" t="s">
        <v>1319</v>
      </c>
      <c r="AB304" s="1" t="s">
        <v>540</v>
      </c>
      <c r="AC304" s="1" t="s">
        <v>1202</v>
      </c>
      <c r="AD304" s="1" t="s">
        <v>704</v>
      </c>
      <c r="AE304" s="1" t="s">
        <v>987</v>
      </c>
      <c r="AF304" s="6">
        <v>900</v>
      </c>
      <c r="AG304" s="6">
        <v>52.941176470588232</v>
      </c>
      <c r="AH304" s="1" t="s">
        <v>1233</v>
      </c>
      <c r="AI304" s="6">
        <v>2850</v>
      </c>
      <c r="AJ304" s="6">
        <v>0.76</v>
      </c>
      <c r="AK304" s="1" t="s">
        <v>1233</v>
      </c>
      <c r="AL304" s="1" t="s">
        <v>385</v>
      </c>
      <c r="AM304" s="1" t="s">
        <v>605</v>
      </c>
      <c r="AN304" s="1" t="s">
        <v>129</v>
      </c>
      <c r="AO304" s="6">
        <v>2850</v>
      </c>
      <c r="AP304" s="6">
        <v>0.76</v>
      </c>
      <c r="AQ304" s="2" t="str">
        <f>HYPERLINK("https://auction.openprocurement.org/tenders/9a9a9791717d4befbfd8a7f96ae738ab")</f>
        <v>https://auction.openprocurement.org/tenders/9a9a9791717d4befbfd8a7f96ae738ab</v>
      </c>
      <c r="AR304" s="7">
        <v>42641.618368417592</v>
      </c>
      <c r="AS304" s="5">
        <v>42643</v>
      </c>
      <c r="AT304" s="5">
        <v>42664</v>
      </c>
      <c r="AU304" s="1" t="s">
        <v>1287</v>
      </c>
      <c r="AV304" s="7">
        <v>42656.560112277781</v>
      </c>
      <c r="AW304" s="1" t="s">
        <v>395</v>
      </c>
      <c r="AX304" s="6">
        <v>900</v>
      </c>
      <c r="AY304" s="5">
        <v>42646</v>
      </c>
      <c r="AZ304" s="5">
        <v>42674</v>
      </c>
      <c r="BA304" s="7">
        <v>42735</v>
      </c>
      <c r="BB304" s="1" t="s">
        <v>1310</v>
      </c>
      <c r="BC304" s="1"/>
      <c r="BD304" s="1" t="s">
        <v>901</v>
      </c>
    </row>
    <row r="305" spans="1:56" hidden="1" x14ac:dyDescent="0.25">
      <c r="A305" s="4">
        <v>300</v>
      </c>
      <c r="B305" s="2" t="str">
        <f>HYPERLINK("https://my.zakupki.prom.ua/remote/dispatcher/state_purchase_view/479348", "UA-2016-09-16-000134-c")</f>
        <v>UA-2016-09-16-000134-c</v>
      </c>
      <c r="C305" s="2" t="str">
        <f>HYPERLINK("https://my.zakupki.prom.ua/remote/dispatcher/state_purchase_lot_view/74087", "UA-2016-09-16-000134-c-L1")</f>
        <v>UA-2016-09-16-000134-c-L1</v>
      </c>
      <c r="D305" s="1" t="s">
        <v>939</v>
      </c>
      <c r="E305" s="1" t="s">
        <v>931</v>
      </c>
      <c r="F305" s="1" t="s">
        <v>381</v>
      </c>
      <c r="G305" s="1" t="s">
        <v>883</v>
      </c>
      <c r="H305" s="1" t="s">
        <v>987</v>
      </c>
      <c r="I305" s="1" t="s">
        <v>905</v>
      </c>
      <c r="J305" s="1" t="s">
        <v>158</v>
      </c>
      <c r="K305" s="1" t="s">
        <v>662</v>
      </c>
      <c r="L305" s="1" t="s">
        <v>1207</v>
      </c>
      <c r="M305" s="1" t="s">
        <v>148</v>
      </c>
      <c r="N305" s="1" t="s">
        <v>148</v>
      </c>
      <c r="O305" s="1" t="s">
        <v>148</v>
      </c>
      <c r="P305" s="5">
        <v>42629</v>
      </c>
      <c r="Q305" s="5">
        <v>42629</v>
      </c>
      <c r="R305" s="5">
        <v>42634</v>
      </c>
      <c r="S305" s="5">
        <v>42634</v>
      </c>
      <c r="T305" s="5">
        <v>42639</v>
      </c>
      <c r="U305" s="7">
        <v>42640.507604166669</v>
      </c>
      <c r="V305" s="4">
        <v>2</v>
      </c>
      <c r="W305" s="6">
        <v>4806</v>
      </c>
      <c r="X305" s="6">
        <v>4806</v>
      </c>
      <c r="Y305" s="4">
        <v>15</v>
      </c>
      <c r="Z305" s="6">
        <v>320.39999999999998</v>
      </c>
      <c r="AA305" s="1" t="s">
        <v>1319</v>
      </c>
      <c r="AB305" s="1" t="s">
        <v>540</v>
      </c>
      <c r="AC305" s="1" t="s">
        <v>1202</v>
      </c>
      <c r="AD305" s="1" t="s">
        <v>704</v>
      </c>
      <c r="AE305" s="1" t="s">
        <v>987</v>
      </c>
      <c r="AF305" s="6">
        <v>3752</v>
      </c>
      <c r="AG305" s="6">
        <v>250.13333333333333</v>
      </c>
      <c r="AH305" s="1" t="s">
        <v>1260</v>
      </c>
      <c r="AI305" s="6">
        <v>1054</v>
      </c>
      <c r="AJ305" s="6">
        <v>0.21930919683728672</v>
      </c>
      <c r="AK305" s="1" t="s">
        <v>1260</v>
      </c>
      <c r="AL305" s="1" t="s">
        <v>260</v>
      </c>
      <c r="AM305" s="1" t="s">
        <v>566</v>
      </c>
      <c r="AN305" s="1" t="s">
        <v>101</v>
      </c>
      <c r="AO305" s="6">
        <v>1054</v>
      </c>
      <c r="AP305" s="6">
        <v>0.21930919683728672</v>
      </c>
      <c r="AQ305" s="2" t="str">
        <f>HYPERLINK("https://auction.openprocurement.org/tenders/3129998437d84d7d8e26832a3757d9be_85ea80d4a9394f1f952c55ca61d179a6")</f>
        <v>https://auction.openprocurement.org/tenders/3129998437d84d7d8e26832a3757d9be_85ea80d4a9394f1f952c55ca61d179a6</v>
      </c>
      <c r="AR305" s="7">
        <v>42642.570227980577</v>
      </c>
      <c r="AS305" s="5">
        <v>42646</v>
      </c>
      <c r="AT305" s="5">
        <v>42664</v>
      </c>
      <c r="AU305" s="1" t="s">
        <v>1287</v>
      </c>
      <c r="AV305" s="7">
        <v>42664.646494352848</v>
      </c>
      <c r="AW305" s="1" t="s">
        <v>417</v>
      </c>
      <c r="AX305" s="6">
        <v>3752</v>
      </c>
      <c r="AY305" s="5">
        <v>42646</v>
      </c>
      <c r="AZ305" s="5">
        <v>42674</v>
      </c>
      <c r="BA305" s="7">
        <v>42735</v>
      </c>
      <c r="BB305" s="1" t="s">
        <v>1310</v>
      </c>
      <c r="BC305" s="1"/>
      <c r="BD305" s="1" t="s">
        <v>901</v>
      </c>
    </row>
    <row r="306" spans="1:56" hidden="1" x14ac:dyDescent="0.25">
      <c r="A306" s="4">
        <v>301</v>
      </c>
      <c r="B306" s="2" t="str">
        <f>HYPERLINK("https://my.zakupki.prom.ua/remote/dispatcher/state_purchase_view/290840", "UA-2016-08-16-000272-b")</f>
        <v>UA-2016-08-16-000272-b</v>
      </c>
      <c r="C306" s="2" t="str">
        <f>HYPERLINK("https://my.zakupki.prom.ua/remote/dispatcher/state_purchase_lot_view/60553", "UA-2016-08-16-000272-b-L1")</f>
        <v>UA-2016-08-16-000272-b-L1</v>
      </c>
      <c r="D306" s="1" t="s">
        <v>939</v>
      </c>
      <c r="E306" s="1" t="s">
        <v>931</v>
      </c>
      <c r="F306" s="1" t="s">
        <v>381</v>
      </c>
      <c r="G306" s="1" t="s">
        <v>883</v>
      </c>
      <c r="H306" s="1" t="s">
        <v>987</v>
      </c>
      <c r="I306" s="1" t="s">
        <v>905</v>
      </c>
      <c r="J306" s="1" t="s">
        <v>158</v>
      </c>
      <c r="K306" s="1" t="s">
        <v>662</v>
      </c>
      <c r="L306" s="1" t="s">
        <v>1207</v>
      </c>
      <c r="M306" s="1" t="s">
        <v>148</v>
      </c>
      <c r="N306" s="1" t="s">
        <v>148</v>
      </c>
      <c r="O306" s="1" t="s">
        <v>148</v>
      </c>
      <c r="P306" s="5">
        <v>42598</v>
      </c>
      <c r="Q306" s="5">
        <v>42598</v>
      </c>
      <c r="R306" s="5">
        <v>42601</v>
      </c>
      <c r="S306" s="5">
        <v>42601</v>
      </c>
      <c r="T306" s="5">
        <v>42606</v>
      </c>
      <c r="U306" s="7">
        <v>42607.468333333331</v>
      </c>
      <c r="V306" s="4">
        <v>2</v>
      </c>
      <c r="W306" s="6">
        <v>4720</v>
      </c>
      <c r="X306" s="6">
        <v>4720</v>
      </c>
      <c r="Y306" s="4">
        <v>13</v>
      </c>
      <c r="Z306" s="6">
        <v>363.08</v>
      </c>
      <c r="AA306" s="1" t="s">
        <v>1319</v>
      </c>
      <c r="AB306" s="1" t="s">
        <v>540</v>
      </c>
      <c r="AC306" s="1" t="s">
        <v>1202</v>
      </c>
      <c r="AD306" s="1" t="s">
        <v>704</v>
      </c>
      <c r="AE306" s="1" t="s">
        <v>987</v>
      </c>
      <c r="AF306" s="6">
        <v>4065.58</v>
      </c>
      <c r="AG306" s="6">
        <v>312.73692307692306</v>
      </c>
      <c r="AH306" s="1" t="s">
        <v>1192</v>
      </c>
      <c r="AI306" s="6">
        <v>654.42000000000007</v>
      </c>
      <c r="AJ306" s="6">
        <v>0.13864830508474577</v>
      </c>
      <c r="AK306" s="1" t="s">
        <v>1192</v>
      </c>
      <c r="AL306" s="1" t="s">
        <v>281</v>
      </c>
      <c r="AM306" s="1" t="s">
        <v>561</v>
      </c>
      <c r="AN306" s="1" t="s">
        <v>73</v>
      </c>
      <c r="AO306" s="6">
        <v>654.42000000000007</v>
      </c>
      <c r="AP306" s="6">
        <v>0.13864830508474577</v>
      </c>
      <c r="AQ306" s="2" t="str">
        <f>HYPERLINK("https://auction.openprocurement.org/tenders/2eca3b7761c64ef0b75eb1b3a6fdc824_114630250d304ee1b7745998b616b4df")</f>
        <v>https://auction.openprocurement.org/tenders/2eca3b7761c64ef0b75eb1b3a6fdc824_114630250d304ee1b7745998b616b4df</v>
      </c>
      <c r="AR306" s="7">
        <v>42611.639119814186</v>
      </c>
      <c r="AS306" s="5">
        <v>42613</v>
      </c>
      <c r="AT306" s="5">
        <v>42631</v>
      </c>
      <c r="AU306" s="1" t="s">
        <v>1287</v>
      </c>
      <c r="AV306" s="7">
        <v>42625.683170160657</v>
      </c>
      <c r="AW306" s="1" t="s">
        <v>310</v>
      </c>
      <c r="AX306" s="6">
        <v>4065.58</v>
      </c>
      <c r="AY306" s="5">
        <v>42611</v>
      </c>
      <c r="AZ306" s="5">
        <v>42643</v>
      </c>
      <c r="BA306" s="7">
        <v>42735</v>
      </c>
      <c r="BB306" s="1" t="s">
        <v>1310</v>
      </c>
      <c r="BC306" s="1"/>
      <c r="BD306" s="1" t="s">
        <v>901</v>
      </c>
    </row>
    <row r="307" spans="1:56" hidden="1" x14ac:dyDescent="0.25">
      <c r="A307" s="4">
        <v>302</v>
      </c>
      <c r="B307" s="2" t="str">
        <f>HYPERLINK("https://my.zakupki.prom.ua/remote/dispatcher/state_purchase_view/286278", "UA-2016-08-15-000639-b")</f>
        <v>UA-2016-08-15-000639-b</v>
      </c>
      <c r="C307" s="2" t="str">
        <f>HYPERLINK("https://my.zakupki.prom.ua/remote/dispatcher/state_purchase_lot_view/60277", "UA-2016-08-15-000639-b-L1")</f>
        <v>UA-2016-08-15-000639-b-L1</v>
      </c>
      <c r="D307" s="1" t="s">
        <v>939</v>
      </c>
      <c r="E307" s="1" t="s">
        <v>931</v>
      </c>
      <c r="F307" s="1" t="s">
        <v>381</v>
      </c>
      <c r="G307" s="1" t="s">
        <v>883</v>
      </c>
      <c r="H307" s="1" t="s">
        <v>987</v>
      </c>
      <c r="I307" s="1" t="s">
        <v>905</v>
      </c>
      <c r="J307" s="1" t="s">
        <v>158</v>
      </c>
      <c r="K307" s="1" t="s">
        <v>662</v>
      </c>
      <c r="L307" s="1" t="s">
        <v>1207</v>
      </c>
      <c r="M307" s="1" t="s">
        <v>148</v>
      </c>
      <c r="N307" s="1" t="s">
        <v>148</v>
      </c>
      <c r="O307" s="1" t="s">
        <v>148</v>
      </c>
      <c r="P307" s="5">
        <v>42597</v>
      </c>
      <c r="Q307" s="5">
        <v>42597</v>
      </c>
      <c r="R307" s="5">
        <v>42600</v>
      </c>
      <c r="S307" s="5">
        <v>42600</v>
      </c>
      <c r="T307" s="5">
        <v>42605</v>
      </c>
      <c r="U307" s="7">
        <v>42607.636296296296</v>
      </c>
      <c r="V307" s="4">
        <v>3</v>
      </c>
      <c r="W307" s="6">
        <v>4655</v>
      </c>
      <c r="X307" s="6">
        <v>4655</v>
      </c>
      <c r="Y307" s="4">
        <v>4020</v>
      </c>
      <c r="Z307" s="6">
        <v>1.1599999999999999</v>
      </c>
      <c r="AA307" s="1" t="s">
        <v>1319</v>
      </c>
      <c r="AB307" s="1" t="s">
        <v>540</v>
      </c>
      <c r="AC307" s="1" t="s">
        <v>1202</v>
      </c>
      <c r="AD307" s="1" t="s">
        <v>704</v>
      </c>
      <c r="AE307" s="1" t="s">
        <v>987</v>
      </c>
      <c r="AF307" s="6">
        <v>2799</v>
      </c>
      <c r="AG307" s="6">
        <v>0.69626865671641791</v>
      </c>
      <c r="AH307" s="1" t="s">
        <v>1192</v>
      </c>
      <c r="AI307" s="6">
        <v>1856</v>
      </c>
      <c r="AJ307" s="6">
        <v>0.3987110633727175</v>
      </c>
      <c r="AK307" s="1" t="s">
        <v>1192</v>
      </c>
      <c r="AL307" s="1" t="s">
        <v>281</v>
      </c>
      <c r="AM307" s="1" t="s">
        <v>561</v>
      </c>
      <c r="AN307" s="1" t="s">
        <v>73</v>
      </c>
      <c r="AO307" s="6">
        <v>1856</v>
      </c>
      <c r="AP307" s="6">
        <v>0.3987110633727175</v>
      </c>
      <c r="AQ307" s="2" t="str">
        <f>HYPERLINK("https://auction.openprocurement.org/tenders/b19ee4bc4f174157b2b3d88ac1974fa4_f0905e7cd3f04c4e8cce2eb2614d168b")</f>
        <v>https://auction.openprocurement.org/tenders/b19ee4bc4f174157b2b3d88ac1974fa4_f0905e7cd3f04c4e8cce2eb2614d168b</v>
      </c>
      <c r="AR307" s="7">
        <v>42611.637486584557</v>
      </c>
      <c r="AS307" s="5">
        <v>42613</v>
      </c>
      <c r="AT307" s="5">
        <v>42630</v>
      </c>
      <c r="AU307" s="1" t="s">
        <v>1287</v>
      </c>
      <c r="AV307" s="7">
        <v>42625.68748820918</v>
      </c>
      <c r="AW307" s="1" t="s">
        <v>308</v>
      </c>
      <c r="AX307" s="6">
        <v>2799</v>
      </c>
      <c r="AY307" s="5">
        <v>42614</v>
      </c>
      <c r="AZ307" s="5">
        <v>42643</v>
      </c>
      <c r="BA307" s="7">
        <v>42735</v>
      </c>
      <c r="BB307" s="1" t="s">
        <v>1310</v>
      </c>
      <c r="BC307" s="1"/>
      <c r="BD307" s="1" t="s">
        <v>901</v>
      </c>
    </row>
    <row r="308" spans="1:56" hidden="1" x14ac:dyDescent="0.25">
      <c r="A308" s="4">
        <v>303</v>
      </c>
      <c r="B308" s="2" t="str">
        <f>HYPERLINK("https://my.zakupki.prom.ua/remote/dispatcher/state_purchase_view/271108", "UA-2016-08-11-000261-b")</f>
        <v>UA-2016-08-11-000261-b</v>
      </c>
      <c r="C308" s="2" t="str">
        <f>HYPERLINK("https://my.zakupki.prom.ua/remote/dispatcher/state_purchase_lot_view/58708", "UA-2016-08-11-000261-b-L1")</f>
        <v>UA-2016-08-11-000261-b-L1</v>
      </c>
      <c r="D308" s="1" t="s">
        <v>878</v>
      </c>
      <c r="E308" s="1" t="s">
        <v>675</v>
      </c>
      <c r="F308" s="1" t="s">
        <v>279</v>
      </c>
      <c r="G308" s="1" t="s">
        <v>883</v>
      </c>
      <c r="H308" s="1" t="s">
        <v>987</v>
      </c>
      <c r="I308" s="1" t="s">
        <v>905</v>
      </c>
      <c r="J308" s="1" t="s">
        <v>158</v>
      </c>
      <c r="K308" s="1" t="s">
        <v>662</v>
      </c>
      <c r="L308" s="1" t="s">
        <v>1207</v>
      </c>
      <c r="M308" s="1" t="s">
        <v>148</v>
      </c>
      <c r="N308" s="1" t="s">
        <v>148</v>
      </c>
      <c r="O308" s="1" t="s">
        <v>148</v>
      </c>
      <c r="P308" s="5">
        <v>42593</v>
      </c>
      <c r="Q308" s="5">
        <v>42593</v>
      </c>
      <c r="R308" s="5">
        <v>42598</v>
      </c>
      <c r="S308" s="5">
        <v>42598</v>
      </c>
      <c r="T308" s="5">
        <v>42600</v>
      </c>
      <c r="U308" s="7">
        <v>42601.534375000003</v>
      </c>
      <c r="V308" s="4">
        <v>2</v>
      </c>
      <c r="W308" s="6">
        <v>4995.38</v>
      </c>
      <c r="X308" s="6">
        <v>4995.38</v>
      </c>
      <c r="Y308" s="4">
        <v>42</v>
      </c>
      <c r="Z308" s="6">
        <v>118.94</v>
      </c>
      <c r="AA308" s="1" t="s">
        <v>1319</v>
      </c>
      <c r="AB308" s="1" t="s">
        <v>540</v>
      </c>
      <c r="AC308" s="1" t="s">
        <v>1202</v>
      </c>
      <c r="AD308" s="1" t="s">
        <v>704</v>
      </c>
      <c r="AE308" s="1" t="s">
        <v>987</v>
      </c>
      <c r="AF308" s="6">
        <v>3090</v>
      </c>
      <c r="AG308" s="6">
        <v>73.571428571428569</v>
      </c>
      <c r="AH308" s="1" t="s">
        <v>989</v>
      </c>
      <c r="AI308" s="6">
        <v>1905.38</v>
      </c>
      <c r="AJ308" s="6">
        <v>0.38142843987844771</v>
      </c>
      <c r="AK308" s="1" t="s">
        <v>989</v>
      </c>
      <c r="AL308" s="1" t="s">
        <v>431</v>
      </c>
      <c r="AM308" s="1" t="s">
        <v>623</v>
      </c>
      <c r="AN308" s="1" t="s">
        <v>124</v>
      </c>
      <c r="AO308" s="6">
        <v>1905.38</v>
      </c>
      <c r="AP308" s="6">
        <v>0.38142843987844771</v>
      </c>
      <c r="AQ308" s="2" t="str">
        <f>HYPERLINK("https://auction.openprocurement.org/tenders/53917592d91446798698e58f6affb02f_a5ee47867c2d4820a7496313c4aaf838")</f>
        <v>https://auction.openprocurement.org/tenders/53917592d91446798698e58f6affb02f_a5ee47867c2d4820a7496313c4aaf838</v>
      </c>
      <c r="AR308" s="7">
        <v>42604.403528828923</v>
      </c>
      <c r="AS308" s="5">
        <v>42607</v>
      </c>
      <c r="AT308" s="5">
        <v>42628</v>
      </c>
      <c r="AU308" s="1" t="s">
        <v>1287</v>
      </c>
      <c r="AV308" s="7">
        <v>42634.492743774106</v>
      </c>
      <c r="AW308" s="1" t="s">
        <v>318</v>
      </c>
      <c r="AX308" s="6">
        <v>3090</v>
      </c>
      <c r="AY308" s="5">
        <v>42604</v>
      </c>
      <c r="AZ308" s="5">
        <v>42613</v>
      </c>
      <c r="BA308" s="7">
        <v>42735</v>
      </c>
      <c r="BB308" s="1" t="s">
        <v>1310</v>
      </c>
      <c r="BC308" s="1"/>
      <c r="BD308" s="1" t="s">
        <v>901</v>
      </c>
    </row>
    <row r="309" spans="1:56" hidden="1" x14ac:dyDescent="0.25">
      <c r="A309" s="4">
        <v>304</v>
      </c>
      <c r="B309" s="2" t="str">
        <f>HYPERLINK("https://my.zakupki.prom.ua/remote/dispatcher/state_purchase_view/249600", "UA-2016-08-05-000368-b")</f>
        <v>UA-2016-08-05-000368-b</v>
      </c>
      <c r="C309" s="2" t="str">
        <f>HYPERLINK("https://my.zakupki.prom.ua/remote/dispatcher/state_purchase_lot_view/56289", "UA-2016-08-05-000368-b-L1")</f>
        <v>UA-2016-08-05-000368-b-L1</v>
      </c>
      <c r="D309" s="1" t="s">
        <v>939</v>
      </c>
      <c r="E309" s="1" t="s">
        <v>931</v>
      </c>
      <c r="F309" s="1" t="s">
        <v>381</v>
      </c>
      <c r="G309" s="1" t="s">
        <v>883</v>
      </c>
      <c r="H309" s="1" t="s">
        <v>987</v>
      </c>
      <c r="I309" s="1" t="s">
        <v>905</v>
      </c>
      <c r="J309" s="1" t="s">
        <v>158</v>
      </c>
      <c r="K309" s="1" t="s">
        <v>662</v>
      </c>
      <c r="L309" s="1" t="s">
        <v>1207</v>
      </c>
      <c r="M309" s="1" t="s">
        <v>148</v>
      </c>
      <c r="N309" s="1" t="s">
        <v>148</v>
      </c>
      <c r="O309" s="1" t="s">
        <v>148</v>
      </c>
      <c r="P309" s="5">
        <v>42587</v>
      </c>
      <c r="Q309" s="5">
        <v>42587</v>
      </c>
      <c r="R309" s="5">
        <v>42592</v>
      </c>
      <c r="S309" s="5">
        <v>42592</v>
      </c>
      <c r="T309" s="5">
        <v>42597</v>
      </c>
      <c r="U309" s="1" t="s">
        <v>1285</v>
      </c>
      <c r="V309" s="4">
        <v>0</v>
      </c>
      <c r="W309" s="6">
        <v>4655</v>
      </c>
      <c r="X309" s="6">
        <v>4655</v>
      </c>
      <c r="Y309" s="4">
        <v>3025</v>
      </c>
      <c r="Z309" s="6">
        <v>1.54</v>
      </c>
      <c r="AA309" s="1" t="s">
        <v>1319</v>
      </c>
      <c r="AB309" s="1" t="s">
        <v>540</v>
      </c>
      <c r="AC309" s="1" t="s">
        <v>1202</v>
      </c>
      <c r="AD309" s="1" t="s">
        <v>704</v>
      </c>
      <c r="AE309" s="1" t="s">
        <v>987</v>
      </c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2"/>
      <c r="AR309" s="1"/>
      <c r="AS309" s="1"/>
      <c r="AT309" s="1"/>
      <c r="AU309" s="1" t="s">
        <v>1288</v>
      </c>
      <c r="AV309" s="7">
        <v>42597.376181488587</v>
      </c>
      <c r="AW309" s="1"/>
      <c r="AX309" s="1"/>
      <c r="AY309" s="5">
        <v>42599</v>
      </c>
      <c r="AZ309" s="5">
        <v>42613</v>
      </c>
      <c r="BA309" s="1"/>
      <c r="BB309" s="1"/>
      <c r="BC309" s="1"/>
      <c r="BD309" s="1"/>
    </row>
    <row r="310" spans="1:56" hidden="1" x14ac:dyDescent="0.25">
      <c r="A310" s="4">
        <v>305</v>
      </c>
      <c r="B310" s="2" t="str">
        <f>HYPERLINK("https://my.zakupki.prom.ua/remote/dispatcher/state_purchase_view/248456", "UA-2016-08-05-000210-b")</f>
        <v>UA-2016-08-05-000210-b</v>
      </c>
      <c r="C310" s="2" t="s">
        <v>983</v>
      </c>
      <c r="D310" s="1" t="s">
        <v>286</v>
      </c>
      <c r="E310" s="1" t="s">
        <v>1075</v>
      </c>
      <c r="F310" s="1" t="s">
        <v>284</v>
      </c>
      <c r="G310" s="1" t="s">
        <v>883</v>
      </c>
      <c r="H310" s="1" t="s">
        <v>987</v>
      </c>
      <c r="I310" s="1" t="s">
        <v>905</v>
      </c>
      <c r="J310" s="1" t="s">
        <v>158</v>
      </c>
      <c r="K310" s="1" t="s">
        <v>662</v>
      </c>
      <c r="L310" s="1" t="s">
        <v>1207</v>
      </c>
      <c r="M310" s="1" t="s">
        <v>147</v>
      </c>
      <c r="N310" s="1" t="s">
        <v>147</v>
      </c>
      <c r="O310" s="1" t="s">
        <v>147</v>
      </c>
      <c r="P310" s="5">
        <v>42587</v>
      </c>
      <c r="Q310" s="5">
        <v>42587</v>
      </c>
      <c r="R310" s="5">
        <v>42592</v>
      </c>
      <c r="S310" s="5">
        <v>42592</v>
      </c>
      <c r="T310" s="5">
        <v>42597</v>
      </c>
      <c r="U310" s="7">
        <v>42598.496539351851</v>
      </c>
      <c r="V310" s="4">
        <v>3</v>
      </c>
      <c r="W310" s="6">
        <v>26000</v>
      </c>
      <c r="X310" s="1" t="s">
        <v>983</v>
      </c>
      <c r="Y310" s="4">
        <v>48</v>
      </c>
      <c r="Z310" s="6">
        <v>541.66999999999996</v>
      </c>
      <c r="AA310" s="1" t="s">
        <v>1319</v>
      </c>
      <c r="AB310" s="1" t="s">
        <v>540</v>
      </c>
      <c r="AC310" s="1" t="s">
        <v>1202</v>
      </c>
      <c r="AD310" s="1" t="s">
        <v>704</v>
      </c>
      <c r="AE310" s="1" t="s">
        <v>987</v>
      </c>
      <c r="AF310" s="6">
        <v>20124</v>
      </c>
      <c r="AG310" s="6">
        <v>419.25</v>
      </c>
      <c r="AH310" s="1" t="s">
        <v>989</v>
      </c>
      <c r="AI310" s="6">
        <v>5876</v>
      </c>
      <c r="AJ310" s="6">
        <v>0.22600000000000001</v>
      </c>
      <c r="AK310" s="1" t="s">
        <v>989</v>
      </c>
      <c r="AL310" s="1" t="s">
        <v>431</v>
      </c>
      <c r="AM310" s="1" t="s">
        <v>623</v>
      </c>
      <c r="AN310" s="1" t="s">
        <v>124</v>
      </c>
      <c r="AO310" s="6">
        <v>5876</v>
      </c>
      <c r="AP310" s="6">
        <v>0.22600000000000001</v>
      </c>
      <c r="AQ310" s="2" t="str">
        <f>HYPERLINK("https://auction.openprocurement.org/tenders/983da90184024978bba0be0ba9684ae5")</f>
        <v>https://auction.openprocurement.org/tenders/983da90184024978bba0be0ba9684ae5</v>
      </c>
      <c r="AR310" s="7">
        <v>42600.493005304445</v>
      </c>
      <c r="AS310" s="5">
        <v>42604</v>
      </c>
      <c r="AT310" s="5">
        <v>42622</v>
      </c>
      <c r="AU310" s="1" t="s">
        <v>1287</v>
      </c>
      <c r="AV310" s="7">
        <v>42607.540226208381</v>
      </c>
      <c r="AW310" s="1" t="s">
        <v>302</v>
      </c>
      <c r="AX310" s="6">
        <v>20124</v>
      </c>
      <c r="AY310" s="5">
        <v>42599</v>
      </c>
      <c r="AZ310" s="5">
        <v>42613</v>
      </c>
      <c r="BA310" s="7">
        <v>42735</v>
      </c>
      <c r="BB310" s="1" t="s">
        <v>1310</v>
      </c>
      <c r="BC310" s="1"/>
      <c r="BD310" s="1" t="s">
        <v>901</v>
      </c>
    </row>
    <row r="311" spans="1:56" hidden="1" x14ac:dyDescent="0.25">
      <c r="A311" s="4">
        <v>306</v>
      </c>
      <c r="B311" s="2" t="str">
        <f>HYPERLINK("https://my.zakupki.prom.ua/remote/dispatcher/state_purchase_view/237730", "UA-2016-08-02-000435-b")</f>
        <v>UA-2016-08-02-000435-b</v>
      </c>
      <c r="C311" s="2" t="str">
        <f>HYPERLINK("https://my.zakupki.prom.ua/remote/dispatcher/state_purchase_lot_view/54321", "UA-2016-08-02-000435-b-L1")</f>
        <v>UA-2016-08-02-000435-b-L1</v>
      </c>
      <c r="D311" s="1" t="s">
        <v>939</v>
      </c>
      <c r="E311" s="1" t="s">
        <v>931</v>
      </c>
      <c r="F311" s="1" t="s">
        <v>381</v>
      </c>
      <c r="G311" s="1" t="s">
        <v>883</v>
      </c>
      <c r="H311" s="1" t="s">
        <v>987</v>
      </c>
      <c r="I311" s="1" t="s">
        <v>905</v>
      </c>
      <c r="J311" s="1" t="s">
        <v>158</v>
      </c>
      <c r="K311" s="1" t="s">
        <v>662</v>
      </c>
      <c r="L311" s="1" t="s">
        <v>1207</v>
      </c>
      <c r="M311" s="1" t="s">
        <v>148</v>
      </c>
      <c r="N311" s="1" t="s">
        <v>148</v>
      </c>
      <c r="O311" s="1" t="s">
        <v>148</v>
      </c>
      <c r="P311" s="5">
        <v>42584</v>
      </c>
      <c r="Q311" s="5">
        <v>42584</v>
      </c>
      <c r="R311" s="5">
        <v>42587</v>
      </c>
      <c r="S311" s="5">
        <v>42587</v>
      </c>
      <c r="T311" s="5">
        <v>42592</v>
      </c>
      <c r="U311" s="7">
        <v>42593.530173611114</v>
      </c>
      <c r="V311" s="4">
        <v>3</v>
      </c>
      <c r="W311" s="6">
        <v>4995</v>
      </c>
      <c r="X311" s="6">
        <v>4995</v>
      </c>
      <c r="Y311" s="4">
        <v>3025</v>
      </c>
      <c r="Z311" s="6">
        <v>1.65</v>
      </c>
      <c r="AA311" s="1" t="s">
        <v>1319</v>
      </c>
      <c r="AB311" s="1" t="s">
        <v>540</v>
      </c>
      <c r="AC311" s="1" t="s">
        <v>1202</v>
      </c>
      <c r="AD311" s="1" t="s">
        <v>704</v>
      </c>
      <c r="AE311" s="1" t="s">
        <v>987</v>
      </c>
      <c r="AF311" s="6">
        <v>3699.9</v>
      </c>
      <c r="AG311" s="6">
        <v>1.223107438016529</v>
      </c>
      <c r="AH311" s="1" t="s">
        <v>1008</v>
      </c>
      <c r="AI311" s="6">
        <v>1295.0999999999999</v>
      </c>
      <c r="AJ311" s="6">
        <v>0.25927927927927924</v>
      </c>
      <c r="AK311" s="1" t="s">
        <v>1008</v>
      </c>
      <c r="AL311" s="1" t="s">
        <v>334</v>
      </c>
      <c r="AM311" s="1" t="s">
        <v>541</v>
      </c>
      <c r="AN311" s="1" t="s">
        <v>56</v>
      </c>
      <c r="AO311" s="6">
        <v>1295.0999999999999</v>
      </c>
      <c r="AP311" s="6">
        <v>0.25927927927927924</v>
      </c>
      <c r="AQ311" s="2" t="str">
        <f>HYPERLINK("https://auction.openprocurement.org/tenders/360fa91edf324d3485339f8b3aba4442_c6d5c162a46640f4952d089d82848075")</f>
        <v>https://auction.openprocurement.org/tenders/360fa91edf324d3485339f8b3aba4442_c6d5c162a46640f4952d089d82848075</v>
      </c>
      <c r="AR311" s="7">
        <v>42594.441746156925</v>
      </c>
      <c r="AS311" s="5">
        <v>42598</v>
      </c>
      <c r="AT311" s="5">
        <v>42617</v>
      </c>
      <c r="AU311" s="1" t="s">
        <v>1287</v>
      </c>
      <c r="AV311" s="7">
        <v>42605.768935902568</v>
      </c>
      <c r="AW311" s="1" t="s">
        <v>298</v>
      </c>
      <c r="AX311" s="6">
        <v>3699.9</v>
      </c>
      <c r="AY311" s="5">
        <v>42594</v>
      </c>
      <c r="AZ311" s="5">
        <v>42601</v>
      </c>
      <c r="BA311" s="7">
        <v>42735</v>
      </c>
      <c r="BB311" s="1" t="s">
        <v>1310</v>
      </c>
      <c r="BC311" s="1"/>
      <c r="BD311" s="1" t="s">
        <v>901</v>
      </c>
    </row>
    <row r="312" spans="1:56" hidden="1" x14ac:dyDescent="0.25">
      <c r="A312" s="4">
        <v>307</v>
      </c>
      <c r="B312" s="2" t="str">
        <f>HYPERLINK("https://my.zakupki.prom.ua/remote/dispatcher/state_purchase_view/229112", "UA-2016-07-29-000149-b")</f>
        <v>UA-2016-07-29-000149-b</v>
      </c>
      <c r="C312" s="2" t="str">
        <f>HYPERLINK("https://my.zakupki.prom.ua/remote/dispatcher/state_purchase_lot_view/52395", "UA-2016-07-29-000149-b-L1")</f>
        <v>UA-2016-07-29-000149-b-L1</v>
      </c>
      <c r="D312" s="1" t="s">
        <v>878</v>
      </c>
      <c r="E312" s="1" t="s">
        <v>876</v>
      </c>
      <c r="F312" s="1" t="s">
        <v>279</v>
      </c>
      <c r="G312" s="1" t="s">
        <v>883</v>
      </c>
      <c r="H312" s="1" t="s">
        <v>987</v>
      </c>
      <c r="I312" s="1" t="s">
        <v>905</v>
      </c>
      <c r="J312" s="1" t="s">
        <v>158</v>
      </c>
      <c r="K312" s="1" t="s">
        <v>662</v>
      </c>
      <c r="L312" s="1" t="s">
        <v>1207</v>
      </c>
      <c r="M312" s="1" t="s">
        <v>148</v>
      </c>
      <c r="N312" s="1" t="s">
        <v>148</v>
      </c>
      <c r="O312" s="1" t="s">
        <v>148</v>
      </c>
      <c r="P312" s="5">
        <v>42580</v>
      </c>
      <c r="Q312" s="5">
        <v>42580</v>
      </c>
      <c r="R312" s="5">
        <v>42584</v>
      </c>
      <c r="S312" s="5">
        <v>42584</v>
      </c>
      <c r="T312" s="5">
        <v>42586</v>
      </c>
      <c r="U312" s="1" t="s">
        <v>1285</v>
      </c>
      <c r="V312" s="4">
        <v>0</v>
      </c>
      <c r="W312" s="6">
        <v>4995.38</v>
      </c>
      <c r="X312" s="6">
        <v>4995.38</v>
      </c>
      <c r="Y312" s="4">
        <v>42</v>
      </c>
      <c r="Z312" s="6">
        <v>118.94</v>
      </c>
      <c r="AA312" s="1" t="s">
        <v>1319</v>
      </c>
      <c r="AB312" s="1" t="s">
        <v>540</v>
      </c>
      <c r="AC312" s="1" t="s">
        <v>1202</v>
      </c>
      <c r="AD312" s="1" t="s">
        <v>704</v>
      </c>
      <c r="AE312" s="1" t="s">
        <v>987</v>
      </c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2"/>
      <c r="AR312" s="1"/>
      <c r="AS312" s="1"/>
      <c r="AT312" s="1"/>
      <c r="AU312" s="1" t="s">
        <v>1312</v>
      </c>
      <c r="AV312" s="7">
        <v>42584.661613443648</v>
      </c>
      <c r="AW312" s="1"/>
      <c r="AX312" s="1"/>
      <c r="AY312" s="5">
        <v>42587</v>
      </c>
      <c r="AZ312" s="5">
        <v>42613</v>
      </c>
      <c r="BA312" s="1"/>
      <c r="BB312" s="1"/>
      <c r="BC312" s="1" t="s">
        <v>982</v>
      </c>
      <c r="BD312" s="1"/>
    </row>
    <row r="313" spans="1:56" hidden="1" x14ac:dyDescent="0.25">
      <c r="A313" s="4">
        <v>308</v>
      </c>
      <c r="B313" s="2" t="str">
        <f>HYPERLINK("https://my.zakupki.prom.ua/remote/dispatcher/state_purchase_view/218061", "UA-2016-07-22-000021-b")</f>
        <v>UA-2016-07-22-000021-b</v>
      </c>
      <c r="C313" s="2" t="str">
        <f>HYPERLINK("https://my.zakupki.prom.ua/remote/dispatcher/state_purchase_lot_view/48822", "UA-2016-07-22-000021-b-L1")</f>
        <v>UA-2016-07-22-000021-b-L1</v>
      </c>
      <c r="D313" s="1" t="s">
        <v>973</v>
      </c>
      <c r="E313" s="1" t="s">
        <v>977</v>
      </c>
      <c r="F313" s="1" t="s">
        <v>366</v>
      </c>
      <c r="G313" s="1" t="s">
        <v>883</v>
      </c>
      <c r="H313" s="1" t="s">
        <v>987</v>
      </c>
      <c r="I313" s="1" t="s">
        <v>905</v>
      </c>
      <c r="J313" s="1" t="s">
        <v>158</v>
      </c>
      <c r="K313" s="1" t="s">
        <v>662</v>
      </c>
      <c r="L313" s="1" t="s">
        <v>1207</v>
      </c>
      <c r="M313" s="1" t="s">
        <v>148</v>
      </c>
      <c r="N313" s="1" t="s">
        <v>148</v>
      </c>
      <c r="O313" s="1" t="s">
        <v>148</v>
      </c>
      <c r="P313" s="5">
        <v>42573</v>
      </c>
      <c r="Q313" s="5">
        <v>42573</v>
      </c>
      <c r="R313" s="5">
        <v>42578</v>
      </c>
      <c r="S313" s="5">
        <v>42578</v>
      </c>
      <c r="T313" s="5">
        <v>42583</v>
      </c>
      <c r="U313" s="7">
        <v>42584.630914351852</v>
      </c>
      <c r="V313" s="4">
        <v>4</v>
      </c>
      <c r="W313" s="6">
        <v>6232</v>
      </c>
      <c r="X313" s="6">
        <v>6232</v>
      </c>
      <c r="Y313" s="4">
        <v>400</v>
      </c>
      <c r="Z313" s="6">
        <v>15.58</v>
      </c>
      <c r="AA313" s="1" t="s">
        <v>1319</v>
      </c>
      <c r="AB313" s="1" t="s">
        <v>540</v>
      </c>
      <c r="AC313" s="1" t="s">
        <v>1202</v>
      </c>
      <c r="AD313" s="1" t="s">
        <v>704</v>
      </c>
      <c r="AE313" s="1" t="s">
        <v>987</v>
      </c>
      <c r="AF313" s="6">
        <v>6196</v>
      </c>
      <c r="AG313" s="6">
        <v>15.49</v>
      </c>
      <c r="AH313" s="1" t="s">
        <v>1167</v>
      </c>
      <c r="AI313" s="6">
        <v>36</v>
      </c>
      <c r="AJ313" s="6">
        <v>5.7766367137355584E-3</v>
      </c>
      <c r="AK313" s="1" t="s">
        <v>1167</v>
      </c>
      <c r="AL313" s="1" t="s">
        <v>373</v>
      </c>
      <c r="AM313" s="1" t="s">
        <v>616</v>
      </c>
      <c r="AN313" s="1" t="s">
        <v>117</v>
      </c>
      <c r="AO313" s="6">
        <v>36</v>
      </c>
      <c r="AP313" s="6">
        <v>5.7766367137355584E-3</v>
      </c>
      <c r="AQ313" s="2" t="str">
        <f>HYPERLINK("https://auction.openprocurement.org/tenders/c19637d4b1a44efaadc9a2eddc912b09_e49c665f3b0f4039ac111c7d7bfb9814")</f>
        <v>https://auction.openprocurement.org/tenders/c19637d4b1a44efaadc9a2eddc912b09_e49c665f3b0f4039ac111c7d7bfb9814</v>
      </c>
      <c r="AR313" s="7">
        <v>42586.456459157329</v>
      </c>
      <c r="AS313" s="5">
        <v>42590</v>
      </c>
      <c r="AT313" s="5">
        <v>42608</v>
      </c>
      <c r="AU313" s="1" t="s">
        <v>1287</v>
      </c>
      <c r="AV313" s="7">
        <v>42592.618559264476</v>
      </c>
      <c r="AW313" s="1" t="s">
        <v>289</v>
      </c>
      <c r="AX313" s="6">
        <v>6196</v>
      </c>
      <c r="AY313" s="5">
        <v>42585</v>
      </c>
      <c r="AZ313" s="5">
        <v>42613</v>
      </c>
      <c r="BA313" s="7">
        <v>42735</v>
      </c>
      <c r="BB313" s="1" t="s">
        <v>1310</v>
      </c>
      <c r="BC313" s="1"/>
      <c r="BD313" s="1" t="s">
        <v>901</v>
      </c>
    </row>
    <row r="314" spans="1:56" hidden="1" x14ac:dyDescent="0.25">
      <c r="A314" s="4">
        <v>309</v>
      </c>
      <c r="B314" s="2" t="str">
        <f>HYPERLINK("https://my.zakupki.prom.ua/remote/dispatcher/state_purchase_view/214237", "UA-2016-07-19-000319-b")</f>
        <v>UA-2016-07-19-000319-b</v>
      </c>
      <c r="C314" s="2" t="str">
        <f>HYPERLINK("https://my.zakupki.prom.ua/remote/dispatcher/state_purchase_lot_view/47228", "UA-2016-07-19-000319-b-L1")</f>
        <v>UA-2016-07-19-000319-b-L1</v>
      </c>
      <c r="D314" s="1" t="s">
        <v>233</v>
      </c>
      <c r="E314" s="1" t="s">
        <v>671</v>
      </c>
      <c r="F314" s="1" t="s">
        <v>168</v>
      </c>
      <c r="G314" s="1" t="s">
        <v>883</v>
      </c>
      <c r="H314" s="1" t="s">
        <v>987</v>
      </c>
      <c r="I314" s="1" t="s">
        <v>905</v>
      </c>
      <c r="J314" s="1" t="s">
        <v>158</v>
      </c>
      <c r="K314" s="1" t="s">
        <v>662</v>
      </c>
      <c r="L314" s="1" t="s">
        <v>1207</v>
      </c>
      <c r="M314" s="1" t="s">
        <v>148</v>
      </c>
      <c r="N314" s="1" t="s">
        <v>148</v>
      </c>
      <c r="O314" s="1" t="s">
        <v>148</v>
      </c>
      <c r="P314" s="5">
        <v>42570</v>
      </c>
      <c r="Q314" s="5">
        <v>42570</v>
      </c>
      <c r="R314" s="5">
        <v>42573</v>
      </c>
      <c r="S314" s="5">
        <v>42573</v>
      </c>
      <c r="T314" s="5">
        <v>42578</v>
      </c>
      <c r="U314" s="7">
        <v>42579.626099537039</v>
      </c>
      <c r="V314" s="4">
        <v>2</v>
      </c>
      <c r="W314" s="6">
        <v>4900</v>
      </c>
      <c r="X314" s="6">
        <v>4900</v>
      </c>
      <c r="Y314" s="4">
        <v>230</v>
      </c>
      <c r="Z314" s="6">
        <v>21.3</v>
      </c>
      <c r="AA314" s="1" t="s">
        <v>1299</v>
      </c>
      <c r="AB314" s="1" t="s">
        <v>540</v>
      </c>
      <c r="AC314" s="1" t="s">
        <v>1202</v>
      </c>
      <c r="AD314" s="1" t="s">
        <v>704</v>
      </c>
      <c r="AE314" s="1" t="s">
        <v>987</v>
      </c>
      <c r="AF314" s="6">
        <v>4703.5</v>
      </c>
      <c r="AG314" s="6">
        <v>20.45</v>
      </c>
      <c r="AH314" s="1" t="s">
        <v>993</v>
      </c>
      <c r="AI314" s="6">
        <v>196.5</v>
      </c>
      <c r="AJ314" s="6">
        <v>4.0102040816326533E-2</v>
      </c>
      <c r="AK314" s="1" t="s">
        <v>1198</v>
      </c>
      <c r="AL314" s="1" t="s">
        <v>410</v>
      </c>
      <c r="AM314" s="1" t="s">
        <v>597</v>
      </c>
      <c r="AN314" s="1" t="s">
        <v>163</v>
      </c>
      <c r="AO314" s="6">
        <v>188</v>
      </c>
      <c r="AP314" s="6">
        <v>3.8367346938775512E-2</v>
      </c>
      <c r="AQ314" s="2" t="str">
        <f>HYPERLINK("https://auction.openprocurement.org/tenders/52f72210fbfc45458f65ad1d92c0c852_026e272ed4114c0b96417c2a6c555d96")</f>
        <v>https://auction.openprocurement.org/tenders/52f72210fbfc45458f65ad1d92c0c852_026e272ed4114c0b96417c2a6c555d96</v>
      </c>
      <c r="AR314" s="7">
        <v>42590.448557719814</v>
      </c>
      <c r="AS314" s="5">
        <v>42592</v>
      </c>
      <c r="AT314" s="5">
        <v>42603</v>
      </c>
      <c r="AU314" s="1" t="s">
        <v>1287</v>
      </c>
      <c r="AV314" s="7">
        <v>42592.624027953359</v>
      </c>
      <c r="AW314" s="1" t="s">
        <v>162</v>
      </c>
      <c r="AX314" s="6">
        <v>4712</v>
      </c>
      <c r="AY314" s="5">
        <v>42580</v>
      </c>
      <c r="AZ314" s="5">
        <v>42587</v>
      </c>
      <c r="BA314" s="7">
        <v>42735</v>
      </c>
      <c r="BB314" s="1" t="s">
        <v>1310</v>
      </c>
      <c r="BC314" s="1"/>
      <c r="BD314" s="1" t="s">
        <v>901</v>
      </c>
    </row>
    <row r="315" spans="1:56" hidden="1" x14ac:dyDescent="0.25">
      <c r="A315" s="4">
        <v>310</v>
      </c>
      <c r="B315" s="2" t="str">
        <f>HYPERLINK("https://my.zakupki.prom.ua/remote/dispatcher/state_purchase_view/213790", "UA-2016-07-19-000264-b")</f>
        <v>UA-2016-07-19-000264-b</v>
      </c>
      <c r="C315" s="2" t="str">
        <f>HYPERLINK("https://my.zakupki.prom.ua/remote/dispatcher/state_purchase_lot_view/47001", "UA-2016-07-19-000264-b-L1")</f>
        <v>UA-2016-07-19-000264-b-L1</v>
      </c>
      <c r="D315" s="1" t="s">
        <v>211</v>
      </c>
      <c r="E315" s="1" t="s">
        <v>964</v>
      </c>
      <c r="F315" s="1" t="s">
        <v>213</v>
      </c>
      <c r="G315" s="1" t="s">
        <v>883</v>
      </c>
      <c r="H315" s="1" t="s">
        <v>987</v>
      </c>
      <c r="I315" s="1" t="s">
        <v>905</v>
      </c>
      <c r="J315" s="1" t="s">
        <v>158</v>
      </c>
      <c r="K315" s="1" t="s">
        <v>662</v>
      </c>
      <c r="L315" s="1" t="s">
        <v>1207</v>
      </c>
      <c r="M315" s="1" t="s">
        <v>148</v>
      </c>
      <c r="N315" s="1" t="s">
        <v>148</v>
      </c>
      <c r="O315" s="1" t="s">
        <v>148</v>
      </c>
      <c r="P315" s="5">
        <v>42570</v>
      </c>
      <c r="Q315" s="5">
        <v>42570</v>
      </c>
      <c r="R315" s="5">
        <v>42573</v>
      </c>
      <c r="S315" s="5">
        <v>42573</v>
      </c>
      <c r="T315" s="5">
        <v>42578</v>
      </c>
      <c r="U315" s="7">
        <v>42579.474953703706</v>
      </c>
      <c r="V315" s="4">
        <v>2</v>
      </c>
      <c r="W315" s="6">
        <v>8100</v>
      </c>
      <c r="X315" s="6">
        <v>8100</v>
      </c>
      <c r="Y315" s="4">
        <v>760</v>
      </c>
      <c r="Z315" s="6">
        <v>10.66</v>
      </c>
      <c r="AA315" s="1" t="s">
        <v>1299</v>
      </c>
      <c r="AB315" s="1" t="s">
        <v>540</v>
      </c>
      <c r="AC315" s="1" t="s">
        <v>1202</v>
      </c>
      <c r="AD315" s="1" t="s">
        <v>704</v>
      </c>
      <c r="AE315" s="1" t="s">
        <v>987</v>
      </c>
      <c r="AF315" s="6">
        <v>5700</v>
      </c>
      <c r="AG315" s="6">
        <v>7.5</v>
      </c>
      <c r="AH315" s="1" t="s">
        <v>1214</v>
      </c>
      <c r="AI315" s="6">
        <v>2400</v>
      </c>
      <c r="AJ315" s="6">
        <v>0.29629629629629628</v>
      </c>
      <c r="AK315" s="1" t="s">
        <v>1214</v>
      </c>
      <c r="AL315" s="1" t="s">
        <v>280</v>
      </c>
      <c r="AM315" s="1" t="s">
        <v>602</v>
      </c>
      <c r="AN315" s="1" t="s">
        <v>130</v>
      </c>
      <c r="AO315" s="6">
        <v>2400</v>
      </c>
      <c r="AP315" s="6">
        <v>0.29629629629629628</v>
      </c>
      <c r="AQ315" s="2" t="str">
        <f>HYPERLINK("https://auction.openprocurement.org/tenders/0c9b340aa84a4db3b5e9c7926c4a7420_9fe9c0d175a642f1830b9b9d5642589e")</f>
        <v>https://auction.openprocurement.org/tenders/0c9b340aa84a4db3b5e9c7926c4a7420_9fe9c0d175a642f1830b9b9d5642589e</v>
      </c>
      <c r="AR315" s="7">
        <v>42579.623958586919</v>
      </c>
      <c r="AS315" s="5">
        <v>42583</v>
      </c>
      <c r="AT315" s="5">
        <v>42603</v>
      </c>
      <c r="AU315" s="1" t="s">
        <v>1287</v>
      </c>
      <c r="AV315" s="7">
        <v>42592.635549025785</v>
      </c>
      <c r="AW315" s="1" t="s">
        <v>316</v>
      </c>
      <c r="AX315" s="6">
        <v>5700</v>
      </c>
      <c r="AY315" s="5">
        <v>42579</v>
      </c>
      <c r="AZ315" s="5">
        <v>42585</v>
      </c>
      <c r="BA315" s="7">
        <v>42735</v>
      </c>
      <c r="BB315" s="1" t="s">
        <v>1310</v>
      </c>
      <c r="BC315" s="1"/>
      <c r="BD315" s="1" t="s">
        <v>901</v>
      </c>
    </row>
    <row r="316" spans="1:56" hidden="1" x14ac:dyDescent="0.25">
      <c r="A316" s="4">
        <v>311</v>
      </c>
      <c r="B316" s="2" t="str">
        <f>HYPERLINK("https://my.zakupki.prom.ua/remote/dispatcher/state_purchase_view/209071", "UA-2016-07-15-000090-b")</f>
        <v>UA-2016-07-15-000090-b</v>
      </c>
      <c r="C316" s="2" t="str">
        <f>HYPERLINK("https://my.zakupki.prom.ua/remote/dispatcher/state_purchase_lot_view/45221", "UA-2016-07-15-000090-b-L1")</f>
        <v>UA-2016-07-15-000090-b-L1</v>
      </c>
      <c r="D316" s="1" t="s">
        <v>1094</v>
      </c>
      <c r="E316" s="1" t="s">
        <v>182</v>
      </c>
      <c r="F316" s="1" t="s">
        <v>228</v>
      </c>
      <c r="G316" s="1" t="s">
        <v>883</v>
      </c>
      <c r="H316" s="1" t="s">
        <v>987</v>
      </c>
      <c r="I316" s="1" t="s">
        <v>905</v>
      </c>
      <c r="J316" s="1" t="s">
        <v>158</v>
      </c>
      <c r="K316" s="1" t="s">
        <v>662</v>
      </c>
      <c r="L316" s="1" t="s">
        <v>1207</v>
      </c>
      <c r="M316" s="1" t="s">
        <v>148</v>
      </c>
      <c r="N316" s="1" t="s">
        <v>148</v>
      </c>
      <c r="O316" s="1" t="s">
        <v>148</v>
      </c>
      <c r="P316" s="5">
        <v>42565</v>
      </c>
      <c r="Q316" s="5">
        <v>42566</v>
      </c>
      <c r="R316" s="5">
        <v>42571</v>
      </c>
      <c r="S316" s="5">
        <v>42571</v>
      </c>
      <c r="T316" s="5">
        <v>42574</v>
      </c>
      <c r="U316" s="1" t="s">
        <v>1286</v>
      </c>
      <c r="V316" s="4">
        <v>1</v>
      </c>
      <c r="W316" s="6">
        <v>4998</v>
      </c>
      <c r="X316" s="6">
        <v>4998</v>
      </c>
      <c r="Y316" s="4">
        <v>4300</v>
      </c>
      <c r="Z316" s="6">
        <v>1.1599999999999999</v>
      </c>
      <c r="AA316" s="1" t="s">
        <v>1305</v>
      </c>
      <c r="AB316" s="1" t="s">
        <v>540</v>
      </c>
      <c r="AC316" s="1" t="s">
        <v>1202</v>
      </c>
      <c r="AD316" s="1" t="s">
        <v>704</v>
      </c>
      <c r="AE316" s="1" t="s">
        <v>987</v>
      </c>
      <c r="AF316" s="6">
        <v>4988</v>
      </c>
      <c r="AG316" s="6">
        <v>1.1599999999999999</v>
      </c>
      <c r="AH316" s="1" t="s">
        <v>1195</v>
      </c>
      <c r="AI316" s="6">
        <v>10</v>
      </c>
      <c r="AJ316" s="6">
        <v>2.0008003201280513E-3</v>
      </c>
      <c r="AK316" s="1" t="s">
        <v>1195</v>
      </c>
      <c r="AL316" s="1" t="s">
        <v>428</v>
      </c>
      <c r="AM316" s="1" t="s">
        <v>600</v>
      </c>
      <c r="AN316" s="1" t="s">
        <v>77</v>
      </c>
      <c r="AO316" s="6">
        <v>10</v>
      </c>
      <c r="AP316" s="6">
        <v>2.0008003201280513E-3</v>
      </c>
      <c r="AQ316" s="2"/>
      <c r="AR316" s="7">
        <v>42576.422672851957</v>
      </c>
      <c r="AS316" s="5">
        <v>42578</v>
      </c>
      <c r="AT316" s="5">
        <v>42601</v>
      </c>
      <c r="AU316" s="1" t="s">
        <v>1287</v>
      </c>
      <c r="AV316" s="7">
        <v>42605.770648203412</v>
      </c>
      <c r="AW316" s="1" t="s">
        <v>216</v>
      </c>
      <c r="AX316" s="6">
        <v>4988</v>
      </c>
      <c r="AY316" s="5">
        <v>42573</v>
      </c>
      <c r="AZ316" s="5">
        <v>42582</v>
      </c>
      <c r="BA316" s="7">
        <v>42735</v>
      </c>
      <c r="BB316" s="1" t="s">
        <v>1310</v>
      </c>
      <c r="BC316" s="1"/>
      <c r="BD316" s="1" t="s">
        <v>901</v>
      </c>
    </row>
    <row r="317" spans="1:56" hidden="1" x14ac:dyDescent="0.25">
      <c r="A317" s="4">
        <v>312</v>
      </c>
      <c r="B317" s="2" t="str">
        <f>HYPERLINK("https://my.zakupki.prom.ua/remote/dispatcher/state_purchase_view/172872", "UA-2016-06-14-000088-c")</f>
        <v>UA-2016-06-14-000088-c</v>
      </c>
      <c r="C317" s="2" t="str">
        <f>HYPERLINK("https://my.zakupki.prom.ua/remote/dispatcher/state_purchase_lot_view/30938", "UA-2016-06-14-000088-c-L1")</f>
        <v>UA-2016-06-14-000088-c-L1</v>
      </c>
      <c r="D317" s="1" t="s">
        <v>939</v>
      </c>
      <c r="E317" s="1" t="s">
        <v>931</v>
      </c>
      <c r="F317" s="1" t="s">
        <v>381</v>
      </c>
      <c r="G317" s="1" t="s">
        <v>883</v>
      </c>
      <c r="H317" s="1" t="s">
        <v>987</v>
      </c>
      <c r="I317" s="1" t="s">
        <v>905</v>
      </c>
      <c r="J317" s="1" t="s">
        <v>158</v>
      </c>
      <c r="K317" s="1" t="s">
        <v>662</v>
      </c>
      <c r="L317" s="1" t="s">
        <v>1207</v>
      </c>
      <c r="M317" s="1" t="s">
        <v>148</v>
      </c>
      <c r="N317" s="1" t="s">
        <v>148</v>
      </c>
      <c r="O317" s="1" t="s">
        <v>148</v>
      </c>
      <c r="P317" s="5">
        <v>42535</v>
      </c>
      <c r="Q317" s="5">
        <v>42535</v>
      </c>
      <c r="R317" s="5">
        <v>42537</v>
      </c>
      <c r="S317" s="5">
        <v>42537</v>
      </c>
      <c r="T317" s="5">
        <v>42541</v>
      </c>
      <c r="U317" s="1" t="s">
        <v>1285</v>
      </c>
      <c r="V317" s="4">
        <v>0</v>
      </c>
      <c r="W317" s="6">
        <v>5730.61</v>
      </c>
      <c r="X317" s="6">
        <v>5730.61</v>
      </c>
      <c r="Y317" s="4">
        <v>34</v>
      </c>
      <c r="Z317" s="6">
        <v>168.55</v>
      </c>
      <c r="AA317" s="1" t="s">
        <v>1319</v>
      </c>
      <c r="AB317" s="1" t="s">
        <v>540</v>
      </c>
      <c r="AC317" s="1" t="s">
        <v>1202</v>
      </c>
      <c r="AD317" s="1" t="s">
        <v>704</v>
      </c>
      <c r="AE317" s="1" t="s">
        <v>987</v>
      </c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2"/>
      <c r="AR317" s="7">
        <v>42541.393230136768</v>
      </c>
      <c r="AS317" s="1"/>
      <c r="AT317" s="1"/>
      <c r="AU317" s="1" t="s">
        <v>1288</v>
      </c>
      <c r="AV317" s="7">
        <v>42678.921583492178</v>
      </c>
      <c r="AW317" s="1"/>
      <c r="AX317" s="1"/>
      <c r="AY317" s="5">
        <v>42542</v>
      </c>
      <c r="AZ317" s="5">
        <v>42551</v>
      </c>
      <c r="BA317" s="1"/>
      <c r="BB317" s="1"/>
      <c r="BC317" s="1"/>
      <c r="BD317" s="1"/>
    </row>
    <row r="318" spans="1:56" hidden="1" x14ac:dyDescent="0.25">
      <c r="A318" s="4">
        <v>313</v>
      </c>
      <c r="B318" s="2" t="str">
        <f>HYPERLINK("https://my.zakupki.prom.ua/remote/dispatcher/state_purchase_view/167807", "UA-2016-06-08-000465-c")</f>
        <v>UA-2016-06-08-000465-c</v>
      </c>
      <c r="C318" s="2" t="str">
        <f>HYPERLINK("https://my.zakupki.prom.ua/remote/dispatcher/state_purchase_lot_view/28481", "UA-2016-06-08-000465-c-L1")</f>
        <v>UA-2016-06-08-000465-c-L1</v>
      </c>
      <c r="D318" s="1" t="s">
        <v>254</v>
      </c>
      <c r="E318" s="1" t="s">
        <v>1025</v>
      </c>
      <c r="F318" s="1" t="s">
        <v>359</v>
      </c>
      <c r="G318" s="1" t="s">
        <v>883</v>
      </c>
      <c r="H318" s="1" t="s">
        <v>987</v>
      </c>
      <c r="I318" s="1" t="s">
        <v>905</v>
      </c>
      <c r="J318" s="1" t="s">
        <v>158</v>
      </c>
      <c r="K318" s="1" t="s">
        <v>662</v>
      </c>
      <c r="L318" s="1" t="s">
        <v>1207</v>
      </c>
      <c r="M318" s="1" t="s">
        <v>148</v>
      </c>
      <c r="N318" s="1" t="s">
        <v>148</v>
      </c>
      <c r="O318" s="1" t="s">
        <v>148</v>
      </c>
      <c r="P318" s="5">
        <v>42529</v>
      </c>
      <c r="Q318" s="5">
        <v>42529</v>
      </c>
      <c r="R318" s="5">
        <v>42531</v>
      </c>
      <c r="S318" s="5">
        <v>42531</v>
      </c>
      <c r="T318" s="5">
        <v>42535</v>
      </c>
      <c r="U318" s="7">
        <v>42536.630798611113</v>
      </c>
      <c r="V318" s="4">
        <v>2</v>
      </c>
      <c r="W318" s="6">
        <v>4850</v>
      </c>
      <c r="X318" s="6">
        <v>4850</v>
      </c>
      <c r="Y318" s="4">
        <v>950</v>
      </c>
      <c r="Z318" s="6">
        <v>5.1100000000000003</v>
      </c>
      <c r="AA318" s="1" t="s">
        <v>1319</v>
      </c>
      <c r="AB318" s="1" t="s">
        <v>540</v>
      </c>
      <c r="AC318" s="1" t="s">
        <v>1202</v>
      </c>
      <c r="AD318" s="1" t="s">
        <v>704</v>
      </c>
      <c r="AE318" s="1" t="s">
        <v>987</v>
      </c>
      <c r="AF318" s="6">
        <v>4422.22</v>
      </c>
      <c r="AG318" s="6">
        <v>4.6549684210526321</v>
      </c>
      <c r="AH318" s="1" t="s">
        <v>990</v>
      </c>
      <c r="AI318" s="6">
        <v>427.77999999999975</v>
      </c>
      <c r="AJ318" s="6">
        <v>8.8202061855670047E-2</v>
      </c>
      <c r="AK318" s="1" t="s">
        <v>990</v>
      </c>
      <c r="AL318" s="1" t="s">
        <v>438</v>
      </c>
      <c r="AM318" s="1" t="s">
        <v>629</v>
      </c>
      <c r="AN318" s="1" t="s">
        <v>89</v>
      </c>
      <c r="AO318" s="6">
        <v>427.77999999999975</v>
      </c>
      <c r="AP318" s="6">
        <v>8.8202061855670047E-2</v>
      </c>
      <c r="AQ318" s="2" t="str">
        <f>HYPERLINK("https://auction.openprocurement.org/tenders/404787f02d0743e89c1f6f11ebd13972_b4b6efe4f35446b6b10a88ca5f261f97")</f>
        <v>https://auction.openprocurement.org/tenders/404787f02d0743e89c1f6f11ebd13972_b4b6efe4f35446b6b10a88ca5f261f97</v>
      </c>
      <c r="AR318" s="7">
        <v>42542.454687514066</v>
      </c>
      <c r="AS318" s="5">
        <v>42544</v>
      </c>
      <c r="AT318" s="5">
        <v>42561</v>
      </c>
      <c r="AU318" s="1" t="s">
        <v>1287</v>
      </c>
      <c r="AV318" s="7">
        <v>42678.918239706458</v>
      </c>
      <c r="AW318" s="1" t="s">
        <v>275</v>
      </c>
      <c r="AX318" s="6">
        <v>4422.22</v>
      </c>
      <c r="AY318" s="5">
        <v>42536</v>
      </c>
      <c r="AZ318" s="5">
        <v>42545</v>
      </c>
      <c r="BA318" s="7">
        <v>42735</v>
      </c>
      <c r="BB318" s="1" t="s">
        <v>1310</v>
      </c>
      <c r="BC318" s="1"/>
      <c r="BD318" s="1" t="s">
        <v>901</v>
      </c>
    </row>
    <row r="319" spans="1:56" hidden="1" x14ac:dyDescent="0.25">
      <c r="A319" s="4">
        <v>314</v>
      </c>
      <c r="B319" s="2" t="str">
        <f>HYPERLINK("https://my.zakupki.prom.ua/remote/dispatcher/state_purchase_view/144399", "UA-2016-05-26-000124-c")</f>
        <v>UA-2016-05-26-000124-c</v>
      </c>
      <c r="C319" s="2" t="str">
        <f>HYPERLINK("https://my.zakupki.prom.ua/remote/dispatcher/state_purchase_lot_view/21944", "UA-2016-05-26-000124-c-L1")</f>
        <v>UA-2016-05-26-000124-c-L1</v>
      </c>
      <c r="D319" s="1" t="s">
        <v>254</v>
      </c>
      <c r="E319" s="1" t="s">
        <v>1025</v>
      </c>
      <c r="F319" s="1" t="s">
        <v>359</v>
      </c>
      <c r="G319" s="1" t="s">
        <v>883</v>
      </c>
      <c r="H319" s="1" t="s">
        <v>987</v>
      </c>
      <c r="I319" s="1" t="s">
        <v>905</v>
      </c>
      <c r="J319" s="1" t="s">
        <v>158</v>
      </c>
      <c r="K319" s="1" t="s">
        <v>662</v>
      </c>
      <c r="L319" s="1" t="s">
        <v>1207</v>
      </c>
      <c r="M319" s="1" t="s">
        <v>148</v>
      </c>
      <c r="N319" s="1" t="s">
        <v>148</v>
      </c>
      <c r="O319" s="1" t="s">
        <v>148</v>
      </c>
      <c r="P319" s="5">
        <v>42516</v>
      </c>
      <c r="Q319" s="5">
        <v>42516</v>
      </c>
      <c r="R319" s="5">
        <v>42519</v>
      </c>
      <c r="S319" s="5">
        <v>42519</v>
      </c>
      <c r="T319" s="5">
        <v>42523</v>
      </c>
      <c r="U319" s="1" t="s">
        <v>1285</v>
      </c>
      <c r="V319" s="4">
        <v>0</v>
      </c>
      <c r="W319" s="6">
        <v>4850</v>
      </c>
      <c r="X319" s="6">
        <v>4850</v>
      </c>
      <c r="Y319" s="4">
        <v>950</v>
      </c>
      <c r="Z319" s="6">
        <v>5.1100000000000003</v>
      </c>
      <c r="AA319" s="1" t="s">
        <v>1319</v>
      </c>
      <c r="AB319" s="1" t="s">
        <v>540</v>
      </c>
      <c r="AC319" s="1" t="s">
        <v>1202</v>
      </c>
      <c r="AD319" s="1" t="s">
        <v>704</v>
      </c>
      <c r="AE319" s="1" t="s">
        <v>987</v>
      </c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2"/>
      <c r="AR319" s="7">
        <v>42523.447466404956</v>
      </c>
      <c r="AS319" s="1"/>
      <c r="AT319" s="1"/>
      <c r="AU319" s="1" t="s">
        <v>1288</v>
      </c>
      <c r="AV319" s="7">
        <v>42678.909102638689</v>
      </c>
      <c r="AW319" s="1"/>
      <c r="AX319" s="1"/>
      <c r="AY319" s="5">
        <v>42524</v>
      </c>
      <c r="AZ319" s="5">
        <v>42531</v>
      </c>
      <c r="BA319" s="1"/>
      <c r="BB319" s="1"/>
      <c r="BC319" s="1"/>
      <c r="BD319" s="1"/>
    </row>
    <row r="320" spans="1:56" hidden="1" x14ac:dyDescent="0.25">
      <c r="A320" s="4">
        <v>315</v>
      </c>
      <c r="B320" s="2" t="str">
        <f>HYPERLINK("https://my.zakupki.prom.ua/remote/dispatcher/state_purchase_view/143963", "UA-2016-05-25-000521-c")</f>
        <v>UA-2016-05-25-000521-c</v>
      </c>
      <c r="C320" s="2" t="str">
        <f>HYPERLINK("https://my.zakupki.prom.ua/remote/dispatcher/state_purchase_lot_view/21768", "UA-2016-05-25-000521-c-L1")</f>
        <v>UA-2016-05-25-000521-c-L1</v>
      </c>
      <c r="D320" s="1" t="s">
        <v>944</v>
      </c>
      <c r="E320" s="1" t="s">
        <v>981</v>
      </c>
      <c r="F320" s="1" t="s">
        <v>375</v>
      </c>
      <c r="G320" s="1" t="s">
        <v>883</v>
      </c>
      <c r="H320" s="1" t="s">
        <v>987</v>
      </c>
      <c r="I320" s="1" t="s">
        <v>905</v>
      </c>
      <c r="J320" s="1" t="s">
        <v>158</v>
      </c>
      <c r="K320" s="1" t="s">
        <v>662</v>
      </c>
      <c r="L320" s="1" t="s">
        <v>1207</v>
      </c>
      <c r="M320" s="1" t="s">
        <v>148</v>
      </c>
      <c r="N320" s="1" t="s">
        <v>148</v>
      </c>
      <c r="O320" s="1" t="s">
        <v>148</v>
      </c>
      <c r="P320" s="5">
        <v>42515</v>
      </c>
      <c r="Q320" s="5">
        <v>42515</v>
      </c>
      <c r="R320" s="5">
        <v>42518</v>
      </c>
      <c r="S320" s="5">
        <v>42518</v>
      </c>
      <c r="T320" s="5">
        <v>42522</v>
      </c>
      <c r="U320" s="7">
        <v>42523.595138888886</v>
      </c>
      <c r="V320" s="4">
        <v>4</v>
      </c>
      <c r="W320" s="6">
        <v>4757</v>
      </c>
      <c r="X320" s="6">
        <v>4757</v>
      </c>
      <c r="Y320" s="4">
        <v>450</v>
      </c>
      <c r="Z320" s="6">
        <v>10.57</v>
      </c>
      <c r="AA320" s="1" t="s">
        <v>1319</v>
      </c>
      <c r="AB320" s="1" t="s">
        <v>540</v>
      </c>
      <c r="AC320" s="1" t="s">
        <v>1202</v>
      </c>
      <c r="AD320" s="1" t="s">
        <v>704</v>
      </c>
      <c r="AE320" s="1" t="s">
        <v>987</v>
      </c>
      <c r="AF320" s="6">
        <v>3475.9</v>
      </c>
      <c r="AG320" s="6">
        <v>7.7242222222222221</v>
      </c>
      <c r="AH320" s="1" t="s">
        <v>1180</v>
      </c>
      <c r="AI320" s="6">
        <v>1281.0999999999999</v>
      </c>
      <c r="AJ320" s="6">
        <v>0.26930838763926845</v>
      </c>
      <c r="AK320" s="1" t="s">
        <v>1180</v>
      </c>
      <c r="AL320" s="1" t="s">
        <v>440</v>
      </c>
      <c r="AM320" s="1" t="s">
        <v>593</v>
      </c>
      <c r="AN320" s="1" t="s">
        <v>114</v>
      </c>
      <c r="AO320" s="6">
        <v>1281.0999999999999</v>
      </c>
      <c r="AP320" s="6">
        <v>0.26930838763926845</v>
      </c>
      <c r="AQ320" s="2" t="str">
        <f>HYPERLINK("https://auction.openprocurement.org/tenders/78424c67d03d4139bd7c4a2dfe735e73_61cd148aaf6e41f39ef42399e1d87065")</f>
        <v>https://auction.openprocurement.org/tenders/78424c67d03d4139bd7c4a2dfe735e73_61cd148aaf6e41f39ef42399e1d87065</v>
      </c>
      <c r="AR320" s="7">
        <v>42528.435453818565</v>
      </c>
      <c r="AS320" s="5">
        <v>42530</v>
      </c>
      <c r="AT320" s="5">
        <v>42548</v>
      </c>
      <c r="AU320" s="1" t="s">
        <v>1287</v>
      </c>
      <c r="AV320" s="7">
        <v>42678.908790164998</v>
      </c>
      <c r="AW320" s="1" t="s">
        <v>252</v>
      </c>
      <c r="AX320" s="6">
        <v>3475.9</v>
      </c>
      <c r="AY320" s="5">
        <v>42523</v>
      </c>
      <c r="AZ320" s="5">
        <v>42531</v>
      </c>
      <c r="BA320" s="7">
        <v>42551</v>
      </c>
      <c r="BB320" s="1" t="s">
        <v>1310</v>
      </c>
      <c r="BC320" s="1"/>
      <c r="BD320" s="1" t="s">
        <v>901</v>
      </c>
    </row>
    <row r="321" spans="1:56" hidden="1" x14ac:dyDescent="0.25">
      <c r="A321" s="4">
        <v>316</v>
      </c>
      <c r="B321" s="2" t="str">
        <f>HYPERLINK("https://my.zakupki.prom.ua/remote/dispatcher/state_purchase_view/143840", "UA-2016-05-25-000451-c")</f>
        <v>UA-2016-05-25-000451-c</v>
      </c>
      <c r="C321" s="2" t="str">
        <f>HYPERLINK("https://my.zakupki.prom.ua/remote/dispatcher/state_purchase_lot_view/21711", "UA-2016-05-25-000451-c-L1")</f>
        <v>UA-2016-05-25-000451-c-L1</v>
      </c>
      <c r="D321" s="1" t="s">
        <v>878</v>
      </c>
      <c r="E321" s="1" t="s">
        <v>876</v>
      </c>
      <c r="F321" s="1" t="s">
        <v>279</v>
      </c>
      <c r="G321" s="1" t="s">
        <v>883</v>
      </c>
      <c r="H321" s="1" t="s">
        <v>987</v>
      </c>
      <c r="I321" s="1" t="s">
        <v>905</v>
      </c>
      <c r="J321" s="1" t="s">
        <v>158</v>
      </c>
      <c r="K321" s="1" t="s">
        <v>662</v>
      </c>
      <c r="L321" s="1" t="s">
        <v>1207</v>
      </c>
      <c r="M321" s="1" t="s">
        <v>148</v>
      </c>
      <c r="N321" s="1" t="s">
        <v>148</v>
      </c>
      <c r="O321" s="1" t="s">
        <v>148</v>
      </c>
      <c r="P321" s="5">
        <v>42515</v>
      </c>
      <c r="Q321" s="5">
        <v>42515</v>
      </c>
      <c r="R321" s="5">
        <v>42518</v>
      </c>
      <c r="S321" s="5">
        <v>42518</v>
      </c>
      <c r="T321" s="5">
        <v>42522</v>
      </c>
      <c r="U321" s="1" t="s">
        <v>1286</v>
      </c>
      <c r="V321" s="4">
        <v>1</v>
      </c>
      <c r="W321" s="6">
        <v>4950</v>
      </c>
      <c r="X321" s="6">
        <v>4950</v>
      </c>
      <c r="Y321" s="4">
        <v>26</v>
      </c>
      <c r="Z321" s="6">
        <v>190.38</v>
      </c>
      <c r="AA321" s="1" t="s">
        <v>1319</v>
      </c>
      <c r="AB321" s="1" t="s">
        <v>540</v>
      </c>
      <c r="AC321" s="1" t="s">
        <v>1202</v>
      </c>
      <c r="AD321" s="1" t="s">
        <v>704</v>
      </c>
      <c r="AE321" s="1" t="s">
        <v>987</v>
      </c>
      <c r="AF321" s="6">
        <v>3760.92</v>
      </c>
      <c r="AG321" s="6">
        <v>144.65076923076924</v>
      </c>
      <c r="AH321" s="1" t="s">
        <v>1314</v>
      </c>
      <c r="AI321" s="6">
        <v>1189.08</v>
      </c>
      <c r="AJ321" s="6">
        <v>0.2402181818181818</v>
      </c>
      <c r="AK321" s="1" t="s">
        <v>1314</v>
      </c>
      <c r="AL321" s="1" t="s">
        <v>414</v>
      </c>
      <c r="AM321" s="1" t="s">
        <v>581</v>
      </c>
      <c r="AN321" s="1" t="s">
        <v>293</v>
      </c>
      <c r="AO321" s="6">
        <v>1189.08</v>
      </c>
      <c r="AP321" s="6">
        <v>0.2402181818181818</v>
      </c>
      <c r="AQ321" s="2"/>
      <c r="AR321" s="7">
        <v>42528.437818797742</v>
      </c>
      <c r="AS321" s="5">
        <v>42530</v>
      </c>
      <c r="AT321" s="5">
        <v>42548</v>
      </c>
      <c r="AU321" s="1" t="s">
        <v>1287</v>
      </c>
      <c r="AV321" s="7">
        <v>42678.908726974616</v>
      </c>
      <c r="AW321" s="1" t="s">
        <v>387</v>
      </c>
      <c r="AX321" s="6">
        <v>3760.92</v>
      </c>
      <c r="AY321" s="5">
        <v>42523</v>
      </c>
      <c r="AZ321" s="5">
        <v>42531</v>
      </c>
      <c r="BA321" s="7">
        <v>42551</v>
      </c>
      <c r="BB321" s="1" t="s">
        <v>1310</v>
      </c>
      <c r="BC321" s="1"/>
      <c r="BD321" s="1" t="s">
        <v>901</v>
      </c>
    </row>
    <row r="322" spans="1:56" hidden="1" x14ac:dyDescent="0.25">
      <c r="A322" s="4">
        <v>317</v>
      </c>
      <c r="B322" s="2" t="str">
        <f>HYPERLINK("https://my.zakupki.prom.ua/remote/dispatcher/state_purchase_view/135139", "UA-2016-05-18-000319-b")</f>
        <v>UA-2016-05-18-000319-b</v>
      </c>
      <c r="C322" s="2" t="str">
        <f>HYPERLINK("https://my.zakupki.prom.ua/remote/dispatcher/state_purchase_lot_view/18519", "UA-2016-05-18-000319-b-L1")</f>
        <v>UA-2016-05-18-000319-b-L1</v>
      </c>
      <c r="D322" s="1" t="s">
        <v>939</v>
      </c>
      <c r="E322" s="1" t="s">
        <v>931</v>
      </c>
      <c r="F322" s="1" t="s">
        <v>381</v>
      </c>
      <c r="G322" s="1" t="s">
        <v>883</v>
      </c>
      <c r="H322" s="1" t="s">
        <v>987</v>
      </c>
      <c r="I322" s="1" t="s">
        <v>905</v>
      </c>
      <c r="J322" s="1" t="s">
        <v>158</v>
      </c>
      <c r="K322" s="1" t="s">
        <v>662</v>
      </c>
      <c r="L322" s="1" t="s">
        <v>1207</v>
      </c>
      <c r="M322" s="1" t="s">
        <v>148</v>
      </c>
      <c r="N322" s="1" t="s">
        <v>148</v>
      </c>
      <c r="O322" s="1" t="s">
        <v>148</v>
      </c>
      <c r="P322" s="5">
        <v>42508</v>
      </c>
      <c r="Q322" s="5">
        <v>42508</v>
      </c>
      <c r="R322" s="5">
        <v>42513</v>
      </c>
      <c r="S322" s="5">
        <v>42513</v>
      </c>
      <c r="T322" s="5">
        <v>42516</v>
      </c>
      <c r="U322" s="7">
        <v>42517.571851851855</v>
      </c>
      <c r="V322" s="4">
        <v>3</v>
      </c>
      <c r="W322" s="6">
        <v>3600</v>
      </c>
      <c r="X322" s="6">
        <v>3600</v>
      </c>
      <c r="Y322" s="4">
        <v>28</v>
      </c>
      <c r="Z322" s="6">
        <v>128.57</v>
      </c>
      <c r="AA322" s="1" t="s">
        <v>1319</v>
      </c>
      <c r="AB322" s="1" t="s">
        <v>540</v>
      </c>
      <c r="AC322" s="1" t="s">
        <v>1202</v>
      </c>
      <c r="AD322" s="1" t="s">
        <v>704</v>
      </c>
      <c r="AE322" s="1" t="s">
        <v>987</v>
      </c>
      <c r="AF322" s="6">
        <v>2599</v>
      </c>
      <c r="AG322" s="6">
        <v>92.821428571428569</v>
      </c>
      <c r="AH322" s="1" t="s">
        <v>1268</v>
      </c>
      <c r="AI322" s="6">
        <v>1001</v>
      </c>
      <c r="AJ322" s="6">
        <v>0.27805555555555556</v>
      </c>
      <c r="AK322" s="1" t="s">
        <v>1268</v>
      </c>
      <c r="AL322" s="1" t="s">
        <v>338</v>
      </c>
      <c r="AM322" s="1" t="s">
        <v>585</v>
      </c>
      <c r="AN322" s="1" t="s">
        <v>136</v>
      </c>
      <c r="AO322" s="6">
        <v>1001</v>
      </c>
      <c r="AP322" s="6">
        <v>0.27805555555555556</v>
      </c>
      <c r="AQ322" s="2" t="str">
        <f>HYPERLINK("https://auction.openprocurement.org/tenders/12b10b013a0b4e6a846cd5bcf281fb41_b150a92f05494e32abe05b9dcd8eb285")</f>
        <v>https://auction.openprocurement.org/tenders/12b10b013a0b4e6a846cd5bcf281fb41_b150a92f05494e32abe05b9dcd8eb285</v>
      </c>
      <c r="AR322" s="7">
        <v>42522.468453190741</v>
      </c>
      <c r="AS322" s="5">
        <v>42524</v>
      </c>
      <c r="AT322" s="5">
        <v>42543</v>
      </c>
      <c r="AU322" s="1" t="s">
        <v>1287</v>
      </c>
      <c r="AV322" s="7">
        <v>42678.904172087867</v>
      </c>
      <c r="AW322" s="1" t="s">
        <v>240</v>
      </c>
      <c r="AX322" s="6">
        <v>2599</v>
      </c>
      <c r="AY322" s="5">
        <v>42522</v>
      </c>
      <c r="AZ322" s="5">
        <v>42531</v>
      </c>
      <c r="BA322" s="7">
        <v>42551</v>
      </c>
      <c r="BB322" s="1" t="s">
        <v>1310</v>
      </c>
      <c r="BC322" s="1"/>
      <c r="BD322" s="1" t="s">
        <v>901</v>
      </c>
    </row>
    <row r="323" spans="1:56" hidden="1" x14ac:dyDescent="0.25">
      <c r="A323" s="4">
        <v>318</v>
      </c>
      <c r="B323" s="2" t="str">
        <f>HYPERLINK("https://my.zakupki.prom.ua/remote/dispatcher/state_purchase_view/135004", "UA-2016-05-18-000303-b")</f>
        <v>UA-2016-05-18-000303-b</v>
      </c>
      <c r="C323" s="2" t="str">
        <f>HYPERLINK("https://my.zakupki.prom.ua/remote/dispatcher/state_purchase_lot_view/18477", "UA-2016-05-18-000303-b-L1")</f>
        <v>UA-2016-05-18-000303-b-L1</v>
      </c>
      <c r="D323" s="1" t="s">
        <v>1018</v>
      </c>
      <c r="E323" s="1" t="s">
        <v>1017</v>
      </c>
      <c r="F323" s="1" t="s">
        <v>372</v>
      </c>
      <c r="G323" s="1" t="s">
        <v>883</v>
      </c>
      <c r="H323" s="1" t="s">
        <v>987</v>
      </c>
      <c r="I323" s="1" t="s">
        <v>905</v>
      </c>
      <c r="J323" s="1" t="s">
        <v>158</v>
      </c>
      <c r="K323" s="1" t="s">
        <v>662</v>
      </c>
      <c r="L323" s="1" t="s">
        <v>1207</v>
      </c>
      <c r="M323" s="1" t="s">
        <v>148</v>
      </c>
      <c r="N323" s="1" t="s">
        <v>148</v>
      </c>
      <c r="O323" s="1" t="s">
        <v>148</v>
      </c>
      <c r="P323" s="5">
        <v>42508</v>
      </c>
      <c r="Q323" s="5">
        <v>42508</v>
      </c>
      <c r="R323" s="5">
        <v>42513</v>
      </c>
      <c r="S323" s="5">
        <v>42513</v>
      </c>
      <c r="T323" s="5">
        <v>42516</v>
      </c>
      <c r="U323" s="1" t="s">
        <v>1286</v>
      </c>
      <c r="V323" s="4">
        <v>1</v>
      </c>
      <c r="W323" s="6">
        <v>5191.67</v>
      </c>
      <c r="X323" s="6">
        <v>5191.67</v>
      </c>
      <c r="Y323" s="4">
        <v>28</v>
      </c>
      <c r="Z323" s="6">
        <v>185.42</v>
      </c>
      <c r="AA323" s="1" t="s">
        <v>1315</v>
      </c>
      <c r="AB323" s="1" t="s">
        <v>540</v>
      </c>
      <c r="AC323" s="1" t="s">
        <v>1202</v>
      </c>
      <c r="AD323" s="1" t="s">
        <v>704</v>
      </c>
      <c r="AE323" s="1" t="s">
        <v>987</v>
      </c>
      <c r="AF323" s="6">
        <v>5180</v>
      </c>
      <c r="AG323" s="6">
        <v>185</v>
      </c>
      <c r="AH323" s="1" t="s">
        <v>991</v>
      </c>
      <c r="AI323" s="6">
        <v>11.670000000000073</v>
      </c>
      <c r="AJ323" s="6">
        <v>2.2478316225800314E-3</v>
      </c>
      <c r="AK323" s="1" t="s">
        <v>991</v>
      </c>
      <c r="AL323" s="1" t="s">
        <v>404</v>
      </c>
      <c r="AM323" s="1" t="s">
        <v>579</v>
      </c>
      <c r="AN323" s="1"/>
      <c r="AO323" s="6">
        <v>11.670000000000073</v>
      </c>
      <c r="AP323" s="6">
        <v>2.2478316225800314E-3</v>
      </c>
      <c r="AQ323" s="2"/>
      <c r="AR323" s="7">
        <v>42517.586865550256</v>
      </c>
      <c r="AS323" s="5">
        <v>42521</v>
      </c>
      <c r="AT323" s="5">
        <v>42543</v>
      </c>
      <c r="AU323" s="1" t="s">
        <v>1287</v>
      </c>
      <c r="AV323" s="7">
        <v>42678.904147863934</v>
      </c>
      <c r="AW323" s="1" t="s">
        <v>232</v>
      </c>
      <c r="AX323" s="6">
        <v>5180</v>
      </c>
      <c r="AY323" s="5">
        <v>42522</v>
      </c>
      <c r="AZ323" s="5">
        <v>42531</v>
      </c>
      <c r="BA323" s="7">
        <v>42551</v>
      </c>
      <c r="BB323" s="1" t="s">
        <v>1310</v>
      </c>
      <c r="BC323" s="1"/>
      <c r="BD323" s="1" t="s">
        <v>901</v>
      </c>
    </row>
    <row r="324" spans="1:56" hidden="1" x14ac:dyDescent="0.25">
      <c r="A324" s="4">
        <v>319</v>
      </c>
      <c r="B324" s="2" t="str">
        <f>HYPERLINK("https://my.zakupki.prom.ua/remote/dispatcher/state_purchase_view/106996", "UA-2016-04-26-000081-b")</f>
        <v>UA-2016-04-26-000081-b</v>
      </c>
      <c r="C324" s="2" t="str">
        <f>HYPERLINK("https://my.zakupki.prom.ua/remote/dispatcher/state_purchase_lot_view/10923", "UA-2016-04-26-000081-b-L1")</f>
        <v>UA-2016-04-26-000081-b-L1</v>
      </c>
      <c r="D324" s="1" t="s">
        <v>1121</v>
      </c>
      <c r="E324" s="1" t="s">
        <v>1114</v>
      </c>
      <c r="F324" s="1" t="s">
        <v>376</v>
      </c>
      <c r="G324" s="1" t="s">
        <v>883</v>
      </c>
      <c r="H324" s="1" t="s">
        <v>987</v>
      </c>
      <c r="I324" s="1" t="s">
        <v>905</v>
      </c>
      <c r="J324" s="1" t="s">
        <v>158</v>
      </c>
      <c r="K324" s="1" t="s">
        <v>662</v>
      </c>
      <c r="L324" s="1" t="s">
        <v>1207</v>
      </c>
      <c r="M324" s="1" t="s">
        <v>148</v>
      </c>
      <c r="N324" s="1" t="s">
        <v>148</v>
      </c>
      <c r="O324" s="1" t="s">
        <v>148</v>
      </c>
      <c r="P324" s="5">
        <v>42486</v>
      </c>
      <c r="Q324" s="5">
        <v>42486</v>
      </c>
      <c r="R324" s="5">
        <v>42489</v>
      </c>
      <c r="S324" s="5">
        <v>42489</v>
      </c>
      <c r="T324" s="5">
        <v>42495</v>
      </c>
      <c r="U324" s="7">
        <v>42496.659525462965</v>
      </c>
      <c r="V324" s="4">
        <v>2</v>
      </c>
      <c r="W324" s="6">
        <v>7900</v>
      </c>
      <c r="X324" s="6">
        <v>7900</v>
      </c>
      <c r="Y324" s="4">
        <v>500</v>
      </c>
      <c r="Z324" s="6">
        <v>15.8</v>
      </c>
      <c r="AA324" s="1" t="s">
        <v>1319</v>
      </c>
      <c r="AB324" s="1" t="s">
        <v>540</v>
      </c>
      <c r="AC324" s="1" t="s">
        <v>1202</v>
      </c>
      <c r="AD324" s="1" t="s">
        <v>704</v>
      </c>
      <c r="AE324" s="1" t="s">
        <v>987</v>
      </c>
      <c r="AF324" s="6">
        <v>6200</v>
      </c>
      <c r="AG324" s="6">
        <v>12.4</v>
      </c>
      <c r="AH324" s="1" t="s">
        <v>994</v>
      </c>
      <c r="AI324" s="6">
        <v>1700</v>
      </c>
      <c r="AJ324" s="6">
        <v>0.21518987341772153</v>
      </c>
      <c r="AK324" s="1" t="s">
        <v>994</v>
      </c>
      <c r="AL324" s="1" t="s">
        <v>4</v>
      </c>
      <c r="AM324" s="1" t="s">
        <v>633</v>
      </c>
      <c r="AN324" s="1" t="s">
        <v>81</v>
      </c>
      <c r="AO324" s="6">
        <v>1700</v>
      </c>
      <c r="AP324" s="6">
        <v>0.21518987341772153</v>
      </c>
      <c r="AQ324" s="2" t="str">
        <f>HYPERLINK("https://auction.openprocurement.org/tenders/6c7537302dde4d0bbae71fd10813ee0b_521234e56ca24c2291ef5f18abc130d1")</f>
        <v>https://auction.openprocurement.org/tenders/6c7537302dde4d0bbae71fd10813ee0b_521234e56ca24c2291ef5f18abc130d1</v>
      </c>
      <c r="AR324" s="7">
        <v>42510.570691326298</v>
      </c>
      <c r="AS324" s="5">
        <v>42514</v>
      </c>
      <c r="AT324" s="5">
        <v>42519</v>
      </c>
      <c r="AU324" s="1" t="s">
        <v>1287</v>
      </c>
      <c r="AV324" s="7">
        <v>42678.894297660823</v>
      </c>
      <c r="AW324" s="1" t="s">
        <v>217</v>
      </c>
      <c r="AX324" s="6">
        <v>6200</v>
      </c>
      <c r="AY324" s="5">
        <v>42500</v>
      </c>
      <c r="AZ324" s="5">
        <v>42507</v>
      </c>
      <c r="BA324" s="7">
        <v>42521</v>
      </c>
      <c r="BB324" s="1" t="s">
        <v>1310</v>
      </c>
      <c r="BC324" s="1"/>
      <c r="BD324" s="1" t="s">
        <v>901</v>
      </c>
    </row>
    <row r="325" spans="1:56" hidden="1" x14ac:dyDescent="0.25">
      <c r="A325" s="4">
        <v>320</v>
      </c>
      <c r="B325" s="2" t="str">
        <f>HYPERLINK("https://my.zakupki.prom.ua/remote/dispatcher/state_purchase_view/106991", "UA-2016-04-26-000077-b")</f>
        <v>UA-2016-04-26-000077-b</v>
      </c>
      <c r="C325" s="2" t="str">
        <f>HYPERLINK("https://my.zakupki.prom.ua/remote/dispatcher/state_purchase_lot_view/10915", "UA-2016-04-26-000077-b-L1")</f>
        <v>UA-2016-04-26-000077-b-L1</v>
      </c>
      <c r="D325" s="1" t="s">
        <v>1018</v>
      </c>
      <c r="E325" s="1" t="s">
        <v>1017</v>
      </c>
      <c r="F325" s="1" t="s">
        <v>372</v>
      </c>
      <c r="G325" s="1" t="s">
        <v>883</v>
      </c>
      <c r="H325" s="1" t="s">
        <v>987</v>
      </c>
      <c r="I325" s="1" t="s">
        <v>905</v>
      </c>
      <c r="J325" s="1" t="s">
        <v>158</v>
      </c>
      <c r="K325" s="1" t="s">
        <v>662</v>
      </c>
      <c r="L325" s="1" t="s">
        <v>1207</v>
      </c>
      <c r="M325" s="1" t="s">
        <v>149</v>
      </c>
      <c r="N325" s="1" t="s">
        <v>148</v>
      </c>
      <c r="O325" s="1" t="s">
        <v>148</v>
      </c>
      <c r="P325" s="5">
        <v>42486</v>
      </c>
      <c r="Q325" s="5">
        <v>42486</v>
      </c>
      <c r="R325" s="5">
        <v>42489</v>
      </c>
      <c r="S325" s="5">
        <v>42489</v>
      </c>
      <c r="T325" s="5">
        <v>42495</v>
      </c>
      <c r="U325" s="1" t="s">
        <v>1285</v>
      </c>
      <c r="V325" s="4">
        <v>0</v>
      </c>
      <c r="W325" s="6">
        <v>7550</v>
      </c>
      <c r="X325" s="6">
        <v>7550</v>
      </c>
      <c r="Y325" s="4">
        <v>55</v>
      </c>
      <c r="Z325" s="6">
        <v>137.27000000000001</v>
      </c>
      <c r="AA325" s="1" t="s">
        <v>1315</v>
      </c>
      <c r="AB325" s="1" t="s">
        <v>540</v>
      </c>
      <c r="AC325" s="1" t="s">
        <v>1202</v>
      </c>
      <c r="AD325" s="1" t="s">
        <v>704</v>
      </c>
      <c r="AE325" s="1" t="s">
        <v>987</v>
      </c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2"/>
      <c r="AR325" s="7">
        <v>42495.66701023301</v>
      </c>
      <c r="AS325" s="1"/>
      <c r="AT325" s="1"/>
      <c r="AU325" s="1" t="s">
        <v>1288</v>
      </c>
      <c r="AV325" s="7">
        <v>42678.894293828816</v>
      </c>
      <c r="AW325" s="1"/>
      <c r="AX325" s="1"/>
      <c r="AY325" s="5">
        <v>42500</v>
      </c>
      <c r="AZ325" s="5">
        <v>42507</v>
      </c>
      <c r="BA325" s="1"/>
      <c r="BB325" s="1"/>
      <c r="BC325" s="1"/>
      <c r="BD325" s="1"/>
    </row>
    <row r="326" spans="1:56" hidden="1" x14ac:dyDescent="0.25">
      <c r="A326" s="4">
        <v>321</v>
      </c>
      <c r="B326" s="2" t="str">
        <f>HYPERLINK("https://my.zakupki.prom.ua/remote/dispatcher/state_purchase_view/106954", "UA-2016-04-27-000069-b")</f>
        <v>UA-2016-04-27-000069-b</v>
      </c>
      <c r="C326" s="2" t="str">
        <f>HYPERLINK("https://my.zakupki.prom.ua/remote/dispatcher/state_purchase_lot_view/10897", "UA-2016-04-27-000069-b-L1")</f>
        <v>UA-2016-04-27-000069-b-L1</v>
      </c>
      <c r="D326" s="1" t="s">
        <v>939</v>
      </c>
      <c r="E326" s="1" t="s">
        <v>931</v>
      </c>
      <c r="F326" s="1" t="s">
        <v>381</v>
      </c>
      <c r="G326" s="1" t="s">
        <v>883</v>
      </c>
      <c r="H326" s="1" t="s">
        <v>987</v>
      </c>
      <c r="I326" s="1" t="s">
        <v>905</v>
      </c>
      <c r="J326" s="1" t="s">
        <v>158</v>
      </c>
      <c r="K326" s="1" t="s">
        <v>662</v>
      </c>
      <c r="L326" s="1" t="s">
        <v>1207</v>
      </c>
      <c r="M326" s="1" t="s">
        <v>148</v>
      </c>
      <c r="N326" s="1" t="s">
        <v>148</v>
      </c>
      <c r="O326" s="1" t="s">
        <v>148</v>
      </c>
      <c r="P326" s="5">
        <v>42486</v>
      </c>
      <c r="Q326" s="5">
        <v>42487</v>
      </c>
      <c r="R326" s="5">
        <v>42489</v>
      </c>
      <c r="S326" s="5">
        <v>42489</v>
      </c>
      <c r="T326" s="5">
        <v>42495</v>
      </c>
      <c r="U326" s="7">
        <v>42496.648136574076</v>
      </c>
      <c r="V326" s="4">
        <v>2</v>
      </c>
      <c r="W326" s="6">
        <v>8500</v>
      </c>
      <c r="X326" s="6">
        <v>8500</v>
      </c>
      <c r="Y326" s="4">
        <v>65</v>
      </c>
      <c r="Z326" s="6">
        <v>130.77000000000001</v>
      </c>
      <c r="AA326" s="1" t="s">
        <v>1319</v>
      </c>
      <c r="AB326" s="1" t="s">
        <v>540</v>
      </c>
      <c r="AC326" s="1" t="s">
        <v>1202</v>
      </c>
      <c r="AD326" s="1" t="s">
        <v>704</v>
      </c>
      <c r="AE326" s="1" t="s">
        <v>987</v>
      </c>
      <c r="AF326" s="6">
        <v>6350</v>
      </c>
      <c r="AG326" s="6">
        <v>97.692307692307693</v>
      </c>
      <c r="AH326" s="1" t="s">
        <v>1258</v>
      </c>
      <c r="AI326" s="6">
        <v>2150</v>
      </c>
      <c r="AJ326" s="6">
        <v>0.25294117647058822</v>
      </c>
      <c r="AK326" s="1" t="s">
        <v>1258</v>
      </c>
      <c r="AL326" s="1" t="s">
        <v>342</v>
      </c>
      <c r="AM326" s="1" t="s">
        <v>516</v>
      </c>
      <c r="AN326" s="1" t="s">
        <v>54</v>
      </c>
      <c r="AO326" s="6">
        <v>2150</v>
      </c>
      <c r="AP326" s="6">
        <v>0.25294117647058822</v>
      </c>
      <c r="AQ326" s="2" t="str">
        <f>HYPERLINK("https://auction.openprocurement.org/tenders/68098726a8034c03b6e47ef7168bb9af_1a9de84cf5a4480b81940109c1f5eeca")</f>
        <v>https://auction.openprocurement.org/tenders/68098726a8034c03b6e47ef7168bb9af_1a9de84cf5a4480b81940109c1f5eeca</v>
      </c>
      <c r="AR326" s="7">
        <v>42503.545486924733</v>
      </c>
      <c r="AS326" s="5">
        <v>42507</v>
      </c>
      <c r="AT326" s="5">
        <v>42519</v>
      </c>
      <c r="AU326" s="1" t="s">
        <v>1287</v>
      </c>
      <c r="AV326" s="7">
        <v>42678.894885483125</v>
      </c>
      <c r="AW326" s="1" t="s">
        <v>525</v>
      </c>
      <c r="AX326" s="6">
        <v>6350</v>
      </c>
      <c r="AY326" s="5">
        <v>42500</v>
      </c>
      <c r="AZ326" s="5">
        <v>42507</v>
      </c>
      <c r="BA326" s="7">
        <v>42521</v>
      </c>
      <c r="BB326" s="1" t="s">
        <v>1310</v>
      </c>
      <c r="BC326" s="1"/>
      <c r="BD326" s="1" t="s">
        <v>901</v>
      </c>
    </row>
    <row r="327" spans="1:56" hidden="1" x14ac:dyDescent="0.25">
      <c r="A327" s="4">
        <v>322</v>
      </c>
      <c r="B327" s="2" t="str">
        <f>HYPERLINK("https://my.zakupki.prom.ua/remote/dispatcher/state_purchase_view/93081", "UA-2016-04-14-000331-c")</f>
        <v>UA-2016-04-14-000331-c</v>
      </c>
      <c r="C327" s="2" t="str">
        <f>HYPERLINK("https://my.zakupki.prom.ua/remote/dispatcher/state_purchase_lot_view/5404", "UA-2016-04-14-000331-c-L1")</f>
        <v>UA-2016-04-14-000331-c-L1</v>
      </c>
      <c r="D327" s="1" t="s">
        <v>939</v>
      </c>
      <c r="E327" s="1" t="s">
        <v>931</v>
      </c>
      <c r="F327" s="1" t="s">
        <v>382</v>
      </c>
      <c r="G327" s="1" t="s">
        <v>883</v>
      </c>
      <c r="H327" s="1" t="s">
        <v>987</v>
      </c>
      <c r="I327" s="1" t="s">
        <v>905</v>
      </c>
      <c r="J327" s="1" t="s">
        <v>158</v>
      </c>
      <c r="K327" s="1" t="s">
        <v>662</v>
      </c>
      <c r="L327" s="1" t="s">
        <v>1207</v>
      </c>
      <c r="M327" s="1" t="s">
        <v>148</v>
      </c>
      <c r="N327" s="1" t="s">
        <v>148</v>
      </c>
      <c r="O327" s="1" t="s">
        <v>148</v>
      </c>
      <c r="P327" s="5">
        <v>42474</v>
      </c>
      <c r="Q327" s="5">
        <v>42474</v>
      </c>
      <c r="R327" s="5">
        <v>42479</v>
      </c>
      <c r="S327" s="5">
        <v>42479</v>
      </c>
      <c r="T327" s="5">
        <v>42482</v>
      </c>
      <c r="U327" s="7">
        <v>42485.47865740741</v>
      </c>
      <c r="V327" s="4">
        <v>2</v>
      </c>
      <c r="W327" s="6">
        <v>4998</v>
      </c>
      <c r="X327" s="6">
        <v>4998</v>
      </c>
      <c r="Y327" s="4">
        <v>91</v>
      </c>
      <c r="Z327" s="6">
        <v>54.92</v>
      </c>
      <c r="AA327" s="1" t="s">
        <v>1319</v>
      </c>
      <c r="AB327" s="1" t="s">
        <v>540</v>
      </c>
      <c r="AC327" s="1" t="s">
        <v>1202</v>
      </c>
      <c r="AD327" s="1" t="s">
        <v>704</v>
      </c>
      <c r="AE327" s="1" t="s">
        <v>987</v>
      </c>
      <c r="AF327" s="6">
        <v>4259.5</v>
      </c>
      <c r="AG327" s="6">
        <v>46.807692307692307</v>
      </c>
      <c r="AH327" s="1" t="s">
        <v>1190</v>
      </c>
      <c r="AI327" s="6">
        <v>738.5</v>
      </c>
      <c r="AJ327" s="6">
        <v>0.14775910364145659</v>
      </c>
      <c r="AK327" s="1" t="s">
        <v>1190</v>
      </c>
      <c r="AL327" s="1" t="s">
        <v>291</v>
      </c>
      <c r="AM327" s="1" t="s">
        <v>618</v>
      </c>
      <c r="AN327" s="1" t="s">
        <v>58</v>
      </c>
      <c r="AO327" s="6">
        <v>738.5</v>
      </c>
      <c r="AP327" s="6">
        <v>0.14775910364145659</v>
      </c>
      <c r="AQ327" s="2" t="str">
        <f>HYPERLINK("https://auction.openprocurement.org/tenders/25ff2ce0cc67416e8dc0b0e0dfb747b4_922ef3ee4b884365bf09d885f93fe6e4")</f>
        <v>https://auction.openprocurement.org/tenders/25ff2ce0cc67416e8dc0b0e0dfb747b4_922ef3ee4b884365bf09d885f93fe6e4</v>
      </c>
      <c r="AR327" s="7">
        <v>42488.450980531947</v>
      </c>
      <c r="AS327" s="5">
        <v>42494</v>
      </c>
      <c r="AT327" s="5">
        <v>42509</v>
      </c>
      <c r="AU327" s="1" t="s">
        <v>1287</v>
      </c>
      <c r="AV327" s="7">
        <v>42678.888944866085</v>
      </c>
      <c r="AW327" s="1" t="s">
        <v>206</v>
      </c>
      <c r="AX327" s="6">
        <v>4259.5</v>
      </c>
      <c r="AY327" s="5">
        <v>42487</v>
      </c>
      <c r="AZ327" s="5">
        <v>42490</v>
      </c>
      <c r="BA327" s="7">
        <v>42521</v>
      </c>
      <c r="BB327" s="1" t="s">
        <v>1310</v>
      </c>
      <c r="BC327" s="1"/>
      <c r="BD327" s="1" t="s">
        <v>901</v>
      </c>
    </row>
    <row r="328" spans="1:56" hidden="1" x14ac:dyDescent="0.25">
      <c r="A328" s="4">
        <v>323</v>
      </c>
      <c r="B328" s="2" t="str">
        <f>HYPERLINK("https://my.zakupki.prom.ua/remote/dispatcher/state_purchase_view/90784", "UA-2016-04-12-000229-a")</f>
        <v>UA-2016-04-12-000229-a</v>
      </c>
      <c r="C328" s="2" t="str">
        <f>HYPERLINK("https://my.zakupki.prom.ua/remote/dispatcher/state_purchase_lot_view/3817", "UA-2016-04-12-000229-a-L1")</f>
        <v>UA-2016-04-12-000229-a-L1</v>
      </c>
      <c r="D328" s="1" t="s">
        <v>363</v>
      </c>
      <c r="E328" s="1" t="s">
        <v>1279</v>
      </c>
      <c r="F328" s="1" t="s">
        <v>361</v>
      </c>
      <c r="G328" s="1" t="s">
        <v>883</v>
      </c>
      <c r="H328" s="1" t="s">
        <v>987</v>
      </c>
      <c r="I328" s="1" t="s">
        <v>905</v>
      </c>
      <c r="J328" s="1" t="s">
        <v>158</v>
      </c>
      <c r="K328" s="1" t="s">
        <v>662</v>
      </c>
      <c r="L328" s="1" t="s">
        <v>1207</v>
      </c>
      <c r="M328" s="1" t="s">
        <v>148</v>
      </c>
      <c r="N328" s="1" t="s">
        <v>148</v>
      </c>
      <c r="O328" s="1" t="s">
        <v>148</v>
      </c>
      <c r="P328" s="5">
        <v>42472</v>
      </c>
      <c r="Q328" s="5">
        <v>42472</v>
      </c>
      <c r="R328" s="5">
        <v>42475</v>
      </c>
      <c r="S328" s="5">
        <v>42475</v>
      </c>
      <c r="T328" s="5">
        <v>42480</v>
      </c>
      <c r="U328" s="1" t="s">
        <v>1285</v>
      </c>
      <c r="V328" s="4">
        <v>0</v>
      </c>
      <c r="W328" s="6">
        <v>3200</v>
      </c>
      <c r="X328" s="6">
        <v>3200</v>
      </c>
      <c r="Y328" s="4">
        <v>3000</v>
      </c>
      <c r="Z328" s="6">
        <v>1.07</v>
      </c>
      <c r="AA328" s="1" t="s">
        <v>1319</v>
      </c>
      <c r="AB328" s="1" t="s">
        <v>540</v>
      </c>
      <c r="AC328" s="1" t="s">
        <v>1202</v>
      </c>
      <c r="AD328" s="1" t="s">
        <v>704</v>
      </c>
      <c r="AE328" s="1" t="s">
        <v>987</v>
      </c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2"/>
      <c r="AR328" s="7">
        <v>42480.708466075441</v>
      </c>
      <c r="AS328" s="1"/>
      <c r="AT328" s="1"/>
      <c r="AU328" s="1" t="s">
        <v>1288</v>
      </c>
      <c r="AV328" s="7">
        <v>42678.886965482779</v>
      </c>
      <c r="AW328" s="1"/>
      <c r="AX328" s="1"/>
      <c r="AY328" s="5">
        <v>42454</v>
      </c>
      <c r="AZ328" s="5">
        <v>42490</v>
      </c>
      <c r="BA328" s="1"/>
      <c r="BB328" s="1"/>
      <c r="BC328" s="1"/>
      <c r="BD328" s="1"/>
    </row>
    <row r="329" spans="1:56" hidden="1" x14ac:dyDescent="0.25">
      <c r="A329" s="4">
        <v>324</v>
      </c>
      <c r="B329" s="2" t="str">
        <f>HYPERLINK("https://my.zakupki.prom.ua/remote/dispatcher/state_purchase_view/87919", "UA-2016-04-06-000293-c")</f>
        <v>UA-2016-04-06-000293-c</v>
      </c>
      <c r="C329" s="2" t="str">
        <f>HYPERLINK("https://my.zakupki.prom.ua/remote/dispatcher/state_purchase_lot_view/1236", "UA-2016-04-06-000293-c-L1")</f>
        <v>UA-2016-04-06-000293-c-L1</v>
      </c>
      <c r="D329" s="1" t="s">
        <v>233</v>
      </c>
      <c r="E329" s="1" t="s">
        <v>671</v>
      </c>
      <c r="F329" s="1" t="s">
        <v>167</v>
      </c>
      <c r="G329" s="1" t="s">
        <v>883</v>
      </c>
      <c r="H329" s="1" t="s">
        <v>987</v>
      </c>
      <c r="I329" s="1" t="s">
        <v>905</v>
      </c>
      <c r="J329" s="1" t="s">
        <v>158</v>
      </c>
      <c r="K329" s="1" t="s">
        <v>662</v>
      </c>
      <c r="L329" s="1" t="s">
        <v>1207</v>
      </c>
      <c r="M329" s="1" t="s">
        <v>148</v>
      </c>
      <c r="N329" s="1" t="s">
        <v>148</v>
      </c>
      <c r="O329" s="1" t="s">
        <v>148</v>
      </c>
      <c r="P329" s="5">
        <v>42466</v>
      </c>
      <c r="Q329" s="5">
        <v>42466</v>
      </c>
      <c r="R329" s="5">
        <v>42471</v>
      </c>
      <c r="S329" s="5">
        <v>42471</v>
      </c>
      <c r="T329" s="5">
        <v>42474</v>
      </c>
      <c r="U329" s="1" t="s">
        <v>1286</v>
      </c>
      <c r="V329" s="4">
        <v>1</v>
      </c>
      <c r="W329" s="6">
        <v>4940</v>
      </c>
      <c r="X329" s="6">
        <v>4940</v>
      </c>
      <c r="Y329" s="4">
        <v>260</v>
      </c>
      <c r="Z329" s="6">
        <v>19</v>
      </c>
      <c r="AA329" s="1" t="s">
        <v>1299</v>
      </c>
      <c r="AB329" s="1" t="s">
        <v>540</v>
      </c>
      <c r="AC329" s="1" t="s">
        <v>1202</v>
      </c>
      <c r="AD329" s="1" t="s">
        <v>704</v>
      </c>
      <c r="AE329" s="1" t="s">
        <v>987</v>
      </c>
      <c r="AF329" s="6">
        <v>4938</v>
      </c>
      <c r="AG329" s="6">
        <v>18.992307692307691</v>
      </c>
      <c r="AH329" s="1" t="s">
        <v>1198</v>
      </c>
      <c r="AI329" s="6">
        <v>2</v>
      </c>
      <c r="AJ329" s="6">
        <v>4.0485829959514168E-4</v>
      </c>
      <c r="AK329" s="1" t="s">
        <v>1198</v>
      </c>
      <c r="AL329" s="1" t="s">
        <v>410</v>
      </c>
      <c r="AM329" s="1" t="s">
        <v>619</v>
      </c>
      <c r="AN329" s="1" t="s">
        <v>55</v>
      </c>
      <c r="AO329" s="6">
        <v>2</v>
      </c>
      <c r="AP329" s="6">
        <v>4.0485829959514168E-4</v>
      </c>
      <c r="AQ329" s="2"/>
      <c r="AR329" s="7">
        <v>42481.467061642892</v>
      </c>
      <c r="AS329" s="5">
        <v>42482</v>
      </c>
      <c r="AT329" s="5">
        <v>42501</v>
      </c>
      <c r="AU329" s="1" t="s">
        <v>1287</v>
      </c>
      <c r="AV329" s="7">
        <v>42678.883422145911</v>
      </c>
      <c r="AW329" s="1" t="s">
        <v>157</v>
      </c>
      <c r="AX329" s="6">
        <v>4938</v>
      </c>
      <c r="AY329" s="1"/>
      <c r="AZ329" s="5">
        <v>42490</v>
      </c>
      <c r="BA329" s="7">
        <v>42490</v>
      </c>
      <c r="BB329" s="1" t="s">
        <v>1310</v>
      </c>
      <c r="BC329" s="1"/>
      <c r="BD329" s="1" t="s">
        <v>901</v>
      </c>
    </row>
    <row r="330" spans="1:56" hidden="1" x14ac:dyDescent="0.25">
      <c r="A330" s="4">
        <v>325</v>
      </c>
      <c r="B330" s="2" t="str">
        <f>HYPERLINK("https://my.zakupki.prom.ua/remote/dispatcher/state_purchase_view/78620", "UA-2016-03-18-000375-c")</f>
        <v>UA-2016-03-18-000375-c</v>
      </c>
      <c r="C330" s="2" t="s">
        <v>983</v>
      </c>
      <c r="D330" s="1" t="s">
        <v>218</v>
      </c>
      <c r="E330" s="1" t="s">
        <v>694</v>
      </c>
      <c r="F330" s="1" t="s">
        <v>360</v>
      </c>
      <c r="G330" s="1" t="s">
        <v>883</v>
      </c>
      <c r="H330" s="1" t="s">
        <v>987</v>
      </c>
      <c r="I330" s="1" t="s">
        <v>905</v>
      </c>
      <c r="J330" s="1" t="s">
        <v>158</v>
      </c>
      <c r="K330" s="1" t="s">
        <v>662</v>
      </c>
      <c r="L330" s="1" t="s">
        <v>996</v>
      </c>
      <c r="M330" s="1" t="s">
        <v>147</v>
      </c>
      <c r="N330" s="1" t="s">
        <v>147</v>
      </c>
      <c r="O330" s="1" t="s">
        <v>147</v>
      </c>
      <c r="P330" s="5">
        <v>42447</v>
      </c>
      <c r="Q330" s="5">
        <v>42447</v>
      </c>
      <c r="R330" s="5">
        <v>42450</v>
      </c>
      <c r="S330" s="5">
        <v>42450</v>
      </c>
      <c r="T330" s="5">
        <v>42453</v>
      </c>
      <c r="U330" s="7">
        <v>42454.508425925924</v>
      </c>
      <c r="V330" s="4">
        <v>3</v>
      </c>
      <c r="W330" s="6">
        <v>2532</v>
      </c>
      <c r="X330" s="1" t="s">
        <v>983</v>
      </c>
      <c r="Y330" s="4">
        <v>200</v>
      </c>
      <c r="Z330" s="6">
        <v>12.66</v>
      </c>
      <c r="AA330" s="1" t="s">
        <v>1319</v>
      </c>
      <c r="AB330" s="1" t="s">
        <v>540</v>
      </c>
      <c r="AC330" s="1" t="s">
        <v>1202</v>
      </c>
      <c r="AD330" s="1" t="s">
        <v>704</v>
      </c>
      <c r="AE330" s="1" t="s">
        <v>987</v>
      </c>
      <c r="AF330" s="6">
        <v>1201.26</v>
      </c>
      <c r="AG330" s="6">
        <v>6.0062999999999995</v>
      </c>
      <c r="AH330" s="1" t="s">
        <v>1149</v>
      </c>
      <c r="AI330" s="6">
        <v>1330.74</v>
      </c>
      <c r="AJ330" s="6">
        <v>0.52556872037914693</v>
      </c>
      <c r="AK330" s="1" t="s">
        <v>1149</v>
      </c>
      <c r="AL330" s="1" t="s">
        <v>438</v>
      </c>
      <c r="AM330" s="1" t="s">
        <v>629</v>
      </c>
      <c r="AN330" s="1" t="s">
        <v>87</v>
      </c>
      <c r="AO330" s="6">
        <v>1330.74</v>
      </c>
      <c r="AP330" s="6">
        <v>0.52556872037914693</v>
      </c>
      <c r="AQ330" s="2" t="str">
        <f>HYPERLINK("https://auction.openprocurement.org/tenders/0dab60e492ad4cd48d65e6bd31643cb0")</f>
        <v>https://auction.openprocurement.org/tenders/0dab60e492ad4cd48d65e6bd31643cb0</v>
      </c>
      <c r="AR330" s="7">
        <v>42457.588811255402</v>
      </c>
      <c r="AS330" s="5">
        <v>42458</v>
      </c>
      <c r="AT330" s="5">
        <v>42480</v>
      </c>
      <c r="AU330" s="1" t="s">
        <v>1287</v>
      </c>
      <c r="AV330" s="7">
        <v>42678.875292260753</v>
      </c>
      <c r="AW330" s="1" t="s">
        <v>194</v>
      </c>
      <c r="AX330" s="1"/>
      <c r="AY330" s="5">
        <v>42457</v>
      </c>
      <c r="AZ330" s="5">
        <v>42460</v>
      </c>
      <c r="BA330" s="7">
        <v>42460</v>
      </c>
      <c r="BB330" s="1" t="s">
        <v>1310</v>
      </c>
      <c r="BC330" s="1"/>
      <c r="BD330" s="1" t="s">
        <v>901</v>
      </c>
    </row>
    <row r="331" spans="1:56" hidden="1" x14ac:dyDescent="0.25">
      <c r="A331" s="4">
        <v>326</v>
      </c>
      <c r="B331" s="2" t="str">
        <f>HYPERLINK("https://my.zakupki.prom.ua/remote/dispatcher/state_purchase_view/78595", "UA-2016-03-18-000387-c")</f>
        <v>UA-2016-03-18-000387-c</v>
      </c>
      <c r="C331" s="2" t="s">
        <v>983</v>
      </c>
      <c r="D331" s="1" t="s">
        <v>949</v>
      </c>
      <c r="E331" s="1" t="s">
        <v>950</v>
      </c>
      <c r="F331" s="1" t="s">
        <v>356</v>
      </c>
      <c r="G331" s="1" t="s">
        <v>883</v>
      </c>
      <c r="H331" s="1" t="s">
        <v>987</v>
      </c>
      <c r="I331" s="1" t="s">
        <v>905</v>
      </c>
      <c r="J331" s="1" t="s">
        <v>158</v>
      </c>
      <c r="K331" s="1" t="s">
        <v>662</v>
      </c>
      <c r="L331" s="1" t="s">
        <v>996</v>
      </c>
      <c r="M331" s="1" t="s">
        <v>147</v>
      </c>
      <c r="N331" s="1" t="s">
        <v>147</v>
      </c>
      <c r="O331" s="1" t="s">
        <v>147</v>
      </c>
      <c r="P331" s="5">
        <v>42447</v>
      </c>
      <c r="Q331" s="5">
        <v>42447</v>
      </c>
      <c r="R331" s="5">
        <v>42450</v>
      </c>
      <c r="S331" s="5">
        <v>42450</v>
      </c>
      <c r="T331" s="5">
        <v>42453</v>
      </c>
      <c r="U331" s="7">
        <v>42454.485381944447</v>
      </c>
      <c r="V331" s="4">
        <v>5</v>
      </c>
      <c r="W331" s="6">
        <v>2000</v>
      </c>
      <c r="X331" s="1" t="s">
        <v>983</v>
      </c>
      <c r="Y331" s="4">
        <v>2000</v>
      </c>
      <c r="Z331" s="6">
        <v>1</v>
      </c>
      <c r="AA331" s="1" t="s">
        <v>1319</v>
      </c>
      <c r="AB331" s="1" t="s">
        <v>540</v>
      </c>
      <c r="AC331" s="1" t="s">
        <v>1202</v>
      </c>
      <c r="AD331" s="1" t="s">
        <v>704</v>
      </c>
      <c r="AE331" s="1" t="s">
        <v>987</v>
      </c>
      <c r="AF331" s="6">
        <v>1499.99</v>
      </c>
      <c r="AG331" s="6">
        <v>0.74999499999999997</v>
      </c>
      <c r="AH331" s="1" t="s">
        <v>1167</v>
      </c>
      <c r="AI331" s="6">
        <v>500.01</v>
      </c>
      <c r="AJ331" s="6">
        <v>0.25000499999999998</v>
      </c>
      <c r="AK331" s="1" t="s">
        <v>1167</v>
      </c>
      <c r="AL331" s="1" t="s">
        <v>373</v>
      </c>
      <c r="AM331" s="1" t="s">
        <v>616</v>
      </c>
      <c r="AN331" s="1" t="s">
        <v>45</v>
      </c>
      <c r="AO331" s="6">
        <v>500.01</v>
      </c>
      <c r="AP331" s="6">
        <v>0.25000499999999998</v>
      </c>
      <c r="AQ331" s="2" t="str">
        <f>HYPERLINK("https://auction.openprocurement.org/tenders/492aa800a6514e699b537c68c021a84c")</f>
        <v>https://auction.openprocurement.org/tenders/492aa800a6514e699b537c68c021a84c</v>
      </c>
      <c r="AR331" s="7">
        <v>42457.591202756768</v>
      </c>
      <c r="AS331" s="5">
        <v>42458</v>
      </c>
      <c r="AT331" s="5">
        <v>42480</v>
      </c>
      <c r="AU331" s="1" t="s">
        <v>1287</v>
      </c>
      <c r="AV331" s="7">
        <v>42678.875324470209</v>
      </c>
      <c r="AW331" s="1" t="s">
        <v>188</v>
      </c>
      <c r="AX331" s="1"/>
      <c r="AY331" s="5">
        <v>42457</v>
      </c>
      <c r="AZ331" s="5">
        <v>42460</v>
      </c>
      <c r="BA331" s="7">
        <v>42460</v>
      </c>
      <c r="BB331" s="1" t="s">
        <v>1310</v>
      </c>
      <c r="BC331" s="1"/>
      <c r="BD331" s="1" t="s">
        <v>901</v>
      </c>
    </row>
    <row r="332" spans="1:56" hidden="1" x14ac:dyDescent="0.25">
      <c r="A332" s="4">
        <v>327</v>
      </c>
      <c r="B332" s="2" t="str">
        <f>HYPERLINK("https://my.zakupki.prom.ua/remote/dispatcher/state_purchase_view/78456", "UA-2016-03-18-000389-c")</f>
        <v>UA-2016-03-18-000389-c</v>
      </c>
      <c r="C332" s="2" t="s">
        <v>983</v>
      </c>
      <c r="D332" s="1" t="s">
        <v>362</v>
      </c>
      <c r="E332" s="1" t="s">
        <v>1280</v>
      </c>
      <c r="F332" s="1" t="s">
        <v>361</v>
      </c>
      <c r="G332" s="1" t="s">
        <v>883</v>
      </c>
      <c r="H332" s="1" t="s">
        <v>987</v>
      </c>
      <c r="I332" s="1" t="s">
        <v>905</v>
      </c>
      <c r="J332" s="1" t="s">
        <v>158</v>
      </c>
      <c r="K332" s="1" t="s">
        <v>662</v>
      </c>
      <c r="L332" s="1" t="s">
        <v>996</v>
      </c>
      <c r="M332" s="1" t="s">
        <v>147</v>
      </c>
      <c r="N332" s="1" t="s">
        <v>147</v>
      </c>
      <c r="O332" s="1" t="s">
        <v>147</v>
      </c>
      <c r="P332" s="5">
        <v>42447</v>
      </c>
      <c r="Q332" s="5">
        <v>42447</v>
      </c>
      <c r="R332" s="5">
        <v>42450</v>
      </c>
      <c r="S332" s="5">
        <v>42450</v>
      </c>
      <c r="T332" s="5">
        <v>42453</v>
      </c>
      <c r="U332" s="1" t="s">
        <v>1285</v>
      </c>
      <c r="V332" s="4">
        <v>0</v>
      </c>
      <c r="W332" s="6">
        <v>716</v>
      </c>
      <c r="X332" s="1" t="s">
        <v>983</v>
      </c>
      <c r="Y332" s="4">
        <v>700</v>
      </c>
      <c r="Z332" s="6">
        <v>1.02</v>
      </c>
      <c r="AA332" s="1" t="s">
        <v>1319</v>
      </c>
      <c r="AB332" s="1" t="s">
        <v>540</v>
      </c>
      <c r="AC332" s="1" t="s">
        <v>1202</v>
      </c>
      <c r="AD332" s="1" t="s">
        <v>704</v>
      </c>
      <c r="AE332" s="1" t="s">
        <v>987</v>
      </c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2"/>
      <c r="AR332" s="1"/>
      <c r="AS332" s="1"/>
      <c r="AT332" s="1"/>
      <c r="AU332" s="1" t="s">
        <v>1288</v>
      </c>
      <c r="AV332" s="7">
        <v>42678.875326246125</v>
      </c>
      <c r="AW332" s="1"/>
      <c r="AX332" s="1"/>
      <c r="AY332" s="5">
        <v>42457</v>
      </c>
      <c r="AZ332" s="5">
        <v>42460</v>
      </c>
      <c r="BA332" s="1"/>
      <c r="BB332" s="1"/>
      <c r="BC332" s="1"/>
      <c r="BD332" s="1"/>
    </row>
    <row r="333" spans="1:56" hidden="1" x14ac:dyDescent="0.25">
      <c r="A333" s="4">
        <v>328</v>
      </c>
      <c r="B333" s="2" t="str">
        <f>HYPERLINK("https://my.zakupki.prom.ua/remote/dispatcher/state_purchase_view/78441", "UA-2016-03-18-000392-c")</f>
        <v>UA-2016-03-18-000392-c</v>
      </c>
      <c r="C333" s="2" t="s">
        <v>983</v>
      </c>
      <c r="D333" s="1" t="s">
        <v>264</v>
      </c>
      <c r="E333" s="1" t="s">
        <v>1093</v>
      </c>
      <c r="F333" s="1" t="s">
        <v>229</v>
      </c>
      <c r="G333" s="1" t="s">
        <v>883</v>
      </c>
      <c r="H333" s="1" t="s">
        <v>987</v>
      </c>
      <c r="I333" s="1" t="s">
        <v>905</v>
      </c>
      <c r="J333" s="1" t="s">
        <v>158</v>
      </c>
      <c r="K333" s="1" t="s">
        <v>662</v>
      </c>
      <c r="L333" s="1" t="s">
        <v>996</v>
      </c>
      <c r="M333" s="1" t="s">
        <v>147</v>
      </c>
      <c r="N333" s="1" t="s">
        <v>147</v>
      </c>
      <c r="O333" s="1" t="s">
        <v>147</v>
      </c>
      <c r="P333" s="5">
        <v>42447</v>
      </c>
      <c r="Q333" s="5">
        <v>42447</v>
      </c>
      <c r="R333" s="5">
        <v>42450</v>
      </c>
      <c r="S333" s="5">
        <v>42450</v>
      </c>
      <c r="T333" s="5">
        <v>42453</v>
      </c>
      <c r="U333" s="7">
        <v>42454.546423611115</v>
      </c>
      <c r="V333" s="4">
        <v>4</v>
      </c>
      <c r="W333" s="6">
        <v>10510</v>
      </c>
      <c r="X333" s="1" t="s">
        <v>983</v>
      </c>
      <c r="Y333" s="4">
        <v>5300</v>
      </c>
      <c r="Z333" s="6">
        <v>1.98</v>
      </c>
      <c r="AA333" s="1" t="s">
        <v>1305</v>
      </c>
      <c r="AB333" s="1" t="s">
        <v>540</v>
      </c>
      <c r="AC333" s="1" t="s">
        <v>1202</v>
      </c>
      <c r="AD333" s="1" t="s">
        <v>704</v>
      </c>
      <c r="AE333" s="1" t="s">
        <v>987</v>
      </c>
      <c r="AF333" s="6">
        <v>7028.3</v>
      </c>
      <c r="AG333" s="6">
        <v>1.3260943396226414</v>
      </c>
      <c r="AH333" s="1" t="s">
        <v>992</v>
      </c>
      <c r="AI333" s="6">
        <v>3481.7</v>
      </c>
      <c r="AJ333" s="6">
        <v>0.33127497621313035</v>
      </c>
      <c r="AK333" s="1" t="s">
        <v>992</v>
      </c>
      <c r="AL333" s="1" t="s">
        <v>237</v>
      </c>
      <c r="AM333" s="1" t="s">
        <v>609</v>
      </c>
      <c r="AN333" s="1" t="s">
        <v>39</v>
      </c>
      <c r="AO333" s="6">
        <v>3481.7</v>
      </c>
      <c r="AP333" s="6">
        <v>0.33127497621313035</v>
      </c>
      <c r="AQ333" s="2" t="str">
        <f>HYPERLINK("https://auction.openprocurement.org/tenders/2c54c004d5f349ec973db9014bb9048d")</f>
        <v>https://auction.openprocurement.org/tenders/2c54c004d5f349ec973db9014bb9048d</v>
      </c>
      <c r="AR333" s="7">
        <v>42457.585453406879</v>
      </c>
      <c r="AS333" s="5">
        <v>42458</v>
      </c>
      <c r="AT333" s="5">
        <v>42480</v>
      </c>
      <c r="AU333" s="1" t="s">
        <v>1287</v>
      </c>
      <c r="AV333" s="7">
        <v>42678.87532763146</v>
      </c>
      <c r="AW333" s="1" t="s">
        <v>192</v>
      </c>
      <c r="AX333" s="1"/>
      <c r="AY333" s="5">
        <v>42457</v>
      </c>
      <c r="AZ333" s="5">
        <v>42460</v>
      </c>
      <c r="BA333" s="7">
        <v>42490</v>
      </c>
      <c r="BB333" s="1" t="s">
        <v>1310</v>
      </c>
      <c r="BC333" s="1"/>
      <c r="BD333" s="1" t="s">
        <v>901</v>
      </c>
    </row>
    <row r="334" spans="1:56" hidden="1" x14ac:dyDescent="0.25">
      <c r="A334" s="4">
        <v>329</v>
      </c>
      <c r="B334" s="2" t="str">
        <f>HYPERLINK("https://my.zakupki.prom.ua/remote/dispatcher/state_purchase_view/77005", "UA-2016-03-17-000265-c")</f>
        <v>UA-2016-03-17-000265-c</v>
      </c>
      <c r="C334" s="2" t="s">
        <v>983</v>
      </c>
      <c r="D334" s="1" t="s">
        <v>242</v>
      </c>
      <c r="E334" s="1" t="s">
        <v>1039</v>
      </c>
      <c r="F334" s="1" t="s">
        <v>285</v>
      </c>
      <c r="G334" s="1" t="s">
        <v>883</v>
      </c>
      <c r="H334" s="1" t="s">
        <v>987</v>
      </c>
      <c r="I334" s="1" t="s">
        <v>905</v>
      </c>
      <c r="J334" s="1" t="s">
        <v>158</v>
      </c>
      <c r="K334" s="1" t="s">
        <v>662</v>
      </c>
      <c r="L334" s="1" t="s">
        <v>996</v>
      </c>
      <c r="M334" s="1" t="s">
        <v>147</v>
      </c>
      <c r="N334" s="1" t="s">
        <v>147</v>
      </c>
      <c r="O334" s="1" t="s">
        <v>147</v>
      </c>
      <c r="P334" s="5">
        <v>42446</v>
      </c>
      <c r="Q334" s="5">
        <v>42446</v>
      </c>
      <c r="R334" s="5">
        <v>42451</v>
      </c>
      <c r="S334" s="5">
        <v>42451</v>
      </c>
      <c r="T334" s="5">
        <v>42453</v>
      </c>
      <c r="U334" s="7">
        <v>42453.608784722222</v>
      </c>
      <c r="V334" s="4">
        <v>4</v>
      </c>
      <c r="W334" s="6">
        <v>48428.4</v>
      </c>
      <c r="X334" s="1" t="s">
        <v>983</v>
      </c>
      <c r="Y334" s="4">
        <v>52</v>
      </c>
      <c r="Z334" s="6">
        <v>931.32</v>
      </c>
      <c r="AA334" s="1" t="s">
        <v>1319</v>
      </c>
      <c r="AB334" s="1" t="s">
        <v>540</v>
      </c>
      <c r="AC334" s="1" t="s">
        <v>1202</v>
      </c>
      <c r="AD334" s="1" t="s">
        <v>704</v>
      </c>
      <c r="AE334" s="1" t="s">
        <v>987</v>
      </c>
      <c r="AF334" s="6">
        <v>32147.16</v>
      </c>
      <c r="AG334" s="6">
        <v>618.2146153846154</v>
      </c>
      <c r="AH334" s="1" t="s">
        <v>1213</v>
      </c>
      <c r="AI334" s="6">
        <v>16281.240000000002</v>
      </c>
      <c r="AJ334" s="6">
        <v>0.3361919865203063</v>
      </c>
      <c r="AK334" s="1" t="s">
        <v>1213</v>
      </c>
      <c r="AL334" s="1" t="s">
        <v>407</v>
      </c>
      <c r="AM334" s="1" t="s">
        <v>528</v>
      </c>
      <c r="AN334" s="1"/>
      <c r="AO334" s="6">
        <v>16281.240000000002</v>
      </c>
      <c r="AP334" s="6">
        <v>0.3361919865203063</v>
      </c>
      <c r="AQ334" s="2" t="str">
        <f>HYPERLINK("https://auction.openprocurement.org/tenders/c037fe5eef534de9ba36f46775757495")</f>
        <v>https://auction.openprocurement.org/tenders/c037fe5eef534de9ba36f46775757495</v>
      </c>
      <c r="AR334" s="7">
        <v>42457.445458042072</v>
      </c>
      <c r="AS334" s="5">
        <v>42458</v>
      </c>
      <c r="AT334" s="5">
        <v>42481</v>
      </c>
      <c r="AU334" s="1" t="s">
        <v>1287</v>
      </c>
      <c r="AV334" s="7">
        <v>42678.874504278043</v>
      </c>
      <c r="AW334" s="1" t="s">
        <v>190</v>
      </c>
      <c r="AX334" s="1"/>
      <c r="AY334" s="5">
        <v>42450</v>
      </c>
      <c r="AZ334" s="5">
        <v>42460</v>
      </c>
      <c r="BA334" s="7">
        <v>42460</v>
      </c>
      <c r="BB334" s="1" t="s">
        <v>1310</v>
      </c>
      <c r="BC334" s="1"/>
      <c r="BD334" s="1" t="s">
        <v>901</v>
      </c>
    </row>
    <row r="335" spans="1:56" hidden="1" x14ac:dyDescent="0.25">
      <c r="A335" s="4">
        <v>330</v>
      </c>
      <c r="B335" s="2" t="str">
        <f>HYPERLINK("https://my.zakupki.prom.ua/remote/dispatcher/state_purchase_view/47403", "UA-2016-01-14-000031-a")</f>
        <v>UA-2016-01-14-000031-a</v>
      </c>
      <c r="C335" s="2" t="s">
        <v>983</v>
      </c>
      <c r="D335" s="1" t="s">
        <v>243</v>
      </c>
      <c r="E335" s="1" t="s">
        <v>1041</v>
      </c>
      <c r="F335" s="1" t="s">
        <v>285</v>
      </c>
      <c r="G335" s="1" t="s">
        <v>883</v>
      </c>
      <c r="H335" s="1" t="s">
        <v>987</v>
      </c>
      <c r="I335" s="1" t="s">
        <v>905</v>
      </c>
      <c r="J335" s="1" t="s">
        <v>158</v>
      </c>
      <c r="K335" s="1" t="s">
        <v>662</v>
      </c>
      <c r="L335" s="1" t="s">
        <v>996</v>
      </c>
      <c r="M335" s="1" t="s">
        <v>147</v>
      </c>
      <c r="N335" s="1" t="s">
        <v>147</v>
      </c>
      <c r="O335" s="1" t="s">
        <v>147</v>
      </c>
      <c r="P335" s="5">
        <v>42383</v>
      </c>
      <c r="Q335" s="5">
        <v>42383</v>
      </c>
      <c r="R335" s="5">
        <v>42385</v>
      </c>
      <c r="S335" s="5">
        <v>42385</v>
      </c>
      <c r="T335" s="5">
        <v>42387</v>
      </c>
      <c r="U335" s="7">
        <v>42388.528657407405</v>
      </c>
      <c r="V335" s="4">
        <v>6</v>
      </c>
      <c r="W335" s="6">
        <v>15320</v>
      </c>
      <c r="X335" s="1" t="s">
        <v>983</v>
      </c>
      <c r="Y335" s="4">
        <v>21</v>
      </c>
      <c r="Z335" s="6">
        <v>729.52</v>
      </c>
      <c r="AA335" s="1" t="s">
        <v>1319</v>
      </c>
      <c r="AB335" s="1" t="s">
        <v>540</v>
      </c>
      <c r="AC335" s="1" t="s">
        <v>1202</v>
      </c>
      <c r="AD335" s="1" t="s">
        <v>704</v>
      </c>
      <c r="AE335" s="1" t="s">
        <v>987</v>
      </c>
      <c r="AF335" s="6">
        <v>11429.4</v>
      </c>
      <c r="AG335" s="6">
        <v>544.25714285714287</v>
      </c>
      <c r="AH335" s="1" t="s">
        <v>1187</v>
      </c>
      <c r="AI335" s="6">
        <v>3890.6000000000004</v>
      </c>
      <c r="AJ335" s="6">
        <v>0.25395561357702351</v>
      </c>
      <c r="AK335" s="1" t="s">
        <v>1187</v>
      </c>
      <c r="AL335" s="1" t="s">
        <v>332</v>
      </c>
      <c r="AM335" s="1" t="s">
        <v>535</v>
      </c>
      <c r="AN335" s="1" t="s">
        <v>57</v>
      </c>
      <c r="AO335" s="6">
        <v>3890.6000000000004</v>
      </c>
      <c r="AP335" s="6">
        <v>0.25395561357702351</v>
      </c>
      <c r="AQ335" s="2" t="str">
        <f>HYPERLINK("https://auction.openprocurement.org/tenders/dd1e32b7dd904187afe00c84c69be37b")</f>
        <v>https://auction.openprocurement.org/tenders/dd1e32b7dd904187afe00c84c69be37b</v>
      </c>
      <c r="AR335" s="7">
        <v>42389.441373326088</v>
      </c>
      <c r="AS335" s="5">
        <v>42390</v>
      </c>
      <c r="AT335" s="5">
        <v>42415</v>
      </c>
      <c r="AU335" s="1" t="s">
        <v>1287</v>
      </c>
      <c r="AV335" s="7">
        <v>42678.851904848561</v>
      </c>
      <c r="AW335" s="1"/>
      <c r="AX335" s="1"/>
      <c r="AY335" s="5">
        <v>42029</v>
      </c>
      <c r="AZ335" s="5">
        <v>42398</v>
      </c>
      <c r="BA335" s="1"/>
      <c r="BB335" s="1" t="s">
        <v>1310</v>
      </c>
      <c r="BC335" s="1"/>
      <c r="BD335" s="1"/>
    </row>
    <row r="336" spans="1:56" hidden="1" x14ac:dyDescent="0.25">
      <c r="A336" s="4">
        <v>331</v>
      </c>
      <c r="B336" s="2" t="str">
        <f>HYPERLINK("https://my.zakupki.prom.ua/remote/dispatcher/state_purchase_view/38300", "UA-2015-12-03-000151")</f>
        <v>UA-2015-12-03-000151</v>
      </c>
      <c r="C336" s="2" t="s">
        <v>983</v>
      </c>
      <c r="D336" s="1" t="s">
        <v>1099</v>
      </c>
      <c r="E336" s="1" t="s">
        <v>1090</v>
      </c>
      <c r="F336" s="1" t="s">
        <v>229</v>
      </c>
      <c r="G336" s="1" t="s">
        <v>883</v>
      </c>
      <c r="H336" s="1" t="s">
        <v>987</v>
      </c>
      <c r="I336" s="1" t="s">
        <v>905</v>
      </c>
      <c r="J336" s="1" t="s">
        <v>158</v>
      </c>
      <c r="K336" s="1" t="s">
        <v>662</v>
      </c>
      <c r="L336" s="1" t="s">
        <v>996</v>
      </c>
      <c r="M336" s="1" t="s">
        <v>147</v>
      </c>
      <c r="N336" s="1" t="s">
        <v>147</v>
      </c>
      <c r="O336" s="1" t="s">
        <v>147</v>
      </c>
      <c r="P336" s="5">
        <v>42341</v>
      </c>
      <c r="Q336" s="5">
        <v>42341</v>
      </c>
      <c r="R336" s="5">
        <v>42345</v>
      </c>
      <c r="S336" s="5">
        <v>42345</v>
      </c>
      <c r="T336" s="5">
        <v>42347</v>
      </c>
      <c r="U336" s="7">
        <v>42348.52175925926</v>
      </c>
      <c r="V336" s="4">
        <v>3</v>
      </c>
      <c r="W336" s="6">
        <v>6012</v>
      </c>
      <c r="X336" s="1" t="s">
        <v>983</v>
      </c>
      <c r="Y336" s="4">
        <v>3600</v>
      </c>
      <c r="Z336" s="6">
        <v>1.67</v>
      </c>
      <c r="AA336" s="1" t="s">
        <v>1305</v>
      </c>
      <c r="AB336" s="1" t="s">
        <v>540</v>
      </c>
      <c r="AC336" s="1" t="s">
        <v>1202</v>
      </c>
      <c r="AD336" s="1" t="s">
        <v>704</v>
      </c>
      <c r="AE336" s="1" t="s">
        <v>987</v>
      </c>
      <c r="AF336" s="6">
        <v>4890</v>
      </c>
      <c r="AG336" s="6">
        <v>1.3583333333333334</v>
      </c>
      <c r="AH336" s="1" t="s">
        <v>1263</v>
      </c>
      <c r="AI336" s="6">
        <v>1122</v>
      </c>
      <c r="AJ336" s="6">
        <v>0.18662674650698602</v>
      </c>
      <c r="AK336" s="1" t="s">
        <v>1263</v>
      </c>
      <c r="AL336" s="1" t="s">
        <v>220</v>
      </c>
      <c r="AM336" s="1" t="s">
        <v>572</v>
      </c>
      <c r="AN336" s="1" t="s">
        <v>134</v>
      </c>
      <c r="AO336" s="6">
        <v>1122</v>
      </c>
      <c r="AP336" s="6">
        <v>0.18662674650698602</v>
      </c>
      <c r="AQ336" s="2" t="str">
        <f>HYPERLINK("https://auction.openprocurement.org/tenders/b7d71a4f4ca143c19484e2edb635a102")</f>
        <v>https://auction.openprocurement.org/tenders/b7d71a4f4ca143c19484e2edb635a102</v>
      </c>
      <c r="AR336" s="7">
        <v>42348.690181275982</v>
      </c>
      <c r="AS336" s="5">
        <v>42349</v>
      </c>
      <c r="AT336" s="5">
        <v>42375</v>
      </c>
      <c r="AU336" s="1" t="s">
        <v>1287</v>
      </c>
      <c r="AV336" s="7">
        <v>42678.846450652243</v>
      </c>
      <c r="AW336" s="1"/>
      <c r="AX336" s="1"/>
      <c r="AY336" s="5">
        <v>42353</v>
      </c>
      <c r="AZ336" s="5">
        <v>42363</v>
      </c>
      <c r="BA336" s="1"/>
      <c r="BB336" s="1" t="s">
        <v>1310</v>
      </c>
      <c r="BC336" s="1"/>
      <c r="BD336" s="1"/>
    </row>
    <row r="337" spans="1:56" hidden="1" x14ac:dyDescent="0.25">
      <c r="A337" s="4">
        <v>332</v>
      </c>
      <c r="B337" s="2" t="str">
        <f>HYPERLINK("https://my.zakupki.prom.ua/remote/dispatcher/state_purchase_view/52030", "UA-2016-01-28-000038-b")</f>
        <v>UA-2016-01-28-000038-b</v>
      </c>
      <c r="C337" s="2" t="s">
        <v>983</v>
      </c>
      <c r="D337" s="1" t="s">
        <v>1091</v>
      </c>
      <c r="E337" s="1" t="s">
        <v>1092</v>
      </c>
      <c r="F337" s="1" t="s">
        <v>229</v>
      </c>
      <c r="G337" s="1" t="s">
        <v>883</v>
      </c>
      <c r="H337" s="1" t="s">
        <v>987</v>
      </c>
      <c r="I337" s="1" t="s">
        <v>905</v>
      </c>
      <c r="J337" s="1" t="s">
        <v>158</v>
      </c>
      <c r="K337" s="1" t="s">
        <v>662</v>
      </c>
      <c r="L337" s="1" t="s">
        <v>996</v>
      </c>
      <c r="M337" s="1" t="s">
        <v>147</v>
      </c>
      <c r="N337" s="1" t="s">
        <v>147</v>
      </c>
      <c r="O337" s="1" t="s">
        <v>147</v>
      </c>
      <c r="P337" s="5">
        <v>42397</v>
      </c>
      <c r="Q337" s="5">
        <v>42397</v>
      </c>
      <c r="R337" s="5">
        <v>42400</v>
      </c>
      <c r="S337" s="5">
        <v>42400</v>
      </c>
      <c r="T337" s="5">
        <v>42403</v>
      </c>
      <c r="U337" s="7">
        <v>42404.565405092595</v>
      </c>
      <c r="V337" s="4">
        <v>5</v>
      </c>
      <c r="W337" s="6">
        <v>6780</v>
      </c>
      <c r="X337" s="1" t="s">
        <v>983</v>
      </c>
      <c r="Y337" s="4">
        <v>5000</v>
      </c>
      <c r="Z337" s="6">
        <v>1.36</v>
      </c>
      <c r="AA337" s="1" t="s">
        <v>1305</v>
      </c>
      <c r="AB337" s="1" t="s">
        <v>540</v>
      </c>
      <c r="AC337" s="1" t="s">
        <v>1202</v>
      </c>
      <c r="AD337" s="1" t="s">
        <v>704</v>
      </c>
      <c r="AE337" s="1" t="s">
        <v>987</v>
      </c>
      <c r="AF337" s="6">
        <v>6042</v>
      </c>
      <c r="AG337" s="6">
        <v>1.2083999999999999</v>
      </c>
      <c r="AH337" s="1" t="s">
        <v>1149</v>
      </c>
      <c r="AI337" s="6">
        <v>738</v>
      </c>
      <c r="AJ337" s="6">
        <v>0.1088495575221239</v>
      </c>
      <c r="AK337" s="1" t="s">
        <v>1149</v>
      </c>
      <c r="AL337" s="1" t="s">
        <v>438</v>
      </c>
      <c r="AM337" s="1" t="s">
        <v>629</v>
      </c>
      <c r="AN337" s="1" t="s">
        <v>87</v>
      </c>
      <c r="AO337" s="6">
        <v>738</v>
      </c>
      <c r="AP337" s="6">
        <v>0.1088495575221239</v>
      </c>
      <c r="AQ337" s="2" t="str">
        <f>HYPERLINK("https://auction.openprocurement.org/tenders/941031e3e83741b8a944b8edfa3d2986")</f>
        <v>https://auction.openprocurement.org/tenders/941031e3e83741b8a944b8edfa3d2986</v>
      </c>
      <c r="AR337" s="7">
        <v>42430.751188615475</v>
      </c>
      <c r="AS337" s="5">
        <v>42431</v>
      </c>
      <c r="AT337" s="5">
        <v>42430</v>
      </c>
      <c r="AU337" s="1" t="s">
        <v>1287</v>
      </c>
      <c r="AV337" s="7">
        <v>42678.855295044676</v>
      </c>
      <c r="AW337" s="1"/>
      <c r="AX337" s="1"/>
      <c r="AY337" s="5">
        <v>42408</v>
      </c>
      <c r="AZ337" s="5">
        <v>42429</v>
      </c>
      <c r="BA337" s="1"/>
      <c r="BB337" s="1" t="s">
        <v>1310</v>
      </c>
      <c r="BC337" s="1"/>
      <c r="BD337" s="1"/>
    </row>
    <row r="338" spans="1:56" hidden="1" x14ac:dyDescent="0.25">
      <c r="A338" s="4">
        <v>333</v>
      </c>
      <c r="B338" s="2" t="str">
        <f>HYPERLINK("https://my.zakupki.prom.ua/remote/dispatcher/state_purchase_view/57883", "UA-2016-02-10-000255-a")</f>
        <v>UA-2016-02-10-000255-a</v>
      </c>
      <c r="C338" s="2" t="s">
        <v>983</v>
      </c>
      <c r="D338" s="1" t="s">
        <v>243</v>
      </c>
      <c r="E338" s="1" t="s">
        <v>1037</v>
      </c>
      <c r="F338" s="1" t="s">
        <v>285</v>
      </c>
      <c r="G338" s="1" t="s">
        <v>883</v>
      </c>
      <c r="H338" s="1" t="s">
        <v>987</v>
      </c>
      <c r="I338" s="1" t="s">
        <v>905</v>
      </c>
      <c r="J338" s="1" t="s">
        <v>158</v>
      </c>
      <c r="K338" s="1" t="s">
        <v>662</v>
      </c>
      <c r="L338" s="1" t="s">
        <v>996</v>
      </c>
      <c r="M338" s="1" t="s">
        <v>147</v>
      </c>
      <c r="N338" s="1" t="s">
        <v>147</v>
      </c>
      <c r="O338" s="1" t="s">
        <v>147</v>
      </c>
      <c r="P338" s="5">
        <v>42410</v>
      </c>
      <c r="Q338" s="5">
        <v>42410</v>
      </c>
      <c r="R338" s="5">
        <v>42413</v>
      </c>
      <c r="S338" s="5">
        <v>42413</v>
      </c>
      <c r="T338" s="5">
        <v>42417</v>
      </c>
      <c r="U338" s="1" t="s">
        <v>1285</v>
      </c>
      <c r="V338" s="4">
        <v>0</v>
      </c>
      <c r="W338" s="6">
        <v>13800</v>
      </c>
      <c r="X338" s="1" t="s">
        <v>983</v>
      </c>
      <c r="Y338" s="4">
        <v>26</v>
      </c>
      <c r="Z338" s="6">
        <v>530.77</v>
      </c>
      <c r="AA338" s="1" t="s">
        <v>1319</v>
      </c>
      <c r="AB338" s="1" t="s">
        <v>540</v>
      </c>
      <c r="AC338" s="1" t="s">
        <v>1202</v>
      </c>
      <c r="AD338" s="1" t="s">
        <v>704</v>
      </c>
      <c r="AE338" s="1" t="s">
        <v>987</v>
      </c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2"/>
      <c r="AR338" s="1"/>
      <c r="AS338" s="1"/>
      <c r="AT338" s="1"/>
      <c r="AU338" s="1" t="s">
        <v>1288</v>
      </c>
      <c r="AV338" s="7">
        <v>42678.85964832476</v>
      </c>
      <c r="AW338" s="1"/>
      <c r="AX338" s="1"/>
      <c r="AY338" s="5">
        <v>42415</v>
      </c>
      <c r="AZ338" s="5">
        <v>42429</v>
      </c>
      <c r="BA338" s="1"/>
      <c r="BB338" s="1"/>
      <c r="BC338" s="1"/>
      <c r="BD338" s="1"/>
    </row>
    <row r="339" spans="1:56" hidden="1" x14ac:dyDescent="0.25">
      <c r="A339" s="4">
        <v>334</v>
      </c>
      <c r="B339" s="2" t="str">
        <f>HYPERLINK("https://my.zakupki.prom.ua/remote/dispatcher/state_purchase_view/47062", "UA-2016-01-12-000153-a")</f>
        <v>UA-2016-01-12-000153-a</v>
      </c>
      <c r="C339" s="2" t="s">
        <v>983</v>
      </c>
      <c r="D339" s="1" t="s">
        <v>189</v>
      </c>
      <c r="E339" s="1" t="s">
        <v>963</v>
      </c>
      <c r="F339" s="1" t="s">
        <v>212</v>
      </c>
      <c r="G339" s="1" t="s">
        <v>883</v>
      </c>
      <c r="H339" s="1" t="s">
        <v>987</v>
      </c>
      <c r="I339" s="1" t="s">
        <v>905</v>
      </c>
      <c r="J339" s="1" t="s">
        <v>158</v>
      </c>
      <c r="K339" s="1" t="s">
        <v>662</v>
      </c>
      <c r="L339" s="1" t="s">
        <v>996</v>
      </c>
      <c r="M339" s="1" t="s">
        <v>147</v>
      </c>
      <c r="N339" s="1" t="s">
        <v>147</v>
      </c>
      <c r="O339" s="1" t="s">
        <v>147</v>
      </c>
      <c r="P339" s="5">
        <v>42381</v>
      </c>
      <c r="Q339" s="5">
        <v>42381</v>
      </c>
      <c r="R339" s="5">
        <v>42382</v>
      </c>
      <c r="S339" s="5">
        <v>42382</v>
      </c>
      <c r="T339" s="5">
        <v>42383</v>
      </c>
      <c r="U339" s="1" t="s">
        <v>1285</v>
      </c>
      <c r="V339" s="4">
        <v>1</v>
      </c>
      <c r="W339" s="6">
        <v>3637</v>
      </c>
      <c r="X339" s="1" t="s">
        <v>983</v>
      </c>
      <c r="Y339" s="4">
        <v>435</v>
      </c>
      <c r="Z339" s="6">
        <v>8.36</v>
      </c>
      <c r="AA339" s="1" t="s">
        <v>1299</v>
      </c>
      <c r="AB339" s="1" t="s">
        <v>540</v>
      </c>
      <c r="AC339" s="1" t="s">
        <v>1202</v>
      </c>
      <c r="AD339" s="1" t="s">
        <v>704</v>
      </c>
      <c r="AE339" s="1" t="s">
        <v>987</v>
      </c>
      <c r="AF339" s="6">
        <v>3636.6</v>
      </c>
      <c r="AG339" s="6">
        <v>8.36</v>
      </c>
      <c r="AH339" s="1" t="s">
        <v>1214</v>
      </c>
      <c r="AI339" s="6">
        <v>0.40000000000009095</v>
      </c>
      <c r="AJ339" s="6">
        <v>1.0998075336818559E-4</v>
      </c>
      <c r="AK339" s="1" t="s">
        <v>1214</v>
      </c>
      <c r="AL339" s="1" t="s">
        <v>280</v>
      </c>
      <c r="AM339" s="1" t="s">
        <v>602</v>
      </c>
      <c r="AN339" s="1" t="s">
        <v>164</v>
      </c>
      <c r="AO339" s="6">
        <v>0.40000000000009095</v>
      </c>
      <c r="AP339" s="6">
        <v>1.0998075336818559E-4</v>
      </c>
      <c r="AQ339" s="2"/>
      <c r="AR339" s="7">
        <v>42384.604859785592</v>
      </c>
      <c r="AS339" s="5">
        <v>42385</v>
      </c>
      <c r="AT339" s="5">
        <v>42412</v>
      </c>
      <c r="AU339" s="1" t="s">
        <v>1287</v>
      </c>
      <c r="AV339" s="7">
        <v>42678.851546347665</v>
      </c>
      <c r="AW339" s="1"/>
      <c r="AX339" s="1"/>
      <c r="AY339" s="5">
        <v>42394</v>
      </c>
      <c r="AZ339" s="5">
        <v>42460</v>
      </c>
      <c r="BA339" s="1"/>
      <c r="BB339" s="1" t="s">
        <v>1310</v>
      </c>
      <c r="BC339" s="1"/>
      <c r="BD339" s="1"/>
    </row>
    <row r="340" spans="1:56" hidden="1" x14ac:dyDescent="0.25">
      <c r="A340" s="4">
        <v>335</v>
      </c>
      <c r="B340" s="2" t="str">
        <f>HYPERLINK("https://my.zakupki.prom.ua/remote/dispatcher/state_purchase_view/52043", "UA-2016-01-28-000042-b")</f>
        <v>UA-2016-01-28-000042-b</v>
      </c>
      <c r="C340" s="2" t="s">
        <v>983</v>
      </c>
      <c r="D340" s="1" t="s">
        <v>253</v>
      </c>
      <c r="E340" s="1" t="s">
        <v>185</v>
      </c>
      <c r="F340" s="1" t="s">
        <v>358</v>
      </c>
      <c r="G340" s="1" t="s">
        <v>883</v>
      </c>
      <c r="H340" s="1" t="s">
        <v>987</v>
      </c>
      <c r="I340" s="1" t="s">
        <v>905</v>
      </c>
      <c r="J340" s="1" t="s">
        <v>158</v>
      </c>
      <c r="K340" s="1" t="s">
        <v>662</v>
      </c>
      <c r="L340" s="1" t="s">
        <v>996</v>
      </c>
      <c r="M340" s="1" t="s">
        <v>239</v>
      </c>
      <c r="N340" s="1" t="s">
        <v>147</v>
      </c>
      <c r="O340" s="1" t="s">
        <v>147</v>
      </c>
      <c r="P340" s="5">
        <v>42397</v>
      </c>
      <c r="Q340" s="5">
        <v>42397</v>
      </c>
      <c r="R340" s="5">
        <v>42400</v>
      </c>
      <c r="S340" s="5">
        <v>42400</v>
      </c>
      <c r="T340" s="5">
        <v>42403</v>
      </c>
      <c r="U340" s="7">
        <v>42404.531041666669</v>
      </c>
      <c r="V340" s="4">
        <v>6</v>
      </c>
      <c r="W340" s="6">
        <v>9628</v>
      </c>
      <c r="X340" s="1" t="s">
        <v>983</v>
      </c>
      <c r="Y340" s="4">
        <v>1400</v>
      </c>
      <c r="Z340" s="6">
        <v>6.88</v>
      </c>
      <c r="AA340" s="1" t="s">
        <v>1319</v>
      </c>
      <c r="AB340" s="1" t="s">
        <v>540</v>
      </c>
      <c r="AC340" s="1" t="s">
        <v>1202</v>
      </c>
      <c r="AD340" s="1" t="s">
        <v>704</v>
      </c>
      <c r="AE340" s="1" t="s">
        <v>987</v>
      </c>
      <c r="AF340" s="6">
        <v>8412.16</v>
      </c>
      <c r="AG340" s="6">
        <v>6.008685714285714</v>
      </c>
      <c r="AH340" s="1" t="s">
        <v>1149</v>
      </c>
      <c r="AI340" s="6">
        <v>1215.8400000000001</v>
      </c>
      <c r="AJ340" s="6">
        <v>0.12628167843788951</v>
      </c>
      <c r="AK340" s="1" t="s">
        <v>1149</v>
      </c>
      <c r="AL340" s="1" t="s">
        <v>438</v>
      </c>
      <c r="AM340" s="1" t="s">
        <v>629</v>
      </c>
      <c r="AN340" s="1" t="s">
        <v>87</v>
      </c>
      <c r="AO340" s="6">
        <v>1215.8400000000001</v>
      </c>
      <c r="AP340" s="6">
        <v>0.12628167843788951</v>
      </c>
      <c r="AQ340" s="2" t="str">
        <f>HYPERLINK("https://auction.openprocurement.org/tenders/2c608956f8d64f368df89b53d1e47e32")</f>
        <v>https://auction.openprocurement.org/tenders/2c608956f8d64f368df89b53d1e47e32</v>
      </c>
      <c r="AR340" s="7">
        <v>42408.572066621913</v>
      </c>
      <c r="AS340" s="5">
        <v>42409</v>
      </c>
      <c r="AT340" s="5">
        <v>42430</v>
      </c>
      <c r="AU340" s="1" t="s">
        <v>1287</v>
      </c>
      <c r="AV340" s="7">
        <v>42678.855300079536</v>
      </c>
      <c r="AW340" s="1"/>
      <c r="AX340" s="1"/>
      <c r="AY340" s="5">
        <v>42408</v>
      </c>
      <c r="AZ340" s="5">
        <v>42429</v>
      </c>
      <c r="BA340" s="1"/>
      <c r="BB340" s="1" t="s">
        <v>1310</v>
      </c>
      <c r="BC340" s="1"/>
      <c r="BD340" s="1"/>
    </row>
    <row r="341" spans="1:56" hidden="1" x14ac:dyDescent="0.25">
      <c r="A341" s="4">
        <v>336</v>
      </c>
      <c r="B341" s="2" t="str">
        <f>HYPERLINK("https://my.zakupki.prom.ua/remote/dispatcher/state_purchase_view/36636", "UA-2015-12-01-000031")</f>
        <v>UA-2015-12-01-000031</v>
      </c>
      <c r="C341" s="2" t="s">
        <v>983</v>
      </c>
      <c r="D341" s="1" t="s">
        <v>234</v>
      </c>
      <c r="E341" s="1" t="s">
        <v>672</v>
      </c>
      <c r="F341" s="1" t="s">
        <v>170</v>
      </c>
      <c r="G341" s="1" t="s">
        <v>883</v>
      </c>
      <c r="H341" s="1" t="s">
        <v>987</v>
      </c>
      <c r="I341" s="1" t="s">
        <v>905</v>
      </c>
      <c r="J341" s="1" t="s">
        <v>158</v>
      </c>
      <c r="K341" s="1" t="s">
        <v>662</v>
      </c>
      <c r="L341" s="1" t="s">
        <v>996</v>
      </c>
      <c r="M341" s="1" t="s">
        <v>147</v>
      </c>
      <c r="N341" s="1" t="s">
        <v>147</v>
      </c>
      <c r="O341" s="1" t="s">
        <v>147</v>
      </c>
      <c r="P341" s="5">
        <v>42339</v>
      </c>
      <c r="Q341" s="5">
        <v>42339</v>
      </c>
      <c r="R341" s="5">
        <v>42340</v>
      </c>
      <c r="S341" s="5">
        <v>42340</v>
      </c>
      <c r="T341" s="5">
        <v>42342</v>
      </c>
      <c r="U341" s="7">
        <v>42345.522002314814</v>
      </c>
      <c r="V341" s="4">
        <v>2</v>
      </c>
      <c r="W341" s="6">
        <v>3500</v>
      </c>
      <c r="X341" s="1" t="s">
        <v>983</v>
      </c>
      <c r="Y341" s="4">
        <v>200</v>
      </c>
      <c r="Z341" s="6">
        <v>17.5</v>
      </c>
      <c r="AA341" s="1" t="s">
        <v>1299</v>
      </c>
      <c r="AB341" s="1" t="s">
        <v>540</v>
      </c>
      <c r="AC341" s="1" t="s">
        <v>1202</v>
      </c>
      <c r="AD341" s="1" t="s">
        <v>704</v>
      </c>
      <c r="AE341" s="1" t="s">
        <v>987</v>
      </c>
      <c r="AF341" s="6">
        <v>3480</v>
      </c>
      <c r="AG341" s="6">
        <v>17.399999999999999</v>
      </c>
      <c r="AH341" s="1" t="s">
        <v>1170</v>
      </c>
      <c r="AI341" s="6">
        <v>20</v>
      </c>
      <c r="AJ341" s="6">
        <v>5.7142857142857143E-3</v>
      </c>
      <c r="AK341" s="1" t="s">
        <v>1198</v>
      </c>
      <c r="AL341" s="1" t="s">
        <v>410</v>
      </c>
      <c r="AM341" s="1" t="s">
        <v>619</v>
      </c>
      <c r="AN341" s="1" t="s">
        <v>55</v>
      </c>
      <c r="AO341" s="1"/>
      <c r="AP341" s="1"/>
      <c r="AQ341" s="2" t="str">
        <f>HYPERLINK("https://auction.openprocurement.org/tenders/6b4e510eff264cbab79acc1638352204")</f>
        <v>https://auction.openprocurement.org/tenders/6b4e510eff264cbab79acc1638352204</v>
      </c>
      <c r="AR341" s="7">
        <v>42346.511527614915</v>
      </c>
      <c r="AS341" s="5">
        <v>42347</v>
      </c>
      <c r="AT341" s="5">
        <v>42370</v>
      </c>
      <c r="AU341" s="1" t="s">
        <v>1287</v>
      </c>
      <c r="AV341" s="7">
        <v>42678.845436159863</v>
      </c>
      <c r="AW341" s="1"/>
      <c r="AX341" s="1"/>
      <c r="AY341" s="5">
        <v>42343</v>
      </c>
      <c r="AZ341" s="5">
        <v>42349</v>
      </c>
      <c r="BA341" s="1"/>
      <c r="BB341" s="1" t="s">
        <v>1310</v>
      </c>
      <c r="BC341" s="1"/>
      <c r="BD341" s="1"/>
    </row>
    <row r="342" spans="1:56" hidden="1" x14ac:dyDescent="0.25">
      <c r="A342" s="4">
        <v>337</v>
      </c>
      <c r="B342" s="2" t="str">
        <f>HYPERLINK("https://my.zakupki.prom.ua/remote/dispatcher/state_purchase_view/38548", "UA-2015-12-04-000074")</f>
        <v>UA-2015-12-04-000074</v>
      </c>
      <c r="C342" s="2" t="s">
        <v>983</v>
      </c>
      <c r="D342" s="1" t="s">
        <v>972</v>
      </c>
      <c r="E342" s="1" t="s">
        <v>975</v>
      </c>
      <c r="F342" s="1" t="s">
        <v>365</v>
      </c>
      <c r="G342" s="1" t="s">
        <v>883</v>
      </c>
      <c r="H342" s="1" t="s">
        <v>987</v>
      </c>
      <c r="I342" s="1" t="s">
        <v>905</v>
      </c>
      <c r="J342" s="1" t="s">
        <v>158</v>
      </c>
      <c r="K342" s="1" t="s">
        <v>662</v>
      </c>
      <c r="L342" s="1" t="s">
        <v>996</v>
      </c>
      <c r="M342" s="1" t="s">
        <v>147</v>
      </c>
      <c r="N342" s="1" t="s">
        <v>147</v>
      </c>
      <c r="O342" s="1" t="s">
        <v>147</v>
      </c>
      <c r="P342" s="5">
        <v>42342</v>
      </c>
      <c r="Q342" s="5">
        <v>42342</v>
      </c>
      <c r="R342" s="5">
        <v>42345</v>
      </c>
      <c r="S342" s="5">
        <v>42345</v>
      </c>
      <c r="T342" s="5">
        <v>42347</v>
      </c>
      <c r="U342" s="7">
        <v>42348.567986111113</v>
      </c>
      <c r="V342" s="4">
        <v>5</v>
      </c>
      <c r="W342" s="6">
        <v>6033</v>
      </c>
      <c r="X342" s="1" t="s">
        <v>983</v>
      </c>
      <c r="Y342" s="4">
        <v>300</v>
      </c>
      <c r="Z342" s="6">
        <v>20.11</v>
      </c>
      <c r="AA342" s="1" t="s">
        <v>1301</v>
      </c>
      <c r="AB342" s="1" t="s">
        <v>540</v>
      </c>
      <c r="AC342" s="1" t="s">
        <v>1202</v>
      </c>
      <c r="AD342" s="1" t="s">
        <v>704</v>
      </c>
      <c r="AE342" s="1" t="s">
        <v>987</v>
      </c>
      <c r="AF342" s="6">
        <v>5096</v>
      </c>
      <c r="AG342" s="6">
        <v>16.986666666666668</v>
      </c>
      <c r="AH342" s="1" t="s">
        <v>1184</v>
      </c>
      <c r="AI342" s="6">
        <v>937</v>
      </c>
      <c r="AJ342" s="6">
        <v>0.1553124482015581</v>
      </c>
      <c r="AK342" s="1" t="s">
        <v>1263</v>
      </c>
      <c r="AL342" s="1" t="s">
        <v>220</v>
      </c>
      <c r="AM342" s="1" t="s">
        <v>572</v>
      </c>
      <c r="AN342" s="1" t="s">
        <v>134</v>
      </c>
      <c r="AO342" s="6">
        <v>635.64999999999964</v>
      </c>
      <c r="AP342" s="6">
        <v>0.10536217470578479</v>
      </c>
      <c r="AQ342" s="2" t="str">
        <f>HYPERLINK("https://auction.openprocurement.org/tenders/ba552f0647a14159b0a9347b363c6065")</f>
        <v>https://auction.openprocurement.org/tenders/ba552f0647a14159b0a9347b363c6065</v>
      </c>
      <c r="AR342" s="7">
        <v>42348.691549948046</v>
      </c>
      <c r="AS342" s="5">
        <v>42349</v>
      </c>
      <c r="AT342" s="5">
        <v>42375</v>
      </c>
      <c r="AU342" s="1" t="s">
        <v>1287</v>
      </c>
      <c r="AV342" s="7">
        <v>42678.846602048638</v>
      </c>
      <c r="AW342" s="1"/>
      <c r="AX342" s="1"/>
      <c r="AY342" s="5">
        <v>42353</v>
      </c>
      <c r="AZ342" s="5">
        <v>42363</v>
      </c>
      <c r="BA342" s="1"/>
      <c r="BB342" s="1" t="s">
        <v>1310</v>
      </c>
      <c r="BC342" s="1"/>
      <c r="BD342" s="1"/>
    </row>
    <row r="343" spans="1:56" hidden="1" x14ac:dyDescent="0.25">
      <c r="A343" s="4">
        <v>338</v>
      </c>
      <c r="B343" s="2" t="str">
        <f>HYPERLINK("https://my.zakupki.prom.ua/remote/dispatcher/state_purchase_view/52264", "UA-2016-01-28-000151-b")</f>
        <v>UA-2016-01-28-000151-b</v>
      </c>
      <c r="C343" s="2" t="s">
        <v>983</v>
      </c>
      <c r="D343" s="1" t="s">
        <v>707</v>
      </c>
      <c r="E343" s="1" t="s">
        <v>708</v>
      </c>
      <c r="F343" s="1" t="s">
        <v>380</v>
      </c>
      <c r="G343" s="1" t="s">
        <v>883</v>
      </c>
      <c r="H343" s="1" t="s">
        <v>987</v>
      </c>
      <c r="I343" s="1" t="s">
        <v>905</v>
      </c>
      <c r="J343" s="1" t="s">
        <v>158</v>
      </c>
      <c r="K343" s="1" t="s">
        <v>662</v>
      </c>
      <c r="L343" s="1" t="s">
        <v>996</v>
      </c>
      <c r="M343" s="1" t="s">
        <v>147</v>
      </c>
      <c r="N343" s="1" t="s">
        <v>147</v>
      </c>
      <c r="O343" s="1" t="s">
        <v>147</v>
      </c>
      <c r="P343" s="5">
        <v>42397</v>
      </c>
      <c r="Q343" s="5">
        <v>42397</v>
      </c>
      <c r="R343" s="5">
        <v>42400</v>
      </c>
      <c r="S343" s="5">
        <v>42400</v>
      </c>
      <c r="T343" s="5">
        <v>42403</v>
      </c>
      <c r="U343" s="7">
        <v>42404.546481481484</v>
      </c>
      <c r="V343" s="4">
        <v>7</v>
      </c>
      <c r="W343" s="6">
        <v>3200</v>
      </c>
      <c r="X343" s="1" t="s">
        <v>983</v>
      </c>
      <c r="Y343" s="4">
        <v>80</v>
      </c>
      <c r="Z343" s="6">
        <v>40</v>
      </c>
      <c r="AA343" s="1" t="s">
        <v>1319</v>
      </c>
      <c r="AB343" s="1" t="s">
        <v>540</v>
      </c>
      <c r="AC343" s="1" t="s">
        <v>1202</v>
      </c>
      <c r="AD343" s="1" t="s">
        <v>704</v>
      </c>
      <c r="AE343" s="1" t="s">
        <v>987</v>
      </c>
      <c r="AF343" s="6">
        <v>2200</v>
      </c>
      <c r="AG343" s="6">
        <v>27.5</v>
      </c>
      <c r="AH343" s="1" t="s">
        <v>1149</v>
      </c>
      <c r="AI343" s="6">
        <v>1000</v>
      </c>
      <c r="AJ343" s="6">
        <v>0.3125</v>
      </c>
      <c r="AK343" s="1" t="s">
        <v>1149</v>
      </c>
      <c r="AL343" s="1" t="s">
        <v>438</v>
      </c>
      <c r="AM343" s="1" t="s">
        <v>629</v>
      </c>
      <c r="AN343" s="1" t="s">
        <v>87</v>
      </c>
      <c r="AO343" s="6">
        <v>1000</v>
      </c>
      <c r="AP343" s="6">
        <v>0.3125</v>
      </c>
      <c r="AQ343" s="2" t="str">
        <f>HYPERLINK("https://auction.openprocurement.org/tenders/682f58c5f9eb4f61ac97cdf0d61651a1")</f>
        <v>https://auction.openprocurement.org/tenders/682f58c5f9eb4f61ac97cdf0d61651a1</v>
      </c>
      <c r="AR343" s="7">
        <v>42408.567980800915</v>
      </c>
      <c r="AS343" s="5">
        <v>42409</v>
      </c>
      <c r="AT343" s="5">
        <v>42430</v>
      </c>
      <c r="AU343" s="1" t="s">
        <v>1287</v>
      </c>
      <c r="AV343" s="7">
        <v>42678.8554528202</v>
      </c>
      <c r="AW343" s="1"/>
      <c r="AX343" s="1"/>
      <c r="AY343" s="5">
        <v>42408</v>
      </c>
      <c r="AZ343" s="5">
        <v>42429</v>
      </c>
      <c r="BA343" s="1"/>
      <c r="BB343" s="1" t="s">
        <v>1310</v>
      </c>
      <c r="BC343" s="1"/>
      <c r="BD343" s="1"/>
    </row>
    <row r="344" spans="1:56" hidden="1" x14ac:dyDescent="0.25">
      <c r="A344" s="4">
        <v>339</v>
      </c>
      <c r="B344" s="2" t="str">
        <f>HYPERLINK("https://my.zakupki.prom.ua/remote/dispatcher/state_purchase_view/61749", "UA-2016-02-18-000030-a")</f>
        <v>UA-2016-02-18-000030-a</v>
      </c>
      <c r="C344" s="2" t="s">
        <v>983</v>
      </c>
      <c r="D344" s="1" t="s">
        <v>244</v>
      </c>
      <c r="E344" s="1" t="s">
        <v>1040</v>
      </c>
      <c r="F344" s="1" t="s">
        <v>285</v>
      </c>
      <c r="G344" s="1" t="s">
        <v>883</v>
      </c>
      <c r="H344" s="1" t="s">
        <v>987</v>
      </c>
      <c r="I344" s="1" t="s">
        <v>905</v>
      </c>
      <c r="J344" s="1" t="s">
        <v>158</v>
      </c>
      <c r="K344" s="1" t="s">
        <v>662</v>
      </c>
      <c r="L344" s="1" t="s">
        <v>996</v>
      </c>
      <c r="M344" s="1" t="s">
        <v>147</v>
      </c>
      <c r="N344" s="1" t="s">
        <v>147</v>
      </c>
      <c r="O344" s="1" t="s">
        <v>147</v>
      </c>
      <c r="P344" s="5">
        <v>42418</v>
      </c>
      <c r="Q344" s="5">
        <v>42418</v>
      </c>
      <c r="R344" s="5">
        <v>42418</v>
      </c>
      <c r="S344" s="5">
        <v>42418</v>
      </c>
      <c r="T344" s="5">
        <v>42421</v>
      </c>
      <c r="U344" s="1" t="s">
        <v>1285</v>
      </c>
      <c r="V344" s="4">
        <v>0</v>
      </c>
      <c r="W344" s="6">
        <v>13800</v>
      </c>
      <c r="X344" s="1" t="s">
        <v>983</v>
      </c>
      <c r="Y344" s="4">
        <v>21</v>
      </c>
      <c r="Z344" s="6">
        <v>657.14</v>
      </c>
      <c r="AA344" s="1" t="s">
        <v>1319</v>
      </c>
      <c r="AB344" s="1" t="s">
        <v>540</v>
      </c>
      <c r="AC344" s="1" t="s">
        <v>1202</v>
      </c>
      <c r="AD344" s="1" t="s">
        <v>704</v>
      </c>
      <c r="AE344" s="1" t="s">
        <v>987</v>
      </c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2"/>
      <c r="AR344" s="1"/>
      <c r="AS344" s="1"/>
      <c r="AT344" s="1"/>
      <c r="AU344" s="1" t="s">
        <v>1288</v>
      </c>
      <c r="AV344" s="7">
        <v>42678.862382220483</v>
      </c>
      <c r="AW344" s="1"/>
      <c r="AX344" s="1"/>
      <c r="AY344" s="5">
        <v>42417</v>
      </c>
      <c r="AZ344" s="5">
        <v>42429</v>
      </c>
      <c r="BA344" s="1"/>
      <c r="BB344" s="1"/>
      <c r="BC344" s="1"/>
      <c r="BD344" s="1"/>
    </row>
    <row r="345" spans="1:56" hidden="1" x14ac:dyDescent="0.25">
      <c r="A345" s="1" t="s">
        <v>900</v>
      </c>
    </row>
  </sheetData>
  <autoFilter ref="A5:BD345">
    <filterColumn colId="6">
      <filters>
        <filter val="Відкриті торги"/>
      </filters>
    </filterColumn>
  </autoFilter>
  <hyperlinks>
    <hyperlink ref="AQ203" r:id="rId1" display="https://auction.openprocurement.org/tenders/4807f418d7eb42bbaaab9cd959ccb6dd"/>
    <hyperlink ref="B300" r:id="rId2" display="https://my.zakupki.prom.ua/remote/dispatcher/state_purchase_view/480742"/>
    <hyperlink ref="B118" r:id="rId3" display="https://my.zakupki.prom.ua/remote/dispatcher/state_purchase_view/10873099"/>
    <hyperlink ref="B119" r:id="rId4" display="https://my.zakupki.prom.ua/remote/dispatcher/state_purchase_view/10873072"/>
    <hyperlink ref="B110" r:id="rId5" display="https://my.zakupki.prom.ua/remote/dispatcher/state_purchase_view/10977457"/>
    <hyperlink ref="B111" r:id="rId6" display="https://my.zakupki.prom.ua/remote/dispatcher/state_purchase_view/10976385"/>
    <hyperlink ref="B112" r:id="rId7" display="https://my.zakupki.prom.ua/remote/dispatcher/state_purchase_view/10959797"/>
    <hyperlink ref="B113" r:id="rId8" display="https://my.zakupki.prom.ua/remote/dispatcher/state_purchase_view/10959606"/>
    <hyperlink ref="B116" r:id="rId9" display="https://my.zakupki.prom.ua/remote/dispatcher/state_purchase_view/10940900"/>
    <hyperlink ref="B248" r:id="rId10" display="https://my.zakupki.prom.ua/remote/dispatcher/state_purchase_view/3180827"/>
    <hyperlink ref="B306" r:id="rId11" display="https://my.zakupki.prom.ua/remote/dispatcher/state_purchase_view/290840"/>
    <hyperlink ref="AQ218" r:id="rId12" display="https://auction.openprocurement.org/tenders/b97805caa623448d97c74be063033859"/>
    <hyperlink ref="B38" r:id="rId13" display="https://my.zakupki.prom.ua/remote/dispatcher/state_purchase_view/15075578"/>
    <hyperlink ref="B39" r:id="rId14" display="https://my.zakupki.prom.ua/remote/dispatcher/state_purchase_view/15078187"/>
    <hyperlink ref="B34" r:id="rId15" display="https://my.zakupki.prom.ua/remote/dispatcher/state_purchase_view/15195636"/>
    <hyperlink ref="B35" r:id="rId16" display="https://my.zakupki.prom.ua/remote/dispatcher/state_purchase_view/15186902"/>
    <hyperlink ref="B36" r:id="rId17" display="https://my.zakupki.prom.ua/remote/dispatcher/state_purchase_view/15190267"/>
    <hyperlink ref="B37" r:id="rId18" display="https://my.zakupki.prom.ua/remote/dispatcher/state_purchase_view/15107083"/>
    <hyperlink ref="B30" r:id="rId19" display="https://my.zakupki.prom.ua/remote/dispatcher/state_purchase_view/15252390"/>
    <hyperlink ref="B31" r:id="rId20" display="https://my.zakupki.prom.ua/remote/dispatcher/state_purchase_view/14961526"/>
    <hyperlink ref="B32" r:id="rId21" display="https://my.zakupki.prom.ua/remote/dispatcher/state_purchase_view/15223082"/>
    <hyperlink ref="B33" r:id="rId22" display="https://my.zakupki.prom.ua/remote/dispatcher/state_purchase_view/15222125"/>
    <hyperlink ref="B314" r:id="rId23" display="https://my.zakupki.prom.ua/remote/dispatcher/state_purchase_view/214237"/>
    <hyperlink ref="AQ155" r:id="rId24" display="https://auction.openprocurement.org/tenders/fec61aec86714606928ef49ab47e38ca"/>
    <hyperlink ref="AQ154" r:id="rId25" display="https://auction.openprocurement.org/tenders/78c802cc4b684155899bccdbd7097ae1"/>
    <hyperlink ref="B310" r:id="rId26" display="https://my.zakupki.prom.ua/remote/dispatcher/state_purchase_view/248456"/>
    <hyperlink ref="B136" r:id="rId27" display="https://my.zakupki.prom.ua/remote/dispatcher/state_purchase_view/10356968"/>
    <hyperlink ref="B137" r:id="rId28" display="https://my.zakupki.prom.ua/remote/dispatcher/state_purchase_view/10356121"/>
    <hyperlink ref="B134" r:id="rId29" display="https://my.zakupki.prom.ua/remote/dispatcher/state_purchase_view/10359397"/>
    <hyperlink ref="B135" r:id="rId30" display="https://my.zakupki.prom.ua/remote/dispatcher/state_purchase_view/10357787"/>
    <hyperlink ref="B132" r:id="rId31" display="https://my.zakupki.prom.ua/remote/dispatcher/state_purchase_view/10397638"/>
    <hyperlink ref="B133" r:id="rId32" display="https://my.zakupki.prom.ua/remote/dispatcher/state_purchase_view/10374462"/>
    <hyperlink ref="B130" r:id="rId33" display="https://my.zakupki.prom.ua/remote/dispatcher/state_purchase_view/10569412"/>
    <hyperlink ref="B131" r:id="rId34" display="https://my.zakupki.prom.ua/remote/dispatcher/state_purchase_view/10495267"/>
    <hyperlink ref="B138" r:id="rId35" display="https://my.zakupki.prom.ua/remote/dispatcher/state_purchase_view/10327663"/>
    <hyperlink ref="B139" r:id="rId36" display="https://my.zakupki.prom.ua/remote/dispatcher/state_purchase_view/10327270"/>
    <hyperlink ref="AQ230" r:id="rId37" display="https://auction.openprocurement.org/tenders/57a99d37cc09456b93a400afa6ce4193"/>
    <hyperlink ref="AQ231" r:id="rId38" display="https://auction.openprocurement.org/tenders/bdec30724db049d295955757b947853c"/>
    <hyperlink ref="AQ234" r:id="rId39" display="https://auction.openprocurement.org/tenders/b8b0083d2b1f414ebf2545305d46a450"/>
    <hyperlink ref="AQ237" r:id="rId40" display="https://auction.openprocurement.org/tenders/35c42f591ddc4b9c91122f929a94a647_6f2fc1daebc4484fbd80fe5d8c817885"/>
    <hyperlink ref="B16" r:id="rId41" display="https://my.zakupki.prom.ua/remote/dispatcher/state_purchase_view/15529121"/>
    <hyperlink ref="B17" r:id="rId42" display="https://my.zakupki.prom.ua/remote/dispatcher/state_purchase_view/15526253"/>
    <hyperlink ref="B14" r:id="rId43" display="https://my.zakupki.prom.ua/remote/dispatcher/state_purchase_view/15541112"/>
    <hyperlink ref="B15" r:id="rId44" display="https://my.zakupki.prom.ua/remote/dispatcher/state_purchase_view/15533294"/>
    <hyperlink ref="B12" r:id="rId45" display="https://my.zakupki.prom.ua/remote/dispatcher/state_purchase_view/15550416"/>
    <hyperlink ref="B13" r:id="rId46" display="https://my.zakupki.prom.ua/remote/dispatcher/state_purchase_view/15542016"/>
    <hyperlink ref="B10" r:id="rId47" display="https://my.zakupki.prom.ua/remote/dispatcher/state_purchase_view/15717951"/>
    <hyperlink ref="B11" r:id="rId48" display="https://my.zakupki.prom.ua/remote/dispatcher/state_purchase_view/15717951"/>
    <hyperlink ref="B18" r:id="rId49" display="https://my.zakupki.prom.ua/remote/dispatcher/state_purchase_view/15504082"/>
    <hyperlink ref="B19" r:id="rId50" display="https://my.zakupki.prom.ua/remote/dispatcher/state_purchase_view/15497945"/>
    <hyperlink ref="B205" r:id="rId51" display="https://my.zakupki.prom.ua/remote/dispatcher/state_purchase_view/5790493"/>
    <hyperlink ref="B180" r:id="rId52" display="https://my.zakupki.prom.ua/remote/dispatcher/state_purchase_view/7309082"/>
    <hyperlink ref="AQ124" r:id="rId53" display="https://auction.openprocurement.org/tenders/e28194313ce44630bd461d62cf05056f"/>
    <hyperlink ref="B186" r:id="rId54" display="https://my.zakupki.prom.ua/remote/dispatcher/state_purchase_view/6947145"/>
    <hyperlink ref="B188" r:id="rId55" display="https://my.zakupki.prom.ua/remote/dispatcher/state_purchase_view/6776462"/>
    <hyperlink ref="AQ306" r:id="rId56" display="https://auction.openprocurement.org/tenders/2eca3b7761c64ef0b75eb1b3a6fdc824_114630250d304ee1b7745998b616b4df"/>
    <hyperlink ref="AQ307" r:id="rId57" display="https://auction.openprocurement.org/tenders/b19ee4bc4f174157b2b3d88ac1974fa4_f0905e7cd3f04c4e8cce2eb2614d168b"/>
    <hyperlink ref="AQ171" r:id="rId58" display="https://auction.openprocurement.org/tenders/c60d0892484f4237b8a0b3a181822b05"/>
    <hyperlink ref="AQ175" r:id="rId59" display="https://auction.openprocurement.org/tenders/da713ed82ef148809e324be2424d99d4"/>
    <hyperlink ref="AQ179" r:id="rId60" display="https://auction.openprocurement.org/tenders/d9d7416a46ec47dfba8bbcba372a1932"/>
    <hyperlink ref="AQ178" r:id="rId61" display="https://auction.openprocurement.org/tenders/b33721a1bbe14c9a82773330dbad96d4"/>
    <hyperlink ref="AQ330" r:id="rId62" display="https://auction.openprocurement.org/tenders/0dab60e492ad4cd48d65e6bd31643cb0"/>
    <hyperlink ref="B330" r:id="rId63" display="https://my.zakupki.prom.ua/remote/dispatcher/state_purchase_view/78620"/>
    <hyperlink ref="B331" r:id="rId64" display="https://my.zakupki.prom.ua/remote/dispatcher/state_purchase_view/78595"/>
    <hyperlink ref="B334" r:id="rId65" display="https://my.zakupki.prom.ua/remote/dispatcher/state_purchase_view/77005"/>
    <hyperlink ref="B335" r:id="rId66" display="https://my.zakupki.prom.ua/remote/dispatcher/state_purchase_view/47403"/>
    <hyperlink ref="B336" r:id="rId67" display="https://my.zakupki.prom.ua/remote/dispatcher/state_purchase_view/38300"/>
    <hyperlink ref="B337" r:id="rId68" display="https://my.zakupki.prom.ua/remote/dispatcher/state_purchase_view/52030"/>
    <hyperlink ref="AQ195" r:id="rId69" display="https://auction.openprocurement.org/tenders/dbb5213a5bd041a4a0ed231bb6194549"/>
    <hyperlink ref="B114" r:id="rId70" display="https://my.zakupki.prom.ua/remote/dispatcher/state_purchase_view/10942919"/>
    <hyperlink ref="B115" r:id="rId71" display="https://my.zakupki.prom.ua/remote/dispatcher/state_purchase_view/10942884"/>
    <hyperlink ref="B117" r:id="rId72" display="https://my.zakupki.prom.ua/remote/dispatcher/state_purchase_view/10930087"/>
    <hyperlink ref="C11" r:id="rId73" display="https://my.zakupki.prom.ua/remote/dispatcher/state_purchase_lot_view/526902"/>
    <hyperlink ref="C10" r:id="rId74" display="https://my.zakupki.prom.ua/remote/dispatcher/state_purchase_lot_view/526901"/>
    <hyperlink ref="AQ110" r:id="rId75" display="https://auction.openprocurement.org/tenders/00cece14b5f541a6b99e55b2095922f0"/>
    <hyperlink ref="AQ115" r:id="rId76" display="https://auction.openprocurement.org/tenders/7aa507cb34664005ae9880385f70b270"/>
    <hyperlink ref="AQ114" r:id="rId77" display="https://auction.openprocurement.org/tenders/7bf27df1cc6e45b69f8cb16e8647d8bf"/>
    <hyperlink ref="AQ116" r:id="rId78" display="https://auction.openprocurement.org/tenders/802ad15f286d47238bce7a3648c832ea"/>
    <hyperlink ref="AQ212" r:id="rId79" display="https://auction.openprocurement.org/tenders/46c0f18d3e2744cd92e138564227da53"/>
    <hyperlink ref="AQ210" r:id="rId80" display="https://auction.openprocurement.org/tenders/f8971ed8c731402b9ae487df6fb0f5f0"/>
    <hyperlink ref="AQ211" r:id="rId81" display="https://auction.openprocurement.org/tenders/478521194ef7434f87edc7b880df538c"/>
    <hyperlink ref="B318" r:id="rId82" display="https://my.zakupki.prom.ua/remote/dispatcher/state_purchase_view/167807"/>
    <hyperlink ref="B319" r:id="rId83" display="https://my.zakupki.prom.ua/remote/dispatcher/state_purchase_view/144399"/>
    <hyperlink ref="AQ99" r:id="rId84" display="https://auction.openprocurement.org/tenders/b87e09c3d0a0484288f504e0153a5acb"/>
    <hyperlink ref="AQ90" r:id="rId85" display="https://auction.openprocurement.org/tenders/684652de115443e5bc6de56960aa50b2"/>
    <hyperlink ref="AQ92" r:id="rId86" display="https://auction.openprocurement.org/tenders/6f510bf4abac4657a924b82e7e68e0d0"/>
    <hyperlink ref="AQ95" r:id="rId87" display="https://auction.openprocurement.org/tenders/ffc7c64c08204070a851689d4c43ac9b"/>
    <hyperlink ref="AQ94" r:id="rId88" display="https://auction.openprocurement.org/tenders/1cc7abb9329f474a9e12ef715d7f039d"/>
    <hyperlink ref="AQ97" r:id="rId89" display="https://auction.openprocurement.org/tenders/dd210d55b49f4633a5d5c85dcaf6396d"/>
    <hyperlink ref="AQ96" r:id="rId90" display="https://auction.openprocurement.org/tenders/8fd6f73ee1f74ebdb73997185f316bcc"/>
    <hyperlink ref="AQ340" r:id="rId91" display="https://auction.openprocurement.org/tenders/2c608956f8d64f368df89b53d1e47e32"/>
    <hyperlink ref="B177" r:id="rId92" display="https://my.zakupki.prom.ua/remote/dispatcher/state_purchase_view/7385000"/>
    <hyperlink ref="AQ137" r:id="rId93" display="https://auction.openprocurement.org/tenders/6400cb4e75654feea45669d7be6cb9cd"/>
    <hyperlink ref="AQ133" r:id="rId94" display="https://auction.openprocurement.org/tenders/cea1f22576224c759eb4fa99b3a0d387"/>
    <hyperlink ref="AQ139" r:id="rId95" display="https://auction.openprocurement.org/tenders/0af1efa6bc23491fb88f3be5490ad1e4"/>
    <hyperlink ref="AQ138" r:id="rId96" display="https://auction.openprocurement.org/tenders/031ab9ae73844142a7b0bc522b0c76af"/>
    <hyperlink ref="B190" r:id="rId97" display="https://my.zakupki.prom.ua/remote/dispatcher/state_purchase_view/6667455"/>
    <hyperlink ref="B191" r:id="rId98" display="https://my.zakupki.prom.ua/remote/dispatcher/state_purchase_view/6608682"/>
    <hyperlink ref="B192" r:id="rId99" display="https://my.zakupki.prom.ua/remote/dispatcher/state_purchase_view/6502498"/>
    <hyperlink ref="B193" r:id="rId100" display="https://my.zakupki.prom.ua/remote/dispatcher/state_purchase_view/6350945"/>
    <hyperlink ref="B196" r:id="rId101" display="https://my.zakupki.prom.ua/remote/dispatcher/state_purchase_view/6243328"/>
    <hyperlink ref="B198" r:id="rId102" display="https://my.zakupki.prom.ua/remote/dispatcher/state_purchase_view/6146486"/>
    <hyperlink ref="B201" r:id="rId103" display="https://my.zakupki.prom.ua/remote/dispatcher/state_purchase_view/5976416"/>
    <hyperlink ref="AQ331" r:id="rId104" display="https://auction.openprocurement.org/tenders/492aa800a6514e699b537c68c021a84c"/>
    <hyperlink ref="AQ333" r:id="rId105" display="https://auction.openprocurement.org/tenders/2c54c004d5f349ec973db9014bb9048d"/>
    <hyperlink ref="AQ335" r:id="rId106" display="https://auction.openprocurement.org/tenders/dd1e32b7dd904187afe00c84c69be37b"/>
    <hyperlink ref="AQ337" r:id="rId107" display="https://auction.openprocurement.org/tenders/941031e3e83741b8a944b8edfa3d2986"/>
    <hyperlink ref="AQ336" r:id="rId108" display="https://auction.openprocurement.org/tenders/b7d71a4f4ca143c19484e2edb635a102"/>
    <hyperlink ref="B270" r:id="rId109" display="https://my.zakupki.prom.ua/remote/dispatcher/state_purchase_view/2198002"/>
    <hyperlink ref="B98" r:id="rId110" display="https://my.zakupki.prom.ua/remote/dispatcher/state_purchase_view/11398142"/>
    <hyperlink ref="B99" r:id="rId111" display="https://my.zakupki.prom.ua/remote/dispatcher/state_purchase_view/11397901"/>
    <hyperlink ref="B96" r:id="rId112" display="https://my.zakupki.prom.ua/remote/dispatcher/state_purchase_view/11398310"/>
    <hyperlink ref="B97" r:id="rId113" display="https://my.zakupki.prom.ua/remote/dispatcher/state_purchase_view/11398245"/>
    <hyperlink ref="B94" r:id="rId114" display="https://my.zakupki.prom.ua/remote/dispatcher/state_purchase_view/11425322"/>
    <hyperlink ref="B95" r:id="rId115" display="https://my.zakupki.prom.ua/remote/dispatcher/state_purchase_view/11398838"/>
    <hyperlink ref="B92" r:id="rId116" display="https://my.zakupki.prom.ua/remote/dispatcher/state_purchase_view/11430745"/>
    <hyperlink ref="B93" r:id="rId117" display="https://my.zakupki.prom.ua/remote/dispatcher/state_purchase_view/11430121"/>
    <hyperlink ref="B90" r:id="rId118" display="https://my.zakupki.prom.ua/remote/dispatcher/state_purchase_view/11568859"/>
    <hyperlink ref="B91" r:id="rId119" display="https://my.zakupki.prom.ua/remote/dispatcher/state_purchase_view/11514839"/>
    <hyperlink ref="B207" r:id="rId120" display="https://my.zakupki.prom.ua/remote/dispatcher/state_purchase_view/5788943"/>
    <hyperlink ref="AQ249" r:id="rId121" display="https://auction.openprocurement.org/tenders/f2fb006771f14c829d2836f855c64418"/>
    <hyperlink ref="B107" r:id="rId122" display="https://my.zakupki.prom.ua/remote/dispatcher/state_purchase_view/11208541"/>
    <hyperlink ref="B106" r:id="rId123" display="https://my.zakupki.prom.ua/remote/dispatcher/state_purchase_view/11208636"/>
    <hyperlink ref="B105" r:id="rId124" display="https://my.zakupki.prom.ua/remote/dispatcher/state_purchase_view/11208735"/>
    <hyperlink ref="B104" r:id="rId125" display="https://my.zakupki.prom.ua/remote/dispatcher/state_purchase_view/11208768"/>
    <hyperlink ref="C79" r:id="rId126" display="https://my.zakupki.prom.ua/remote/dispatcher/state_purchase_lot_view/467963"/>
    <hyperlink ref="C78" r:id="rId127" display="https://my.zakupki.prom.ua/remote/dispatcher/state_purchase_lot_view/467962"/>
    <hyperlink ref="C73" r:id="rId128" display="https://my.zakupki.prom.ua/remote/dispatcher/state_purchase_lot_view/472652"/>
    <hyperlink ref="C72" r:id="rId129" display="https://my.zakupki.prom.ua/remote/dispatcher/state_purchase_lot_view/472651"/>
    <hyperlink ref="C74" r:id="rId130" display="https://my.zakupki.prom.ua/remote/dispatcher/state_purchase_lot_view/472653"/>
    <hyperlink ref="C77" r:id="rId131" display="https://my.zakupki.prom.ua/remote/dispatcher/state_purchase_lot_view/467961"/>
    <hyperlink ref="AQ315" r:id="rId132" display="https://auction.openprocurement.org/tenders/0c9b340aa84a4db3b5e9c7926c4a7420_9fe9c0d175a642f1830b9b9d5642589e"/>
    <hyperlink ref="AQ314" r:id="rId133" display="https://auction.openprocurement.org/tenders/52f72210fbfc45458f65ad1d92c0c852_026e272ed4114c0b96417c2a6c555d96"/>
    <hyperlink ref="AQ311" r:id="rId134" display="https://auction.openprocurement.org/tenders/360fa91edf324d3485339f8b3aba4442_c6d5c162a46640f4952d089d82848075"/>
    <hyperlink ref="AQ310" r:id="rId135" display="https://auction.openprocurement.org/tenders/983da90184024978bba0be0ba9684ae5"/>
    <hyperlink ref="B344" r:id="rId136" display="https://my.zakupki.prom.ua/remote/dispatcher/state_purchase_view/61749"/>
    <hyperlink ref="AQ64" r:id="rId137" display="https://auction.openprocurement.org/tenders/6a1c332c992b480482fc3d0a42f120e7"/>
    <hyperlink ref="AQ67" r:id="rId138" display="https://auction.openprocurement.org/tenders/d6b2ee5e44bc445bb696a01b0ac8dd4c"/>
    <hyperlink ref="B263" r:id="rId139" display="https://my.zakupki.prom.ua/remote/dispatcher/state_purchase_view/2618756"/>
    <hyperlink ref="C274" r:id="rId140" display="https://my.zakupki.prom.ua/remote/dispatcher/state_purchase_lot_view/125898"/>
    <hyperlink ref="C275" r:id="rId141" display="https://my.zakupki.prom.ua/remote/dispatcher/state_purchase_lot_view/125880"/>
    <hyperlink ref="C272" r:id="rId142" display="https://my.zakupki.prom.ua/remote/dispatcher/state_purchase_lot_view/126032"/>
    <hyperlink ref="C273" r:id="rId143" display="https://my.zakupki.prom.ua/remote/dispatcher/state_purchase_lot_view/125904"/>
    <hyperlink ref="C270" r:id="rId144" display="https://my.zakupki.prom.ua/remote/dispatcher/state_purchase_lot_view/172338"/>
    <hyperlink ref="AQ318" r:id="rId145" display="https://auction.openprocurement.org/tenders/404787f02d0743e89c1f6f11ebd13972_b4b6efe4f35446b6b10a88ca5f261f97"/>
    <hyperlink ref="C298" r:id="rId146" display="https://my.zakupki.prom.ua/remote/dispatcher/state_purchase_lot_view/79381"/>
    <hyperlink ref="AQ159" r:id="rId147" display="https://auction.openprocurement.org/tenders/e01bc842e21a4b52a866d6c4ec3a91bd"/>
    <hyperlink ref="AQ158" r:id="rId148" display="https://auction.openprocurement.org/tenders/b7c8994f02c546ca86a66b6f71d57bc3"/>
    <hyperlink ref="AQ199" r:id="rId149" display="https://auction.openprocurement.org/tenders/9b0a294234dc412586fc2084b44ab4ac"/>
    <hyperlink ref="B288" r:id="rId150" display="https://my.zakupki.prom.ua/remote/dispatcher/state_purchase_view/931888"/>
    <hyperlink ref="B289" r:id="rId151" display="https://my.zakupki.prom.ua/remote/dispatcher/state_purchase_view/929448"/>
    <hyperlink ref="B280" r:id="rId152" display="https://my.zakupki.prom.ua/remote/dispatcher/state_purchase_view/976403"/>
    <hyperlink ref="B281" r:id="rId153" display="https://my.zakupki.prom.ua/remote/dispatcher/state_purchase_view/946799"/>
    <hyperlink ref="B282" r:id="rId154" display="https://my.zakupki.prom.ua/remote/dispatcher/state_purchase_view/946767"/>
    <hyperlink ref="B283" r:id="rId155" display="https://my.zakupki.prom.ua/remote/dispatcher/state_purchase_view/946713"/>
    <hyperlink ref="B284" r:id="rId156" display="https://my.zakupki.prom.ua/remote/dispatcher/state_purchase_view/946675"/>
    <hyperlink ref="B285" r:id="rId157" display="https://my.zakupki.prom.ua/remote/dispatcher/state_purchase_view/946585"/>
    <hyperlink ref="B287" r:id="rId158" display="https://my.zakupki.prom.ua/remote/dispatcher/state_purchase_view/946585"/>
    <hyperlink ref="C277" r:id="rId159" display="https://my.zakupki.prom.ua/remote/dispatcher/state_purchase_lot_view/119690"/>
    <hyperlink ref="C286" r:id="rId160" display="https://my.zakupki.prom.ua/remote/dispatcher/state_purchase_lot_view/117134"/>
    <hyperlink ref="C278" r:id="rId161" display="https://my.zakupki.prom.ua/remote/dispatcher/state_purchase_lot_view/119671"/>
    <hyperlink ref="C279" r:id="rId162" display="https://my.zakupki.prom.ua/remote/dispatcher/state_purchase_lot_view/119503"/>
    <hyperlink ref="AQ238" r:id="rId163" display="https://auction.openprocurement.org/tenders/4353f1fe277a45c392e9f88b15c41274"/>
    <hyperlink ref="AQ72" r:id="rId164" display="https://auction.openprocurement.org/tenders/dae38d3baa6544ecac2f0d528e9ac4ea_78b141f5bc2549eda9d36749e765baf6"/>
    <hyperlink ref="B249" r:id="rId165" display="https://my.zakupki.prom.ua/remote/dispatcher/state_purchase_view/3074362"/>
    <hyperlink ref="B244" r:id="rId166" display="https://my.zakupki.prom.ua/remote/dispatcher/state_purchase_view/3449152"/>
    <hyperlink ref="B245" r:id="rId167" display="https://my.zakupki.prom.ua/remote/dispatcher/state_purchase_view/3449099"/>
    <hyperlink ref="B246" r:id="rId168" display="https://my.zakupki.prom.ua/remote/dispatcher/state_purchase_view/3282005"/>
    <hyperlink ref="B247" r:id="rId169" display="https://my.zakupki.prom.ua/remote/dispatcher/state_purchase_view/3180846"/>
    <hyperlink ref="B240" r:id="rId170" display="https://my.zakupki.prom.ua/remote/dispatcher/state_purchase_view/3681295"/>
    <hyperlink ref="B241" r:id="rId171" display="https://my.zakupki.prom.ua/remote/dispatcher/state_purchase_view/3623488"/>
    <hyperlink ref="B242" r:id="rId172" display="https://my.zakupki.prom.ua/remote/dispatcher/state_purchase_view/3456050"/>
    <hyperlink ref="B243" r:id="rId173" display="https://my.zakupki.prom.ua/remote/dispatcher/state_purchase_view/3449377"/>
    <hyperlink ref="B277" r:id="rId174" display="https://my.zakupki.prom.ua/remote/dispatcher/state_purchase_view/978980"/>
    <hyperlink ref="AQ146" r:id="rId175" display="https://auction.openprocurement.org/tenders/2f67b3f7dbbb46dfbb2fbc5196e108e8"/>
    <hyperlink ref="AQ147" r:id="rId176" display="https://auction.openprocurement.org/tenders/bc001dc7823a4da081f5228550fde130"/>
    <hyperlink ref="B279" r:id="rId177" display="https://my.zakupki.prom.ua/remote/dispatcher/state_purchase_view/977079"/>
    <hyperlink ref="B278" r:id="rId178" display="https://my.zakupki.prom.ua/remote/dispatcher/state_purchase_view/978698"/>
    <hyperlink ref="AQ148" r:id="rId179" display="https://auction.openprocurement.org/tenders/2250a545f31d49f482d3f78d83ea5203"/>
    <hyperlink ref="AQ149" r:id="rId180" display="https://auction.openprocurement.org/tenders/66ee023a240d4985bb157c46c84e3e83"/>
    <hyperlink ref="AQ284" r:id="rId181" display="https://auction.openprocurement.org/tenders/bb19526b927146b88e7ed5681952be4c"/>
    <hyperlink ref="B103" r:id="rId182" display="https://my.zakupki.prom.ua/remote/dispatcher/state_purchase_view/11208806"/>
    <hyperlink ref="AQ66" r:id="rId183" display="https://auction.openprocurement.org/tenders/14b863ff7ccc4e7ebb989d74dd0265e2"/>
    <hyperlink ref="AQ60" r:id="rId184" display="https://auction.openprocurement.org/tenders/8e2c5c012f624b6bb15b13b41b673e7c_ff2950befb98499f988d0fccdaf8624d"/>
    <hyperlink ref="AQ68" r:id="rId185" display="https://auction.openprocurement.org/tenders/55f105a1c2b94f8f9492323876261904"/>
    <hyperlink ref="AQ69" r:id="rId186" display="https://auction.openprocurement.org/tenders/7d7f3bf869314823834b894910b11be8"/>
    <hyperlink ref="B268" r:id="rId187" display="https://my.zakupki.prom.ua/remote/dispatcher/state_purchase_view/2203865"/>
    <hyperlink ref="B269" r:id="rId188" display="https://my.zakupki.prom.ua/remote/dispatcher/state_purchase_view/2203842"/>
    <hyperlink ref="B262" r:id="rId189" display="https://my.zakupki.prom.ua/remote/dispatcher/state_purchase_view/2623194"/>
    <hyperlink ref="B260" r:id="rId190" display="https://my.zakupki.prom.ua/remote/dispatcher/state_purchase_view/2735061"/>
    <hyperlink ref="B261" r:id="rId191" display="https://my.zakupki.prom.ua/remote/dispatcher/state_purchase_view/2624379"/>
    <hyperlink ref="B266" r:id="rId192" display="https://my.zakupki.prom.ua/remote/dispatcher/state_purchase_view/2248185"/>
    <hyperlink ref="B267" r:id="rId193" display="https://my.zakupki.prom.ua/remote/dispatcher/state_purchase_view/2204026"/>
    <hyperlink ref="B264" r:id="rId194" display="https://my.zakupki.prom.ua/remote/dispatcher/state_purchase_view/2506269"/>
    <hyperlink ref="B265" r:id="rId195" display="https://my.zakupki.prom.ua/remote/dispatcher/state_purchase_view/2441801"/>
    <hyperlink ref="B166" r:id="rId196" display="https://my.zakupki.prom.ua/remote/dispatcher/state_purchase_view/8169403"/>
    <hyperlink ref="B252" r:id="rId197" display="https://my.zakupki.prom.ua/remote/dispatcher/state_purchase_view/3073361"/>
    <hyperlink ref="B200" r:id="rId198" display="https://my.zakupki.prom.ua/remote/dispatcher/state_purchase_view/5977028"/>
    <hyperlink ref="B202" r:id="rId199" display="https://my.zakupki.prom.ua/remote/dispatcher/state_purchase_view/5975965"/>
    <hyperlink ref="B203" r:id="rId200" display="https://my.zakupki.prom.ua/remote/dispatcher/state_purchase_view/5793456"/>
    <hyperlink ref="B204" r:id="rId201" display="https://my.zakupki.prom.ua/remote/dispatcher/state_purchase_view/5791297"/>
    <hyperlink ref="B206" r:id="rId202" display="https://my.zakupki.prom.ua/remote/dispatcher/state_purchase_view/5789830"/>
    <hyperlink ref="B208" r:id="rId203" display="https://my.zakupki.prom.ua/remote/dispatcher/state_purchase_view/5430577"/>
    <hyperlink ref="B209" r:id="rId204" display="https://my.zakupki.prom.ua/remote/dispatcher/state_purchase_view/5429386"/>
    <hyperlink ref="B125" r:id="rId205" display="https://my.zakupki.prom.ua/remote/dispatcher/state_purchase_view/10868584"/>
    <hyperlink ref="B124" r:id="rId206" display="https://my.zakupki.prom.ua/remote/dispatcher/state_purchase_view/10872882"/>
    <hyperlink ref="B127" r:id="rId207" display="https://my.zakupki.prom.ua/remote/dispatcher/state_purchase_view/10860108"/>
    <hyperlink ref="B126" r:id="rId208" display="https://my.zakupki.prom.ua/remote/dispatcher/state_purchase_view/10860483"/>
    <hyperlink ref="B129" r:id="rId209" display="https://my.zakupki.prom.ua/remote/dispatcher/state_purchase_view/10569807"/>
    <hyperlink ref="B128" r:id="rId210" display="https://my.zakupki.prom.ua/remote/dispatcher/state_purchase_view/10742241"/>
    <hyperlink ref="AQ245" r:id="rId211" display="https://auction.openprocurement.org/tenders/d1cebef0274e43f29a181d42ed96b49a"/>
    <hyperlink ref="AQ246" r:id="rId212" display="https://auction.openprocurement.org/tenders/92cdd8a204754f14be0865b9deb2be0e"/>
    <hyperlink ref="AQ243" r:id="rId213" display="https://auction.openprocurement.org/tenders/7b0b87329fd34ab8859a4a5291fe17dd"/>
    <hyperlink ref="B63" r:id="rId214" display="https://my.zakupki.prom.ua/remote/dispatcher/state_purchase_view/13289908"/>
    <hyperlink ref="B62" r:id="rId215" display="https://my.zakupki.prom.ua/remote/dispatcher/state_purchase_view/13607684"/>
    <hyperlink ref="B61" r:id="rId216" display="https://my.zakupki.prom.ua/remote/dispatcher/state_purchase_view/13607684"/>
    <hyperlink ref="B60" r:id="rId217" display="https://my.zakupki.prom.ua/remote/dispatcher/state_purchase_view/13607684"/>
    <hyperlink ref="B67" r:id="rId218" display="https://my.zakupki.prom.ua/remote/dispatcher/state_purchase_view/13103911"/>
    <hyperlink ref="B66" r:id="rId219" display="https://my.zakupki.prom.ua/remote/dispatcher/state_purchase_view/13117561"/>
    <hyperlink ref="B65" r:id="rId220" display="https://my.zakupki.prom.ua/remote/dispatcher/state_purchase_view/13070352"/>
    <hyperlink ref="B64" r:id="rId221" display="https://my.zakupki.prom.ua/remote/dispatcher/state_purchase_view/13099593"/>
    <hyperlink ref="B69" r:id="rId222" display="https://my.zakupki.prom.ua/remote/dispatcher/state_purchase_view/13070575"/>
    <hyperlink ref="B68" r:id="rId223" display="https://my.zakupki.prom.ua/remote/dispatcher/state_purchase_view/13103172"/>
    <hyperlink ref="A2" r:id="rId224" display="mailto:report.zakupki@prom.ua"/>
    <hyperlink ref="B143" r:id="rId225" display="https://my.zakupki.prom.ua/remote/dispatcher/state_purchase_view/10059685"/>
    <hyperlink ref="B142" r:id="rId226" display="https://my.zakupki.prom.ua/remote/dispatcher/state_purchase_view/10060480"/>
    <hyperlink ref="B141" r:id="rId227" display="https://my.zakupki.prom.ua/remote/dispatcher/state_purchase_view/10270813"/>
    <hyperlink ref="AQ29" r:id="rId228" display="https://auction.openprocurement.org/tenders/b7b453361a2941558bfe9004a93e76f0"/>
    <hyperlink ref="AQ24" r:id="rId229" display="https://auction.openprocurement.org/tenders/7265ca8865d04f61b606d24e240511d3"/>
    <hyperlink ref="AQ26" r:id="rId230" display="https://auction.openprocurement.org/tenders/d07ca72156c54bc2b1f461dd8303ab35"/>
    <hyperlink ref="B333" r:id="rId231" display="https://my.zakupki.prom.ua/remote/dispatcher/state_purchase_view/78441"/>
    <hyperlink ref="C280" r:id="rId232" display="https://my.zakupki.prom.ua/remote/dispatcher/state_purchase_lot_view/119452"/>
    <hyperlink ref="B228" r:id="rId233" display="https://my.zakupki.prom.ua/remote/dispatcher/state_purchase_view/4819861"/>
    <hyperlink ref="B226" r:id="rId234" display="https://my.zakupki.prom.ua/remote/dispatcher/state_purchase_view/4820380"/>
    <hyperlink ref="B227" r:id="rId235" display="https://my.zakupki.prom.ua/remote/dispatcher/state_purchase_view/4819952"/>
    <hyperlink ref="B224" r:id="rId236" display="https://my.zakupki.prom.ua/remote/dispatcher/state_purchase_view/4820654"/>
    <hyperlink ref="B225" r:id="rId237" display="https://my.zakupki.prom.ua/remote/dispatcher/state_purchase_view/4820518"/>
    <hyperlink ref="B222" r:id="rId238" display="https://my.zakupki.prom.ua/remote/dispatcher/state_purchase_view/4820850"/>
    <hyperlink ref="B220" r:id="rId239" display="https://my.zakupki.prom.ua/remote/dispatcher/state_purchase_view/4868388"/>
    <hyperlink ref="B221" r:id="rId240" display="https://my.zakupki.prom.ua/remote/dispatcher/state_purchase_view/4868200"/>
    <hyperlink ref="C295" r:id="rId241" display="https://my.zakupki.prom.ua/remote/dispatcher/state_purchase_lot_view/84692"/>
    <hyperlink ref="C290" r:id="rId242" display="https://my.zakupki.prom.ua/remote/dispatcher/state_purchase_lot_view/114673"/>
    <hyperlink ref="C291" r:id="rId243" display="https://my.zakupki.prom.ua/remote/dispatcher/state_purchase_lot_view/107668"/>
    <hyperlink ref="C293" r:id="rId244" display="https://my.zakupki.prom.ua/remote/dispatcher/state_purchase_lot_view/92314"/>
    <hyperlink ref="C292" r:id="rId245" display="https://my.zakupki.prom.ua/remote/dispatcher/state_purchase_lot_view/106896"/>
    <hyperlink ref="B149" r:id="rId246" display="https://my.zakupki.prom.ua/remote/dispatcher/state_purchase_view/8742592"/>
    <hyperlink ref="B148" r:id="rId247" display="https://my.zakupki.prom.ua/remote/dispatcher/state_purchase_view/8748318"/>
    <hyperlink ref="AQ183" r:id="rId248" display="https://auction.openprocurement.org/tenders/a6e43047103e4734a6d06cef76049691"/>
    <hyperlink ref="B338" r:id="rId249" display="https://my.zakupki.prom.ua/remote/dispatcher/state_purchase_view/57883"/>
    <hyperlink ref="AQ186" r:id="rId250" display="https://auction.openprocurement.org/tenders/293997bcb2e84984a99cca7f0e84bf15"/>
    <hyperlink ref="AQ262" r:id="rId251" display="https://auction.openprocurement.org/tenders/d30079afd4584209be1d45fe37e75da2"/>
    <hyperlink ref="AQ261" r:id="rId252" display="https://auction.openprocurement.org/tenders/a2e227d3e7f74fd2be22408e7045e51d"/>
    <hyperlink ref="AQ266" r:id="rId253" display="https://auction.openprocurement.org/tenders/ecb613fdfaea49409de82943dac8059e"/>
    <hyperlink ref="AQ265" r:id="rId254" display="https://auction.openprocurement.org/tenders/cc549d4fe9f64e7bb7376f73db835c0f"/>
    <hyperlink ref="AQ264" r:id="rId255" display="https://auction.openprocurement.org/tenders/13122324b9144baebec0d031034b5f3d"/>
    <hyperlink ref="B45" r:id="rId256" display="https://my.zakupki.prom.ua/remote/dispatcher/state_purchase_view/14924287"/>
    <hyperlink ref="B44" r:id="rId257" display="https://my.zakupki.prom.ua/remote/dispatcher/state_purchase_view/14930779"/>
    <hyperlink ref="B47" r:id="rId258" display="https://my.zakupki.prom.ua/remote/dispatcher/state_purchase_view/14894862"/>
    <hyperlink ref="B46" r:id="rId259" display="https://my.zakupki.prom.ua/remote/dispatcher/state_purchase_view/14922285"/>
    <hyperlink ref="B41" r:id="rId260" display="https://my.zakupki.prom.ua/remote/dispatcher/state_purchase_view/15025981"/>
    <hyperlink ref="B40" r:id="rId261" display="https://my.zakupki.prom.ua/remote/dispatcher/state_purchase_view/15055242"/>
    <hyperlink ref="B43" r:id="rId262" display="https://my.zakupki.prom.ua/remote/dispatcher/state_purchase_view/14933168"/>
    <hyperlink ref="B42" r:id="rId263" display="https://my.zakupki.prom.ua/remote/dispatcher/state_purchase_view/14976731"/>
    <hyperlink ref="B49" r:id="rId264" display="https://my.zakupki.prom.ua/remote/dispatcher/state_purchase_view/14835921"/>
    <hyperlink ref="B48" r:id="rId265" display="https://my.zakupki.prom.ua/remote/dispatcher/state_purchase_view/14887177"/>
    <hyperlink ref="AQ185" r:id="rId266" display="https://auction.openprocurement.org/tenders/35181c4315114910ba62ffbc27277553"/>
    <hyperlink ref="C319" r:id="rId267" display="https://my.zakupki.prom.ua/remote/dispatcher/state_purchase_lot_view/21944"/>
    <hyperlink ref="C311" r:id="rId268" display="https://my.zakupki.prom.ua/remote/dispatcher/state_purchase_lot_view/54321"/>
    <hyperlink ref="C313" r:id="rId269" display="https://my.zakupki.prom.ua/remote/dispatcher/state_purchase_lot_view/48822"/>
    <hyperlink ref="C312" r:id="rId270" display="https://my.zakupki.prom.ua/remote/dispatcher/state_purchase_lot_view/52395"/>
    <hyperlink ref="C315" r:id="rId271" display="https://my.zakupki.prom.ua/remote/dispatcher/state_purchase_lot_view/47001"/>
    <hyperlink ref="C317" r:id="rId272" display="https://my.zakupki.prom.ua/remote/dispatcher/state_purchase_lot_view/30938"/>
    <hyperlink ref="C316" r:id="rId273" display="https://my.zakupki.prom.ua/remote/dispatcher/state_purchase_lot_view/45221"/>
    <hyperlink ref="AQ125" r:id="rId274" display="https://auction.openprocurement.org/tenders/75fe315ad0374ff69b276eeae0197fd9"/>
    <hyperlink ref="C82" r:id="rId275" display="https://my.zakupki.prom.ua/remote/dispatcher/state_purchase_lot_view/466937"/>
    <hyperlink ref="C83" r:id="rId276" display="https://my.zakupki.prom.ua/remote/dispatcher/state_purchase_lot_view/466938"/>
    <hyperlink ref="C85" r:id="rId277" display="https://my.zakupki.prom.ua/remote/dispatcher/state_purchase_lot_view/464412"/>
    <hyperlink ref="C86" r:id="rId278" display="https://my.zakupki.prom.ua/remote/dispatcher/state_purchase_lot_view/464413"/>
    <hyperlink ref="C87" r:id="rId279" display="https://my.zakupki.prom.ua/remote/dispatcher/state_purchase_lot_view/464414"/>
    <hyperlink ref="B6" r:id="rId280" display="https://my.zakupki.prom.ua/remote/dispatcher/state_purchase_view/15789527"/>
    <hyperlink ref="B7" r:id="rId281" display="https://my.zakupki.prom.ua/remote/dispatcher/state_purchase_view/15753767"/>
    <hyperlink ref="B8" r:id="rId282" display="https://my.zakupki.prom.ua/remote/dispatcher/state_purchase_view/15737833"/>
    <hyperlink ref="B9" r:id="rId283" display="https://my.zakupki.prom.ua/remote/dispatcher/state_purchase_view/15721499"/>
    <hyperlink ref="B165" r:id="rId284" display="https://my.zakupki.prom.ua/remote/dispatcher/state_purchase_view/8226044"/>
    <hyperlink ref="B164" r:id="rId285" display="https://my.zakupki.prom.ua/remote/dispatcher/state_purchase_view/8226314"/>
    <hyperlink ref="B163" r:id="rId286" display="https://my.zakupki.prom.ua/remote/dispatcher/state_purchase_view/8266435"/>
    <hyperlink ref="B162" r:id="rId287" display="https://my.zakupki.prom.ua/remote/dispatcher/state_purchase_view/8267914"/>
    <hyperlink ref="AQ209" r:id="rId288" display="https://auction.openprocurement.org/tenders/ca51b9f7113243fc82cc9d4d7e49e8cb"/>
    <hyperlink ref="C326" r:id="rId289" display="https://my.zakupki.prom.ua/remote/dispatcher/state_purchase_lot_view/10897"/>
    <hyperlink ref="B29" r:id="rId290" display="https://my.zakupki.prom.ua/remote/dispatcher/state_purchase_view/15240285"/>
    <hyperlink ref="B28" r:id="rId291" display="https://my.zakupki.prom.ua/remote/dispatcher/state_purchase_view/15250782"/>
    <hyperlink ref="B27" r:id="rId292" display="https://my.zakupki.prom.ua/remote/dispatcher/state_purchase_view/15269580"/>
    <hyperlink ref="B26" r:id="rId293" display="https://my.zakupki.prom.ua/remote/dispatcher/state_purchase_view/15303230"/>
    <hyperlink ref="B25" r:id="rId294" display="https://my.zakupki.prom.ua/remote/dispatcher/state_purchase_view/15370773"/>
    <hyperlink ref="B24" r:id="rId295" display="https://my.zakupki.prom.ua/remote/dispatcher/state_purchase_view/15401490"/>
    <hyperlink ref="B23" r:id="rId296" display="https://my.zakupki.prom.ua/remote/dispatcher/state_purchase_view/15448928"/>
    <hyperlink ref="B22" r:id="rId297" display="https://my.zakupki.prom.ua/remote/dispatcher/state_purchase_view/15448928"/>
    <hyperlink ref="B21" r:id="rId298" display="https://my.zakupki.prom.ua/remote/dispatcher/state_purchase_view/15463855"/>
    <hyperlink ref="B20" r:id="rId299" display="https://my.zakupki.prom.ua/remote/dispatcher/state_purchase_view/15477337"/>
    <hyperlink ref="B259" r:id="rId300" display="https://my.zakupki.prom.ua/remote/dispatcher/state_purchase_view/2811389"/>
    <hyperlink ref="B332" r:id="rId301" display="https://my.zakupki.prom.ua/remote/dispatcher/state_purchase_view/78456"/>
    <hyperlink ref="B316" r:id="rId302" display="https://my.zakupki.prom.ua/remote/dispatcher/state_purchase_view/209071"/>
    <hyperlink ref="AQ191" r:id="rId303" display="https://auction.openprocurement.org/tenders/4b153218552a40b480f65b66126caf88"/>
    <hyperlink ref="AQ190" r:id="rId304" display="https://auction.openprocurement.org/tenders/8b3e73d32ce54944b9343706b4faa4c8"/>
    <hyperlink ref="B237" r:id="rId305" display="https://my.zakupki.prom.ua/remote/dispatcher/state_purchase_view/4020909"/>
    <hyperlink ref="B109" r:id="rId306" display="https://my.zakupki.prom.ua/remote/dispatcher/state_purchase_view/11086070"/>
    <hyperlink ref="B108" r:id="rId307" display="https://my.zakupki.prom.ua/remote/dispatcher/state_purchase_view/11208458"/>
    <hyperlink ref="B102" r:id="rId308" display="https://my.zakupki.prom.ua/remote/dispatcher/state_purchase_view/11208816"/>
    <hyperlink ref="B101" r:id="rId309" display="https://my.zakupki.prom.ua/remote/dispatcher/state_purchase_view/11208881"/>
    <hyperlink ref="B100" r:id="rId310" display="https://my.zakupki.prom.ua/remote/dispatcher/state_purchase_view/11397072"/>
    <hyperlink ref="AQ227" r:id="rId311" display="https://auction.openprocurement.org/tenders/47842d0e22d94c05bf3e9f613653fb04"/>
    <hyperlink ref="AQ226" r:id="rId312" display="https://auction.openprocurement.org/tenders/2aadec66771b4d4f8a7c2de4cbc1ee4f"/>
    <hyperlink ref="AQ225" r:id="rId313" display="https://auction.openprocurement.org/tenders/930df0465f9e4e06bbb7c918bf09b926"/>
    <hyperlink ref="AQ224" r:id="rId314" display="https://auction.openprocurement.org/tenders/c43300e3bd4f40d9a8ebf763d2c65d05"/>
    <hyperlink ref="AQ223" r:id="rId315" display="https://auction.openprocurement.org/tenders/4b94d926ae8c4bd9aa167f6708c0f0a9"/>
    <hyperlink ref="AQ55" r:id="rId316" display="https://auction.openprocurement.org/tenders/6afc374e63c54f17b6ec5de96c2378f3"/>
    <hyperlink ref="AQ54" r:id="rId317" display="https://auction.openprocurement.org/tenders/479319b3136b4cbcbc18d34948506245"/>
    <hyperlink ref="AQ52" r:id="rId318" display="https://auction.openprocurement.org/tenders/6b8d37832b8947aeaf49414ff3b840ce"/>
    <hyperlink ref="AQ233" r:id="rId319" display="https://auction.openprocurement.org/tenders/4ba8cfc79b1047bda9227e315d9693ec"/>
    <hyperlink ref="AQ144" r:id="rId320" display="https://auction.openprocurement.org/tenders/3b9c8220628d45d4b91c61a971663376"/>
    <hyperlink ref="AQ143" r:id="rId321" display="https://auction.openprocurement.org/tenders/4f66f4a2e2bf4a8699847f20d72007b9"/>
    <hyperlink ref="AQ140" r:id="rId322" display="https://auction.openprocurement.org/tenders/ecb0bb06ab954cc5b7a6df5b27ee96c1"/>
    <hyperlink ref="AQ141" r:id="rId323" display="https://auction.openprocurement.org/tenders/d9425382293d46b9b3bbb370f2a84158"/>
    <hyperlink ref="AQ235" r:id="rId324" display="https://auction.openprocurement.org/tenders/578f99508d754514b7905855a18cf9fe"/>
    <hyperlink ref="C276" r:id="rId325" display="https://my.zakupki.prom.ua/remote/dispatcher/state_purchase_lot_view/121367"/>
    <hyperlink ref="AQ169" r:id="rId326" display="https://auction.openprocurement.org/tenders/4e2253bf4df041a8ba21b43b393a29dd"/>
    <hyperlink ref="B341" r:id="rId327" display="https://my.zakupki.prom.ua/remote/dispatcher/state_purchase_view/36636"/>
    <hyperlink ref="B340" r:id="rId328" display="https://my.zakupki.prom.ua/remote/dispatcher/state_purchase_view/52043"/>
    <hyperlink ref="B343" r:id="rId329" display="https://my.zakupki.prom.ua/remote/dispatcher/state_purchase_view/52264"/>
    <hyperlink ref="B342" r:id="rId330" display="https://my.zakupki.prom.ua/remote/dispatcher/state_purchase_view/38548"/>
    <hyperlink ref="B121" r:id="rId331" display="https://my.zakupki.prom.ua/remote/dispatcher/state_purchase_view/10873041"/>
    <hyperlink ref="B120" r:id="rId332" display="https://my.zakupki.prom.ua/remote/dispatcher/state_purchase_view/10873055"/>
    <hyperlink ref="B123" r:id="rId333" display="https://my.zakupki.prom.ua/remote/dispatcher/state_purchase_view/10873011"/>
    <hyperlink ref="B122" r:id="rId334" display="https://my.zakupki.prom.ua/remote/dispatcher/state_purchase_view/10873020"/>
    <hyperlink ref="B272" r:id="rId335" display="https://my.zakupki.prom.ua/remote/dispatcher/state_purchase_view/1068658"/>
    <hyperlink ref="AQ313" r:id="rId336" display="https://auction.openprocurement.org/tenders/c19637d4b1a44efaadc9a2eddc912b09_e49c665f3b0f4039ac111c7d7bfb9814"/>
    <hyperlink ref="B324" r:id="rId337" display="https://my.zakupki.prom.ua/remote/dispatcher/state_purchase_view/106996"/>
    <hyperlink ref="AQ244" r:id="rId338" display="https://auction.openprocurement.org/tenders/279b38c3af5d47249f59a186cfb90656"/>
    <hyperlink ref="AQ165" r:id="rId339" display="https://auction.openprocurement.org/tenders/b57facda1011409583443adf03c6ecc6"/>
    <hyperlink ref="AQ166" r:id="rId340" display="https://auction.openprocurement.org/tenders/df47ae28069c40eebfafb0ef0bc42b7e"/>
    <hyperlink ref="AQ167" r:id="rId341" display="https://auction.openprocurement.org/tenders/0c9b16f047384c059c0c39f68878551a"/>
    <hyperlink ref="AQ160" r:id="rId342" display="https://auction.openprocurement.org/tenders/ccfa41f6442c4f50b0ddfc359aa4631c"/>
    <hyperlink ref="AQ162" r:id="rId343" display="https://auction.openprocurement.org/tenders/b75de4399f2d4145882de91dbfa57689"/>
    <hyperlink ref="B286" r:id="rId344" display="https://my.zakupki.prom.ua/remote/dispatcher/state_purchase_view/946585"/>
    <hyperlink ref="B296" r:id="rId345" display="https://my.zakupki.prom.ua/remote/dispatcher/state_purchase_view/616777"/>
    <hyperlink ref="B294" r:id="rId346" display="https://my.zakupki.prom.ua/remote/dispatcher/state_purchase_view/703933"/>
    <hyperlink ref="AQ88" r:id="rId347" display="https://auction.openprocurement.org/tenders/25ba20ccdd344497ad28b963fee6d68e"/>
    <hyperlink ref="AQ89" r:id="rId348" display="https://auction.openprocurement.org/tenders/36b3c328467641cc9a28c391f1a53d9a"/>
    <hyperlink ref="AQ82" r:id="rId349" display="https://auction.openprocurement.org/tenders/498f75cfc05c48fe8b92e2ea132292f4_58c15e6f6edb400a9ab5f2bd5b913ac1"/>
    <hyperlink ref="AQ80" r:id="rId350" display="https://auction.openprocurement.org/tenders/72850217021640339d3a49391cdd402b"/>
    <hyperlink ref="AQ81" r:id="rId351" display="https://auction.openprocurement.org/tenders/2be5829bacc24d96b27cab57730c28c2"/>
    <hyperlink ref="AQ334" r:id="rId352" display="https://auction.openprocurement.org/tenders/c037fe5eef534de9ba36f46775757495"/>
    <hyperlink ref="AQ102" r:id="rId353" display="https://auction.openprocurement.org/tenders/09bb733a01774f79a1aa0dea0a40d5fa"/>
    <hyperlink ref="B323" r:id="rId354" display="https://my.zakupki.prom.ua/remote/dispatcher/state_purchase_view/135004"/>
    <hyperlink ref="B322" r:id="rId355" display="https://my.zakupki.prom.ua/remote/dispatcher/state_purchase_view/135139"/>
    <hyperlink ref="B321" r:id="rId356" display="https://my.zakupki.prom.ua/remote/dispatcher/state_purchase_view/143840"/>
    <hyperlink ref="C268" r:id="rId357" display="https://my.zakupki.prom.ua/remote/dispatcher/state_purchase_lot_view/172794"/>
    <hyperlink ref="B320" r:id="rId358" display="https://my.zakupki.prom.ua/remote/dispatcher/state_purchase_view/143963"/>
    <hyperlink ref="B327" r:id="rId359" display="https://my.zakupki.prom.ua/remote/dispatcher/state_purchase_view/93081"/>
    <hyperlink ref="B326" r:id="rId360" display="https://my.zakupki.prom.ua/remote/dispatcher/state_purchase_view/106954"/>
    <hyperlink ref="B329" r:id="rId361" display="https://my.zakupki.prom.ua/remote/dispatcher/state_purchase_view/87919"/>
    <hyperlink ref="B328" r:id="rId362" display="https://my.zakupki.prom.ua/remote/dispatcher/state_purchase_view/90784"/>
    <hyperlink ref="AQ180" r:id="rId363" display="https://auction.openprocurement.org/tenders/631f4d15131e4d87b6e9585d5a724bdd"/>
    <hyperlink ref="AQ181" r:id="rId364" display="https://auction.openprocurement.org/tenders/406f360d5b794f5f8bcd2b5772086cbe"/>
    <hyperlink ref="C285" r:id="rId365" display="https://my.zakupki.prom.ua/remote/dispatcher/state_purchase_lot_view/117133"/>
    <hyperlink ref="B309" r:id="rId366" display="https://my.zakupki.prom.ua/remote/dispatcher/state_purchase_view/249600"/>
    <hyperlink ref="B308" r:id="rId367" display="https://my.zakupki.prom.ua/remote/dispatcher/state_purchase_view/271108"/>
    <hyperlink ref="B301" r:id="rId368" display="https://my.zakupki.prom.ua/remote/dispatcher/state_purchase_view/480578"/>
    <hyperlink ref="B303" r:id="rId369" display="https://my.zakupki.prom.ua/remote/dispatcher/state_purchase_view/479698"/>
    <hyperlink ref="B305" r:id="rId370" display="https://my.zakupki.prom.ua/remote/dispatcher/state_purchase_view/479348"/>
    <hyperlink ref="B304" r:id="rId371" display="https://my.zakupki.prom.ua/remote/dispatcher/state_purchase_view/479480"/>
    <hyperlink ref="B307" r:id="rId372" display="https://my.zakupki.prom.ua/remote/dispatcher/state_purchase_view/286278"/>
    <hyperlink ref="C22" r:id="rId373" display="https://my.zakupki.prom.ua/remote/dispatcher/state_purchase_lot_view/520296"/>
    <hyperlink ref="C23" r:id="rId374" display="https://my.zakupki.prom.ua/remote/dispatcher/state_purchase_lot_view/520297"/>
    <hyperlink ref="AQ341" r:id="rId375" display="https://auction.openprocurement.org/tenders/6b4e510eff264cbab79acc1638352204"/>
    <hyperlink ref="AQ342" r:id="rId376" display="https://auction.openprocurement.org/tenders/ba552f0647a14159b0a9347b363c6065"/>
    <hyperlink ref="AQ343" r:id="rId377" display="https://auction.openprocurement.org/tenders/682f58c5f9eb4f61ac97cdf0d61651a1"/>
    <hyperlink ref="B229" r:id="rId378" display="https://my.zakupki.prom.ua/remote/dispatcher/state_purchase_view/4819744"/>
    <hyperlink ref="B223" r:id="rId379" display="https://my.zakupki.prom.ua/remote/dispatcher/state_purchase_view/4820797"/>
    <hyperlink ref="B155" r:id="rId380" display="https://my.zakupki.prom.ua/remote/dispatcher/state_purchase_view/8433432"/>
    <hyperlink ref="B159" r:id="rId381" display="https://my.zakupki.prom.ua/remote/dispatcher/state_purchase_view/8433053"/>
    <hyperlink ref="B183" r:id="rId382" display="https://my.zakupki.prom.ua/remote/dispatcher/state_purchase_view/7049136"/>
    <hyperlink ref="B182" r:id="rId383" display="https://my.zakupki.prom.ua/remote/dispatcher/state_purchase_view/7308971"/>
    <hyperlink ref="B181" r:id="rId384" display="https://my.zakupki.prom.ua/remote/dispatcher/state_purchase_view/7309032"/>
    <hyperlink ref="B187" r:id="rId385" display="https://my.zakupki.prom.ua/remote/dispatcher/state_purchase_view/6776563"/>
    <hyperlink ref="B185" r:id="rId386" display="https://my.zakupki.prom.ua/remote/dispatcher/state_purchase_view/6947194"/>
    <hyperlink ref="B184" r:id="rId387" display="https://my.zakupki.prom.ua/remote/dispatcher/state_purchase_view/6947364"/>
    <hyperlink ref="B189" r:id="rId388" display="https://my.zakupki.prom.ua/remote/dispatcher/state_purchase_view/6742729"/>
    <hyperlink ref="B89" r:id="rId389" display="https://my.zakupki.prom.ua/remote/dispatcher/state_purchase_view/11833307"/>
    <hyperlink ref="B88" r:id="rId390" display="https://my.zakupki.prom.ua/remote/dispatcher/state_purchase_view/12057254"/>
    <hyperlink ref="B81" r:id="rId391" display="https://my.zakupki.prom.ua/remote/dispatcher/state_purchase_view/12477955"/>
    <hyperlink ref="B80" r:id="rId392" display="https://my.zakupki.prom.ua/remote/dispatcher/state_purchase_view/12481026"/>
    <hyperlink ref="B83" r:id="rId393" display="https://my.zakupki.prom.ua/remote/dispatcher/state_purchase_view/12453926"/>
    <hyperlink ref="B82" r:id="rId394" display="https://my.zakupki.prom.ua/remote/dispatcher/state_purchase_view/12453926"/>
    <hyperlink ref="B85" r:id="rId395" display="https://my.zakupki.prom.ua/remote/dispatcher/state_purchase_view/12316160"/>
    <hyperlink ref="B84" r:id="rId396" display="https://my.zakupki.prom.ua/remote/dispatcher/state_purchase_view/12369990"/>
    <hyperlink ref="B87" r:id="rId397" display="https://my.zakupki.prom.ua/remote/dispatcher/state_purchase_view/12316160"/>
    <hyperlink ref="B86" r:id="rId398" display="https://my.zakupki.prom.ua/remote/dispatcher/state_purchase_view/12316160"/>
    <hyperlink ref="AQ228" r:id="rId399" display="https://auction.openprocurement.org/tenders/7bd84e498553487899e994ce8021e6ba"/>
    <hyperlink ref="B325" r:id="rId400" display="https://my.zakupki.prom.ua/remote/dispatcher/state_purchase_view/106991"/>
    <hyperlink ref="AQ250" r:id="rId401" display="https://auction.openprocurement.org/tenders/4273481e9e5c450b81c82b43980ddb0c"/>
    <hyperlink ref="AQ251" r:id="rId402" display="https://auction.openprocurement.org/tenders/34ba243f38ef47b8a54793fa5df18995"/>
    <hyperlink ref="AQ322" r:id="rId403" display="https://auction.openprocurement.org/tenders/12b10b013a0b4e6a846cd5bcf281fb41_b150a92f05494e32abe05b9dcd8eb285"/>
    <hyperlink ref="AQ320" r:id="rId404" display="https://auction.openprocurement.org/tenders/78424c67d03d4139bd7c4a2dfe735e73_61cd148aaf6e41f39ef42399e1d87065"/>
    <hyperlink ref="AQ326" r:id="rId405" display="https://auction.openprocurement.org/tenders/68098726a8034c03b6e47ef7168bb9af_1a9de84cf5a4480b81940109c1f5eeca"/>
    <hyperlink ref="AQ327" r:id="rId406" display="https://auction.openprocurement.org/tenders/25ff2ce0cc67416e8dc0b0e0dfb747b4_922ef3ee4b884365bf09d885f93fe6e4"/>
    <hyperlink ref="AQ324" r:id="rId407" display="https://auction.openprocurement.org/tenders/6c7537302dde4d0bbae71fd10813ee0b_521234e56ca24c2291ef5f18abc130d1"/>
    <hyperlink ref="AQ257" r:id="rId408" display="https://auction.openprocurement.org/tenders/f77a4d32c79b4ef1a36c5c60ce332f63"/>
    <hyperlink ref="C62" r:id="rId409" display="https://my.zakupki.prom.ua/remote/dispatcher/state_purchase_lot_view/485039"/>
    <hyperlink ref="C60" r:id="rId410" display="https://my.zakupki.prom.ua/remote/dispatcher/state_purchase_lot_view/485037"/>
    <hyperlink ref="C61" r:id="rId411" display="https://my.zakupki.prom.ua/remote/dispatcher/state_purchase_lot_view/485038"/>
    <hyperlink ref="C287" r:id="rId412" display="https://my.zakupki.prom.ua/remote/dispatcher/state_purchase_lot_view/117135"/>
    <hyperlink ref="AQ308" r:id="rId413" display="https://auction.openprocurement.org/tenders/53917592d91446798698e58f6affb02f_a5ee47867c2d4820a7496313c4aaf838"/>
    <hyperlink ref="AQ300" r:id="rId414" display="https://auction.openprocurement.org/tenders/c7495dd648e9461ba58ca432187e0510"/>
    <hyperlink ref="AQ304" r:id="rId415" display="https://auction.openprocurement.org/tenders/9a9a9791717d4befbfd8a7f96ae738ab"/>
    <hyperlink ref="AQ305" r:id="rId416" display="https://auction.openprocurement.org/tenders/3129998437d84d7d8e26832a3757d9be_85ea80d4a9394f1f952c55ca61d179a6"/>
    <hyperlink ref="B312" r:id="rId417" display="https://my.zakupki.prom.ua/remote/dispatcher/state_purchase_view/229112"/>
    <hyperlink ref="B313" r:id="rId418" display="https://my.zakupki.prom.ua/remote/dispatcher/state_purchase_view/218061"/>
    <hyperlink ref="B311" r:id="rId419" display="https://my.zakupki.prom.ua/remote/dispatcher/state_purchase_view/237730"/>
    <hyperlink ref="B147" r:id="rId420" display="https://my.zakupki.prom.ua/remote/dispatcher/state_purchase_view/8769661"/>
    <hyperlink ref="B146" r:id="rId421" display="https://my.zakupki.prom.ua/remote/dispatcher/state_purchase_view/8848933"/>
    <hyperlink ref="B145" r:id="rId422" display="https://my.zakupki.prom.ua/remote/dispatcher/state_purchase_view/8849481"/>
    <hyperlink ref="B144" r:id="rId423" display="https://my.zakupki.prom.ua/remote/dispatcher/state_purchase_view/10058578"/>
    <hyperlink ref="B140" r:id="rId424" display="https://my.zakupki.prom.ua/remote/dispatcher/state_purchase_view/10325258"/>
    <hyperlink ref="B299" r:id="rId425" display="https://my.zakupki.prom.ua/remote/dispatcher/state_purchase_view/506431"/>
    <hyperlink ref="B298" r:id="rId426" display="https://my.zakupki.prom.ua/remote/dispatcher/state_purchase_view/551638"/>
    <hyperlink ref="B293" r:id="rId427" display="https://my.zakupki.prom.ua/remote/dispatcher/state_purchase_view/725799"/>
    <hyperlink ref="B292" r:id="rId428" display="https://my.zakupki.prom.ua/remote/dispatcher/state_purchase_view/800926"/>
    <hyperlink ref="B291" r:id="rId429" display="https://my.zakupki.prom.ua/remote/dispatcher/state_purchase_view/814942"/>
    <hyperlink ref="B290" r:id="rId430" display="https://my.zakupki.prom.ua/remote/dispatcher/state_purchase_view/913724"/>
    <hyperlink ref="B297" r:id="rId431" display="https://my.zakupki.prom.ua/remote/dispatcher/state_purchase_view/581039"/>
    <hyperlink ref="B295" r:id="rId432" display="https://my.zakupki.prom.ua/remote/dispatcher/state_purchase_view/629018"/>
    <hyperlink ref="B339" r:id="rId433" display="https://my.zakupki.prom.ua/remote/dispatcher/state_purchase_view/47062"/>
    <hyperlink ref="AQ268" r:id="rId434" display="https://auction.openprocurement.org/tenders/3b354ffcdbf3457e86e4775e0b4de207_93d67a216c094ed0b04f6b3ba0ad2acd"/>
    <hyperlink ref="C237" r:id="rId435" display="https://my.zakupki.prom.ua/remote/dispatcher/state_purchase_lot_view/251364"/>
    <hyperlink ref="C318" r:id="rId436" display="https://my.zakupki.prom.ua/remote/dispatcher/state_purchase_lot_view/28481"/>
    <hyperlink ref="C314" r:id="rId437" display="https://my.zakupki.prom.ua/remote/dispatcher/state_purchase_lot_view/47228"/>
    <hyperlink ref="B302" r:id="rId438" display="https://my.zakupki.prom.ua/remote/dispatcher/state_purchase_view/480453"/>
    <hyperlink ref="B258" r:id="rId439" display="https://my.zakupki.prom.ua/remote/dispatcher/state_purchase_view/2818611"/>
    <hyperlink ref="B257" r:id="rId440" display="https://my.zakupki.prom.ua/remote/dispatcher/state_purchase_view/2824084"/>
    <hyperlink ref="B256" r:id="rId441" display="https://my.zakupki.prom.ua/remote/dispatcher/state_purchase_view/2831988"/>
    <hyperlink ref="B255" r:id="rId442" display="https://my.zakupki.prom.ua/remote/dispatcher/state_purchase_view/2888181"/>
    <hyperlink ref="B254" r:id="rId443" display="https://my.zakupki.prom.ua/remote/dispatcher/state_purchase_view/2900877"/>
    <hyperlink ref="B253" r:id="rId444" display="https://my.zakupki.prom.ua/remote/dispatcher/state_purchase_view/3073041"/>
    <hyperlink ref="B251" r:id="rId445" display="https://my.zakupki.prom.ua/remote/dispatcher/state_purchase_view/3074218"/>
    <hyperlink ref="B250" r:id="rId446" display="https://my.zakupki.prom.ua/remote/dispatcher/state_purchase_view/3074235"/>
    <hyperlink ref="AQ299" r:id="rId447" display="https://auction.openprocurement.org/tenders/36f354c4391b4937b1a52ad222e3b4f7"/>
    <hyperlink ref="AQ290" r:id="rId448" display="https://auction.openprocurement.org/tenders/924aa8b3e4e642c3a034d89f5d7f72dc_075635c1491241e495e9b7f986bc3502"/>
    <hyperlink ref="AQ294" r:id="rId449" display="https://auction.openprocurement.org/tenders/9e2059ca155d400a96e199dc121e538b"/>
    <hyperlink ref="AQ295" r:id="rId450" display="https://auction.openprocurement.org/tenders/1193f67de7094ba3913951f03d58502f_ed18780b4ff8499ebde285c5375f1cc6"/>
    <hyperlink ref="B172" r:id="rId451" display="https://my.zakupki.prom.ua/remote/dispatcher/state_purchase_view/7759608"/>
    <hyperlink ref="B173" r:id="rId452" display="https://my.zakupki.prom.ua/remote/dispatcher/state_purchase_view/7736448"/>
    <hyperlink ref="B170" r:id="rId453" display="https://my.zakupki.prom.ua/remote/dispatcher/state_purchase_view/7862970"/>
    <hyperlink ref="B171" r:id="rId454" display="https://my.zakupki.prom.ua/remote/dispatcher/state_purchase_view/7796439"/>
    <hyperlink ref="B176" r:id="rId455" display="https://my.zakupki.prom.ua/remote/dispatcher/state_purchase_view/7395949"/>
    <hyperlink ref="B179" r:id="rId456" display="https://my.zakupki.prom.ua/remote/dispatcher/state_purchase_view/7309101"/>
    <hyperlink ref="AQ76" r:id="rId457" display="https://auction.openprocurement.org/tenders/668f3e711e9140ed8b7ffe9ba6b5a3a1"/>
    <hyperlink ref="AQ73" r:id="rId458" display="https://auction.openprocurement.org/tenders/dae38d3baa6544ecac2f0d528e9ac4ea_ebb310a712294d7b8da3e02e15b36fb9"/>
    <hyperlink ref="B275" r:id="rId459" display="https://my.zakupki.prom.ua/remote/dispatcher/state_purchase_view/1067216"/>
    <hyperlink ref="B274" r:id="rId460" display="https://my.zakupki.prom.ua/remote/dispatcher/state_purchase_view/1067291"/>
    <hyperlink ref="B276" r:id="rId461" display="https://my.zakupki.prom.ua/remote/dispatcher/state_purchase_view/1003919"/>
    <hyperlink ref="B271" r:id="rId462" display="https://my.zakupki.prom.ua/remote/dispatcher/state_purchase_view/1187380"/>
    <hyperlink ref="B273" r:id="rId463" display="https://my.zakupki.prom.ua/remote/dispatcher/state_purchase_view/1067375"/>
    <hyperlink ref="AQ273" r:id="rId464" display="https://auction.openprocurement.org/tenders/756713b458b7407abc1e347c76725ac0_e57069df38234386ab64429161b5d931"/>
    <hyperlink ref="C320" r:id="rId465" display="https://my.zakupki.prom.ua/remote/dispatcher/state_purchase_lot_view/21768"/>
    <hyperlink ref="C321" r:id="rId466" display="https://my.zakupki.prom.ua/remote/dispatcher/state_purchase_lot_view/21711"/>
    <hyperlink ref="C322" r:id="rId467" display="https://my.zakupki.prom.ua/remote/dispatcher/state_purchase_lot_view/18519"/>
    <hyperlink ref="C323" r:id="rId468" display="https://my.zakupki.prom.ua/remote/dispatcher/state_purchase_lot_view/18477"/>
    <hyperlink ref="C324" r:id="rId469" display="https://my.zakupki.prom.ua/remote/dispatcher/state_purchase_lot_view/10923"/>
    <hyperlink ref="C325" r:id="rId470" display="https://my.zakupki.prom.ua/remote/dispatcher/state_purchase_lot_view/10915"/>
    <hyperlink ref="C327" r:id="rId471" display="https://my.zakupki.prom.ua/remote/dispatcher/state_purchase_lot_view/5404"/>
    <hyperlink ref="C328" r:id="rId472" display="https://my.zakupki.prom.ua/remote/dispatcher/state_purchase_lot_view/3817"/>
    <hyperlink ref="C329" r:id="rId473" display="https://my.zakupki.prom.ua/remote/dispatcher/state_purchase_lot_view/1236"/>
    <hyperlink ref="B174" r:id="rId474" display="https://my.zakupki.prom.ua/remote/dispatcher/state_purchase_view/7644550"/>
    <hyperlink ref="AQ59" r:id="rId475" display="https://auction.openprocurement.org/tenders/62b220f371384384a6c7352a857d5b02"/>
    <hyperlink ref="AQ58" r:id="rId476" display="https://auction.openprocurement.org/tenders/f591e20d2b0a4e7d86374ef498aeca70"/>
    <hyperlink ref="B213" r:id="rId477" display="https://my.zakupki.prom.ua/remote/dispatcher/state_purchase_view/5428173"/>
    <hyperlink ref="B212" r:id="rId478" display="https://my.zakupki.prom.ua/remote/dispatcher/state_purchase_view/5428291"/>
    <hyperlink ref="B211" r:id="rId479" display="https://my.zakupki.prom.ua/remote/dispatcher/state_purchase_view/5428738"/>
    <hyperlink ref="B210" r:id="rId480" display="https://my.zakupki.prom.ua/remote/dispatcher/state_purchase_view/5429188"/>
    <hyperlink ref="B217" r:id="rId481" display="https://my.zakupki.prom.ua/remote/dispatcher/state_purchase_view/4927599"/>
    <hyperlink ref="B216" r:id="rId482" display="https://my.zakupki.prom.ua/remote/dispatcher/state_purchase_view/4929129"/>
    <hyperlink ref="B215" r:id="rId483" display="https://my.zakupki.prom.ua/remote/dispatcher/state_purchase_view/4932392"/>
    <hyperlink ref="B214" r:id="rId484" display="https://my.zakupki.prom.ua/remote/dispatcher/state_purchase_view/5428048"/>
    <hyperlink ref="B219" r:id="rId485" display="https://my.zakupki.prom.ua/remote/dispatcher/state_purchase_view/4876579"/>
    <hyperlink ref="B218" r:id="rId486" display="https://my.zakupki.prom.ua/remote/dispatcher/state_purchase_view/4924229"/>
    <hyperlink ref="B317" r:id="rId487" display="https://my.zakupki.prom.ua/remote/dispatcher/state_purchase_view/172872"/>
    <hyperlink ref="B154" r:id="rId488" display="https://my.zakupki.prom.ua/remote/dispatcher/state_purchase_view/8433519"/>
    <hyperlink ref="B156" r:id="rId489" display="https://my.zakupki.prom.ua/remote/dispatcher/state_purchase_view/8433312"/>
    <hyperlink ref="B157" r:id="rId490" display="https://my.zakupki.prom.ua/remote/dispatcher/state_purchase_view/8433196"/>
    <hyperlink ref="B150" r:id="rId491" display="https://my.zakupki.prom.ua/remote/dispatcher/state_purchase_view/8586190"/>
    <hyperlink ref="B151" r:id="rId492" display="https://my.zakupki.prom.ua/remote/dispatcher/state_purchase_view/8501698"/>
    <hyperlink ref="B152" r:id="rId493" display="https://my.zakupki.prom.ua/remote/dispatcher/state_purchase_view/8495229"/>
    <hyperlink ref="B158" r:id="rId494" display="https://my.zakupki.prom.ua/remote/dispatcher/state_purchase_view/8433164"/>
    <hyperlink ref="AQ62" r:id="rId495" display="https://auction.openprocurement.org/tenders/8e2c5c012f624b6bb15b13b41b673e7c_fc1524e0916a4cb09fc1d5d06067e131"/>
    <hyperlink ref="AQ253" r:id="rId496" display="https://auction.openprocurement.org/tenders/96d62aa2312942aeaaaa344935bc128c"/>
    <hyperlink ref="B70" r:id="rId497" display="https://my.zakupki.prom.ua/remote/dispatcher/state_purchase_view/13055879"/>
    <hyperlink ref="B71" r:id="rId498" display="https://my.zakupki.prom.ua/remote/dispatcher/state_purchase_view/13028198"/>
    <hyperlink ref="B72" r:id="rId499" display="https://my.zakupki.prom.ua/remote/dispatcher/state_purchase_view/12814487"/>
    <hyperlink ref="B73" r:id="rId500" display="https://my.zakupki.prom.ua/remote/dispatcher/state_purchase_view/12814487"/>
    <hyperlink ref="B74" r:id="rId501" display="https://my.zakupki.prom.ua/remote/dispatcher/state_purchase_view/12814487"/>
    <hyperlink ref="B75" r:id="rId502" display="https://my.zakupki.prom.ua/remote/dispatcher/state_purchase_view/12807064"/>
    <hyperlink ref="B76" r:id="rId503" display="https://my.zakupki.prom.ua/remote/dispatcher/state_purchase_view/12699265"/>
    <hyperlink ref="B77" r:id="rId504" display="https://my.zakupki.prom.ua/remote/dispatcher/state_purchase_view/12525853"/>
    <hyperlink ref="B78" r:id="rId505" display="https://my.zakupki.prom.ua/remote/dispatcher/state_purchase_view/12525853"/>
    <hyperlink ref="B79" r:id="rId506" display="https://my.zakupki.prom.ua/remote/dispatcher/state_purchase_view/12525853"/>
    <hyperlink ref="C308" r:id="rId507" display="https://my.zakupki.prom.ua/remote/dispatcher/state_purchase_lot_view/58708"/>
    <hyperlink ref="C309" r:id="rId508" display="https://my.zakupki.prom.ua/remote/dispatcher/state_purchase_lot_view/56289"/>
    <hyperlink ref="C306" r:id="rId509" display="https://my.zakupki.prom.ua/remote/dispatcher/state_purchase_lot_view/60553"/>
    <hyperlink ref="C307" r:id="rId510" display="https://my.zakupki.prom.ua/remote/dispatcher/state_purchase_lot_view/60277"/>
    <hyperlink ref="C305" r:id="rId511" display="https://my.zakupki.prom.ua/remote/dispatcher/state_purchase_lot_view/74087"/>
    <hyperlink ref="B194" r:id="rId512" display="https://my.zakupki.prom.ua/remote/dispatcher/state_purchase_view/6243969"/>
    <hyperlink ref="B195" r:id="rId513" display="https://my.zakupki.prom.ua/remote/dispatcher/state_purchase_view/6243637"/>
    <hyperlink ref="B197" r:id="rId514" display="https://my.zakupki.prom.ua/remote/dispatcher/state_purchase_view/6242491"/>
    <hyperlink ref="B199" r:id="rId515" display="https://my.zakupki.prom.ua/remote/dispatcher/state_purchase_view/6004041"/>
    <hyperlink ref="B153" r:id="rId516" display="https://my.zakupki.prom.ua/remote/dispatcher/state_purchase_view/8433635"/>
    <hyperlink ref="AQ38" r:id="rId517" display="https://auction.openprocurement.org/tenders/3ad3ac7b80c04bc2a736c4c664e3f73d"/>
    <hyperlink ref="AQ33" r:id="rId518" display="https://auction.openprocurement.org/tenders/e0c39b62d4fa4f7d919b3eba6013dcf1"/>
    <hyperlink ref="AQ32" r:id="rId519" display="https://auction.openprocurement.org/tenders/ef85cbb0182f4974a740201bdc90d3c8"/>
    <hyperlink ref="AQ30" r:id="rId520" display="https://auction.openprocurement.org/tenders/062536dbb6a6493e83e4746eb17e3ec2"/>
    <hyperlink ref="AQ35" r:id="rId521" display="https://auction.openprocurement.org/tenders/0617d87e7fe44cd385de7dda61fafab1"/>
    <hyperlink ref="AQ34" r:id="rId522" display="https://auction.openprocurement.org/tenders/22f848baea454d19b52e9aa5a46a8d2e"/>
    <hyperlink ref="B175" r:id="rId523" display="https://my.zakupki.prom.ua/remote/dispatcher/state_purchase_view/7640621"/>
    <hyperlink ref="B239" r:id="rId524" display="https://my.zakupki.prom.ua/remote/dispatcher/state_purchase_view/3681348"/>
    <hyperlink ref="B238" r:id="rId525" display="https://my.zakupki.prom.ua/remote/dispatcher/state_purchase_view/3681521"/>
    <hyperlink ref="B231" r:id="rId526" display="https://my.zakupki.prom.ua/remote/dispatcher/state_purchase_view/4447719"/>
    <hyperlink ref="B230" r:id="rId527" display="https://my.zakupki.prom.ua/remote/dispatcher/state_purchase_view/4566094"/>
    <hyperlink ref="B233" r:id="rId528" display="https://my.zakupki.prom.ua/remote/dispatcher/state_purchase_view/4154450"/>
    <hyperlink ref="B232" r:id="rId529" display="https://my.zakupki.prom.ua/remote/dispatcher/state_purchase_view/4154693"/>
    <hyperlink ref="B235" r:id="rId530" display="https://my.zakupki.prom.ua/remote/dispatcher/state_purchase_view/4153785"/>
    <hyperlink ref="B234" r:id="rId531" display="https://my.zakupki.prom.ua/remote/dispatcher/state_purchase_view/4154060"/>
    <hyperlink ref="B236" r:id="rId532" display="https://my.zakupki.prom.ua/remote/dispatcher/state_purchase_view/4151927"/>
    <hyperlink ref="B315" r:id="rId533" display="https://my.zakupki.prom.ua/remote/dispatcher/state_purchase_view/213790"/>
    <hyperlink ref="B178" r:id="rId534" display="https://my.zakupki.prom.ua/remote/dispatcher/state_purchase_view/7384982"/>
    <hyperlink ref="AQ274" r:id="rId535" display="https://auction.openprocurement.org/tenders/badaeaef28a5498aac08d608039bf052_cf544ecc107c4ed69db3ecab08bcbcc0"/>
    <hyperlink ref="AQ192" r:id="rId536" display="https://auction.openprocurement.org/tenders/64fcf7755dc64278bcbf460c5c6ad669"/>
    <hyperlink ref="AQ272" r:id="rId537" display="https://auction.openprocurement.org/tenders/974043cc3aa94ec0b6b8e44d2b9ec77b_6e99d3bafa3c4965aac5643dcac39ac2"/>
    <hyperlink ref="B58" r:id="rId538" display="https://my.zakupki.prom.ua/remote/dispatcher/state_purchase_view/13733201"/>
    <hyperlink ref="B59" r:id="rId539" display="https://my.zakupki.prom.ua/remote/dispatcher/state_purchase_view/13631195"/>
    <hyperlink ref="B52" r:id="rId540" display="https://my.zakupki.prom.ua/remote/dispatcher/state_purchase_view/13981913"/>
    <hyperlink ref="B53" r:id="rId541" display="https://my.zakupki.prom.ua/remote/dispatcher/state_purchase_view/13865093"/>
    <hyperlink ref="B50" r:id="rId542" display="https://my.zakupki.prom.ua/remote/dispatcher/state_purchase_view/14811309"/>
    <hyperlink ref="B51" r:id="rId543" display="https://my.zakupki.prom.ua/remote/dispatcher/state_purchase_view/14756361"/>
    <hyperlink ref="B56" r:id="rId544" display="https://my.zakupki.prom.ua/remote/dispatcher/state_purchase_view/13823599"/>
    <hyperlink ref="B57" r:id="rId545" display="https://my.zakupki.prom.ua/remote/dispatcher/state_purchase_view/13813851"/>
    <hyperlink ref="B54" r:id="rId546" display="https://my.zakupki.prom.ua/remote/dispatcher/state_purchase_view/13831236"/>
    <hyperlink ref="B55" r:id="rId547" display="https://my.zakupki.prom.ua/remote/dispatcher/state_purchase_view/13829509"/>
    <hyperlink ref="AQ128" r:id="rId548" display="https://auction.openprocurement.org/tenders/28871b14c92d4713bcb462bd8da7514c"/>
    <hyperlink ref="AQ197" r:id="rId549" display="https://auction.openprocurement.org/tenders/1848d254d1fc4f3894d8cc5434f58d8d"/>
    <hyperlink ref="B169" r:id="rId550" display="https://my.zakupki.prom.ua/remote/dispatcher/state_purchase_view/7862988"/>
    <hyperlink ref="B168" r:id="rId551" display="https://my.zakupki.prom.ua/remote/dispatcher/state_purchase_view/8168744"/>
    <hyperlink ref="B167" r:id="rId552" display="https://my.zakupki.prom.ua/remote/dispatcher/state_purchase_view/8169200"/>
    <hyperlink ref="B161" r:id="rId553" display="https://my.zakupki.prom.ua/remote/dispatcher/state_purchase_view/8268128"/>
    <hyperlink ref="B160" r:id="rId554" display="https://my.zakupki.prom.ua/remote/dispatcher/state_purchase_view/8432994"/>
    <hyperlink ref="AQ13" r:id="rId555" display="https://auction.openprocurement.org/tenders/8b08b17d862848f3ab0727718ff58e45"/>
    <hyperlink ref="AQ12" r:id="rId556" display="https://auction.openprocurement.org/tenders/88bbcae56e4e423d8c5fa55ee9359ab1"/>
    <hyperlink ref="AQ16" r:id="rId557" display="https://auction.openprocurement.org/tenders/359395006eed476493f556ed109ce660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GlavBugalter</cp:lastModifiedBy>
  <dcterms:created xsi:type="dcterms:W3CDTF">2020-03-17T08:35:26Z</dcterms:created>
  <dcterms:modified xsi:type="dcterms:W3CDTF">2020-03-17T06:39:57Z</dcterms:modified>
  <cp:category/>
</cp:coreProperties>
</file>