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45" windowWidth="12000" windowHeight="5820" tabRatio="909" activeTab="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результат'!$A$1:$H$183</definedName>
    <definedName name="_xlnm.Print_Area" localSheetId="2">'2. Розрахунки з бюджетом'!$A$2:$G$42</definedName>
    <definedName name="_xlnm.Print_Area" localSheetId="3">'3. Рух грошових коштів'!$A$1:$G$93</definedName>
    <definedName name="_xlnm.Print_Area" localSheetId="4">'4. Кап. інвестиції'!$A$1:$G$19</definedName>
    <definedName name="_xlnm.Print_Area" localSheetId="6">'6.1. Інша інфо_1'!$A$1:$O$78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70" i="14" l="1"/>
  <c r="E178" i="2"/>
  <c r="E20" i="2"/>
  <c r="E177" i="2" s="1"/>
  <c r="E18" i="2"/>
  <c r="E70" i="2"/>
  <c r="E78" i="2"/>
  <c r="E176" i="2"/>
  <c r="E17" i="2"/>
  <c r="E175" i="2" s="1"/>
  <c r="E79" i="2"/>
  <c r="E77" i="2"/>
  <c r="E174" i="2"/>
  <c r="X10" i="9"/>
  <c r="U10" i="9"/>
  <c r="X9" i="9"/>
  <c r="X8" i="9"/>
  <c r="V33" i="9" l="1"/>
  <c r="J28" i="10"/>
  <c r="J25" i="10"/>
  <c r="E173" i="2"/>
  <c r="J21" i="10"/>
  <c r="J29" i="10" s="1"/>
  <c r="H20" i="10" l="1"/>
  <c r="E19" i="11"/>
  <c r="E8" i="3"/>
  <c r="E28" i="18"/>
  <c r="I68" i="18"/>
  <c r="E45" i="18"/>
  <c r="E43" i="18" s="1"/>
  <c r="E25" i="18"/>
  <c r="E20" i="18"/>
  <c r="E24" i="18"/>
  <c r="E23" i="18"/>
  <c r="I18" i="18"/>
  <c r="E17" i="18"/>
  <c r="E172" i="2"/>
  <c r="E162" i="2"/>
  <c r="E161" i="2"/>
  <c r="E159" i="2"/>
  <c r="E14" i="2"/>
  <c r="E111" i="2"/>
  <c r="E96" i="2"/>
  <c r="E11" i="18"/>
  <c r="E15" i="18" s="1"/>
  <c r="E14" i="18" s="1"/>
  <c r="F60" i="2"/>
  <c r="G60" i="2"/>
  <c r="E58" i="2"/>
  <c r="E31" i="2"/>
  <c r="E21" i="2" s="1"/>
  <c r="J21" i="2" s="1"/>
  <c r="F55" i="2"/>
  <c r="F52" i="2"/>
  <c r="G52" i="2"/>
  <c r="E32" i="2"/>
  <c r="E23" i="2"/>
  <c r="E11" i="2"/>
  <c r="J22" i="10" l="1"/>
  <c r="J30" i="10" s="1"/>
  <c r="E13" i="2"/>
  <c r="D19" i="11"/>
  <c r="D8" i="11"/>
  <c r="C20" i="18"/>
  <c r="J13" i="2" l="1"/>
  <c r="C166" i="2"/>
  <c r="C111" i="2"/>
  <c r="C58" i="2"/>
  <c r="C21" i="2"/>
  <c r="D76" i="14"/>
  <c r="D73" i="14"/>
  <c r="D72" i="14"/>
  <c r="D71" i="14"/>
  <c r="D70" i="14"/>
  <c r="D68" i="14"/>
  <c r="D67" i="14"/>
  <c r="E50" i="10"/>
  <c r="E49" i="10"/>
  <c r="D49" i="10"/>
  <c r="F49" i="10" s="1"/>
  <c r="H30" i="10"/>
  <c r="H29" i="10"/>
  <c r="H28" i="10"/>
  <c r="H26" i="10"/>
  <c r="H25" i="10"/>
  <c r="H22" i="10"/>
  <c r="H21" i="10"/>
  <c r="D154" i="2"/>
  <c r="D155" i="2" s="1"/>
  <c r="D22" i="19"/>
  <c r="D179" i="2"/>
  <c r="D166" i="2"/>
  <c r="D151" i="2"/>
  <c r="R10" i="9" l="1"/>
  <c r="E67" i="18" l="1"/>
  <c r="C67" i="18"/>
  <c r="C172" i="2" l="1"/>
  <c r="D17" i="18" l="1"/>
  <c r="C25" i="18" l="1"/>
  <c r="J32" i="10" l="1"/>
  <c r="J24" i="10"/>
  <c r="G14" i="2"/>
  <c r="E166" i="2"/>
  <c r="E9" i="3"/>
  <c r="V35" i="9" s="1"/>
  <c r="E6" i="3"/>
  <c r="E138" i="2"/>
  <c r="E142" i="2"/>
  <c r="G66" i="2"/>
  <c r="F66" i="2"/>
  <c r="F31" i="2"/>
  <c r="G50" i="2"/>
  <c r="G51" i="2"/>
  <c r="F51" i="2"/>
  <c r="G51" i="10"/>
  <c r="G50" i="10"/>
  <c r="N49" i="10"/>
  <c r="H33" i="10"/>
  <c r="D111" i="2"/>
  <c r="D106" i="2" s="1"/>
  <c r="D91" i="2"/>
  <c r="D69" i="2" s="1"/>
  <c r="C91" i="2"/>
  <c r="D58" i="2"/>
  <c r="D162" i="2" s="1"/>
  <c r="D21" i="2"/>
  <c r="F43" i="2"/>
  <c r="G43" i="2"/>
  <c r="E15" i="11"/>
  <c r="D15" i="11"/>
  <c r="C142" i="2"/>
  <c r="C13" i="2"/>
  <c r="D14" i="11"/>
  <c r="C65" i="14" s="1"/>
  <c r="C10" i="3"/>
  <c r="C6" i="3" s="1"/>
  <c r="C11" i="18"/>
  <c r="C14" i="18" s="1"/>
  <c r="C29" i="19"/>
  <c r="E29" i="19"/>
  <c r="G29" i="19" s="1"/>
  <c r="C9" i="2"/>
  <c r="G49" i="10"/>
  <c r="AA10" i="9"/>
  <c r="E91" i="2"/>
  <c r="U36" i="9"/>
  <c r="K50" i="10"/>
  <c r="D28" i="10"/>
  <c r="D32" i="10" s="1"/>
  <c r="D24" i="10"/>
  <c r="D14" i="18"/>
  <c r="D13" i="2"/>
  <c r="D57" i="2" s="1"/>
  <c r="F49" i="18"/>
  <c r="F50" i="18"/>
  <c r="F48" i="18"/>
  <c r="F85" i="18"/>
  <c r="G85" i="18"/>
  <c r="G8" i="19"/>
  <c r="F8" i="19"/>
  <c r="E106" i="2"/>
  <c r="E58" i="14"/>
  <c r="E54" i="14"/>
  <c r="E49" i="14"/>
  <c r="F49" i="14" s="1"/>
  <c r="E14" i="11"/>
  <c r="E65" i="14" s="1"/>
  <c r="E10" i="3"/>
  <c r="F10" i="3" s="1"/>
  <c r="N9" i="9"/>
  <c r="N8" i="9"/>
  <c r="N10" i="9" s="1"/>
  <c r="G58" i="2"/>
  <c r="F56" i="2"/>
  <c r="F49" i="2"/>
  <c r="F50" i="2"/>
  <c r="F54" i="2"/>
  <c r="G76" i="14"/>
  <c r="F72" i="14"/>
  <c r="D6" i="3"/>
  <c r="D61" i="14" s="1"/>
  <c r="D54" i="18"/>
  <c r="C73" i="14"/>
  <c r="B24" i="10"/>
  <c r="C106" i="2"/>
  <c r="G83" i="2"/>
  <c r="G23" i="2"/>
  <c r="D54" i="14"/>
  <c r="D51" i="14"/>
  <c r="D49" i="14"/>
  <c r="K49" i="10"/>
  <c r="D50" i="10"/>
  <c r="F50" i="10" s="1"/>
  <c r="D35" i="19"/>
  <c r="D26" i="19" s="1"/>
  <c r="D142" i="2"/>
  <c r="D161" i="2" s="1"/>
  <c r="D9" i="2"/>
  <c r="D31" i="14" s="1"/>
  <c r="E73" i="14"/>
  <c r="C70" i="14"/>
  <c r="D58" i="14"/>
  <c r="F173" i="2"/>
  <c r="F15" i="2"/>
  <c r="G56" i="2"/>
  <c r="F41" i="2"/>
  <c r="F47" i="2"/>
  <c r="G36" i="2"/>
  <c r="G38" i="2"/>
  <c r="G39" i="2"/>
  <c r="F42" i="2"/>
  <c r="G42" i="2"/>
  <c r="F44" i="2"/>
  <c r="G44" i="2"/>
  <c r="F45" i="2"/>
  <c r="G45" i="2"/>
  <c r="F46" i="2"/>
  <c r="C54" i="18"/>
  <c r="C56" i="14" s="1"/>
  <c r="C35" i="19"/>
  <c r="C26" i="19" s="1"/>
  <c r="C50" i="14" s="1"/>
  <c r="D51" i="10"/>
  <c r="C161" i="2"/>
  <c r="C41" i="14" s="1"/>
  <c r="E54" i="18"/>
  <c r="E18" i="18" s="1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F35" i="19" s="1"/>
  <c r="F36" i="19"/>
  <c r="G36" i="19"/>
  <c r="F37" i="19"/>
  <c r="G37" i="19"/>
  <c r="E9" i="2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59" i="2"/>
  <c r="G59" i="2"/>
  <c r="F67" i="2"/>
  <c r="F75" i="2"/>
  <c r="G75" i="2"/>
  <c r="F76" i="2"/>
  <c r="G76" i="2"/>
  <c r="F78" i="2"/>
  <c r="F84" i="2"/>
  <c r="G84" i="2"/>
  <c r="F90" i="2"/>
  <c r="F92" i="2"/>
  <c r="G92" i="2"/>
  <c r="F93" i="2"/>
  <c r="G93" i="2"/>
  <c r="F94" i="2"/>
  <c r="G94" i="2"/>
  <c r="F95" i="2"/>
  <c r="G95" i="2"/>
  <c r="G96" i="2"/>
  <c r="F97" i="2"/>
  <c r="F113" i="2"/>
  <c r="G113" i="2"/>
  <c r="F118" i="2"/>
  <c r="F119" i="2"/>
  <c r="F120" i="2"/>
  <c r="F121" i="2"/>
  <c r="F125" i="2"/>
  <c r="F126" i="2"/>
  <c r="G126" i="2"/>
  <c r="F148" i="2"/>
  <c r="G148" i="2"/>
  <c r="C160" i="2"/>
  <c r="D160" i="2"/>
  <c r="E160" i="2"/>
  <c r="F174" i="2"/>
  <c r="G174" i="2"/>
  <c r="F176" i="2"/>
  <c r="G176" i="2"/>
  <c r="G177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F51" i="14" s="1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71" i="18"/>
  <c r="F96" i="2"/>
  <c r="G32" i="2"/>
  <c r="G173" i="2"/>
  <c r="F14" i="2"/>
  <c r="F83" i="2"/>
  <c r="F79" i="2"/>
  <c r="G79" i="2"/>
  <c r="G78" i="2"/>
  <c r="G70" i="2"/>
  <c r="F70" i="2"/>
  <c r="F32" i="2"/>
  <c r="L20" i="10"/>
  <c r="G71" i="14"/>
  <c r="G91" i="2"/>
  <c r="D56" i="14"/>
  <c r="F58" i="2"/>
  <c r="M49" i="10"/>
  <c r="C69" i="2"/>
  <c r="C34" i="14" s="1"/>
  <c r="C162" i="2"/>
  <c r="C31" i="14"/>
  <c r="F111" i="2"/>
  <c r="I49" i="10"/>
  <c r="J49" i="10"/>
  <c r="N50" i="10"/>
  <c r="C159" i="2"/>
  <c r="C36" i="14" s="1"/>
  <c r="N21" i="10"/>
  <c r="L21" i="10"/>
  <c r="F17" i="2"/>
  <c r="F77" i="2"/>
  <c r="G77" i="2"/>
  <c r="G35" i="19"/>
  <c r="G172" i="2"/>
  <c r="F172" i="2"/>
  <c r="F29" i="19"/>
  <c r="E26" i="19"/>
  <c r="E50" i="14" s="1"/>
  <c r="F142" i="2"/>
  <c r="G142" i="2"/>
  <c r="G17" i="2"/>
  <c r="J51" i="10"/>
  <c r="G12" i="2"/>
  <c r="J50" i="10"/>
  <c r="I50" i="10"/>
  <c r="M50" i="10"/>
  <c r="G9" i="2"/>
  <c r="F11" i="2"/>
  <c r="F9" i="2"/>
  <c r="E31" i="14"/>
  <c r="E41" i="14" l="1"/>
  <c r="M51" i="10"/>
  <c r="G11" i="18"/>
  <c r="G166" i="2"/>
  <c r="F166" i="2"/>
  <c r="F177" i="2"/>
  <c r="G52" i="10"/>
  <c r="F162" i="2"/>
  <c r="L50" i="10"/>
  <c r="G111" i="2"/>
  <c r="F91" i="2"/>
  <c r="G162" i="2"/>
  <c r="D32" i="14"/>
  <c r="D33" i="14" s="1"/>
  <c r="E69" i="2"/>
  <c r="J26" i="10"/>
  <c r="F15" i="18"/>
  <c r="F54" i="14"/>
  <c r="D50" i="14"/>
  <c r="G50" i="14" s="1"/>
  <c r="F26" i="19"/>
  <c r="Q37" i="9"/>
  <c r="F73" i="14"/>
  <c r="D159" i="2"/>
  <c r="D36" i="14" s="1"/>
  <c r="F21" i="2"/>
  <c r="G26" i="19"/>
  <c r="G51" i="14"/>
  <c r="G54" i="14"/>
  <c r="F54" i="18"/>
  <c r="E56" i="14"/>
  <c r="F56" i="14" s="1"/>
  <c r="F31" i="14"/>
  <c r="G31" i="14"/>
  <c r="F50" i="14"/>
  <c r="G70" i="14"/>
  <c r="F70" i="14"/>
  <c r="G18" i="2"/>
  <c r="F18" i="2"/>
  <c r="D41" i="14"/>
  <c r="F161" i="2"/>
  <c r="G161" i="2"/>
  <c r="G106" i="2"/>
  <c r="F106" i="2"/>
  <c r="C32" i="14"/>
  <c r="C33" i="14" s="1"/>
  <c r="C57" i="2"/>
  <c r="D7" i="11" s="1"/>
  <c r="D133" i="2"/>
  <c r="D34" i="14"/>
  <c r="L28" i="10"/>
  <c r="H32" i="10"/>
  <c r="N32" i="10" s="1"/>
  <c r="H34" i="10"/>
  <c r="F20" i="2"/>
  <c r="G20" i="2"/>
  <c r="N29" i="10"/>
  <c r="J33" i="10"/>
  <c r="L29" i="10"/>
  <c r="D52" i="10"/>
  <c r="N22" i="10"/>
  <c r="N28" i="10"/>
  <c r="G49" i="14"/>
  <c r="F52" i="10"/>
  <c r="H24" i="10"/>
  <c r="F11" i="18"/>
  <c r="D17" i="11"/>
  <c r="D18" i="11"/>
  <c r="C61" i="14"/>
  <c r="E18" i="11"/>
  <c r="E61" i="14"/>
  <c r="F61" i="14" s="1"/>
  <c r="E17" i="11"/>
  <c r="F6" i="3"/>
  <c r="I52" i="10"/>
  <c r="V34" i="9"/>
  <c r="W34" i="9" s="1"/>
  <c r="G69" i="2" l="1"/>
  <c r="J69" i="2"/>
  <c r="E57" i="2"/>
  <c r="E7" i="11" s="1"/>
  <c r="G21" i="2"/>
  <c r="G73" i="14"/>
  <c r="F175" i="2"/>
  <c r="G175" i="2"/>
  <c r="L22" i="10"/>
  <c r="N26" i="10"/>
  <c r="L26" i="10"/>
  <c r="F69" i="2"/>
  <c r="E34" i="14"/>
  <c r="G34" i="14" s="1"/>
  <c r="G15" i="18"/>
  <c r="D65" i="14"/>
  <c r="F65" i="14" s="1"/>
  <c r="D165" i="2"/>
  <c r="D170" i="2" s="1"/>
  <c r="D38" i="14" s="1"/>
  <c r="D39" i="14" s="1"/>
  <c r="D37" i="14"/>
  <c r="L32" i="10"/>
  <c r="N24" i="10"/>
  <c r="L24" i="10"/>
  <c r="N25" i="10"/>
  <c r="L25" i="10"/>
  <c r="G41" i="14"/>
  <c r="F41" i="14"/>
  <c r="L49" i="10"/>
  <c r="N33" i="10"/>
  <c r="L33" i="10"/>
  <c r="C133" i="2"/>
  <c r="F159" i="2"/>
  <c r="E36" i="14"/>
  <c r="G159" i="2"/>
  <c r="E32" i="14"/>
  <c r="F13" i="2"/>
  <c r="G13" i="2"/>
  <c r="V36" i="9"/>
  <c r="W36" i="9" s="1"/>
  <c r="AD33" i="9"/>
  <c r="AD36" i="9" s="1"/>
  <c r="G65" i="14" l="1"/>
  <c r="J34" i="10"/>
  <c r="N30" i="10"/>
  <c r="L30" i="10"/>
  <c r="F34" i="14"/>
  <c r="G14" i="18"/>
  <c r="F14" i="18"/>
  <c r="E133" i="2"/>
  <c r="E165" i="2" s="1"/>
  <c r="F57" i="2"/>
  <c r="G57" i="2"/>
  <c r="F32" i="14"/>
  <c r="E33" i="14"/>
  <c r="G32" i="14"/>
  <c r="F36" i="14"/>
  <c r="G36" i="14"/>
  <c r="C37" i="14"/>
  <c r="C165" i="2"/>
  <c r="C170" i="2" s="1"/>
  <c r="C151" i="2"/>
  <c r="D42" i="14"/>
  <c r="D9" i="18"/>
  <c r="D19" i="18" s="1"/>
  <c r="D29" i="18" s="1"/>
  <c r="N34" i="10" l="1"/>
  <c r="L34" i="10"/>
  <c r="D44" i="14"/>
  <c r="D63" i="14" s="1"/>
  <c r="D10" i="19"/>
  <c r="D156" i="2"/>
  <c r="C9" i="18"/>
  <c r="C19" i="18" s="1"/>
  <c r="C29" i="18" s="1"/>
  <c r="C42" i="14"/>
  <c r="C152" i="2"/>
  <c r="C163" i="2" s="1"/>
  <c r="C179" i="2" s="1"/>
  <c r="F33" i="14"/>
  <c r="G33" i="14"/>
  <c r="G133" i="2"/>
  <c r="E37" i="14"/>
  <c r="F133" i="2"/>
  <c r="E151" i="2"/>
  <c r="E9" i="18" s="1"/>
  <c r="E19" i="18" s="1"/>
  <c r="D30" i="18"/>
  <c r="D31" i="18" s="1"/>
  <c r="D43" i="14"/>
  <c r="D48" i="14"/>
  <c r="D163" i="2"/>
  <c r="C38" i="14"/>
  <c r="C39" i="14" l="1"/>
  <c r="D13" i="11"/>
  <c r="C154" i="2"/>
  <c r="D9" i="11" s="1"/>
  <c r="C63" i="14" s="1"/>
  <c r="D55" i="14"/>
  <c r="F37" i="14"/>
  <c r="G37" i="14"/>
  <c r="D10" i="11"/>
  <c r="C64" i="14" s="1"/>
  <c r="C10" i="19"/>
  <c r="C11" i="19" s="1"/>
  <c r="C22" i="19" s="1"/>
  <c r="C71" i="18" s="1"/>
  <c r="C155" i="2"/>
  <c r="D11" i="11"/>
  <c r="C45" i="14" s="1"/>
  <c r="C44" i="14"/>
  <c r="C156" i="2"/>
  <c r="F151" i="2"/>
  <c r="E42" i="14"/>
  <c r="E152" i="2"/>
  <c r="G151" i="2"/>
  <c r="G165" i="2"/>
  <c r="E170" i="2"/>
  <c r="F165" i="2"/>
  <c r="C31" i="18"/>
  <c r="C23" i="19"/>
  <c r="C48" i="14" s="1"/>
  <c r="C43" i="14"/>
  <c r="D9" i="19"/>
  <c r="D18" i="19" s="1"/>
  <c r="D21" i="19"/>
  <c r="D45" i="14"/>
  <c r="D64" i="14"/>
  <c r="E154" i="2" l="1"/>
  <c r="E30" i="18"/>
  <c r="E163" i="2"/>
  <c r="G154" i="2"/>
  <c r="E11" i="11"/>
  <c r="E45" i="14" s="1"/>
  <c r="F45" i="14" s="1"/>
  <c r="E155" i="2"/>
  <c r="E9" i="11"/>
  <c r="E63" i="14" s="1"/>
  <c r="F154" i="2"/>
  <c r="E44" i="14"/>
  <c r="E10" i="11"/>
  <c r="E64" i="14" s="1"/>
  <c r="G64" i="14" s="1"/>
  <c r="E156" i="2"/>
  <c r="D70" i="18"/>
  <c r="D83" i="18" s="1"/>
  <c r="D20" i="19"/>
  <c r="D38" i="19" s="1"/>
  <c r="C55" i="14"/>
  <c r="E8" i="11"/>
  <c r="E38" i="14"/>
  <c r="F170" i="2"/>
  <c r="G170" i="2"/>
  <c r="F9" i="18"/>
  <c r="G9" i="18"/>
  <c r="F152" i="2"/>
  <c r="E43" i="14"/>
  <c r="E23" i="19"/>
  <c r="F42" i="14"/>
  <c r="G42" i="14"/>
  <c r="C21" i="19"/>
  <c r="C9" i="19"/>
  <c r="E10" i="19" l="1"/>
  <c r="F178" i="2"/>
  <c r="G178" i="2"/>
  <c r="E179" i="2"/>
  <c r="F64" i="14"/>
  <c r="F163" i="2"/>
  <c r="G163" i="2"/>
  <c r="F30" i="18"/>
  <c r="G30" i="18"/>
  <c r="D47" i="14"/>
  <c r="D52" i="14"/>
  <c r="F63" i="14"/>
  <c r="G63" i="14"/>
  <c r="C20" i="19"/>
  <c r="C70" i="18"/>
  <c r="C83" i="18" s="1"/>
  <c r="C87" i="18" s="1"/>
  <c r="E48" i="14"/>
  <c r="F48" i="14" s="1"/>
  <c r="F23" i="19"/>
  <c r="E29" i="18"/>
  <c r="G19" i="18"/>
  <c r="F19" i="18"/>
  <c r="E39" i="14"/>
  <c r="F39" i="14" s="1"/>
  <c r="E13" i="11"/>
  <c r="G38" i="14"/>
  <c r="F38" i="14"/>
  <c r="D57" i="14"/>
  <c r="D87" i="18"/>
  <c r="D59" i="14" s="1"/>
  <c r="D69" i="14" s="1"/>
  <c r="D88" i="18"/>
  <c r="G44" i="14"/>
  <c r="F44" i="14"/>
  <c r="G10" i="19"/>
  <c r="E70" i="18"/>
  <c r="E21" i="19"/>
  <c r="F10" i="19"/>
  <c r="G155" i="2"/>
  <c r="F155" i="2"/>
  <c r="E11" i="19" l="1"/>
  <c r="E9" i="19" s="1"/>
  <c r="F179" i="2"/>
  <c r="G179" i="2"/>
  <c r="C57" i="14"/>
  <c r="C88" i="18"/>
  <c r="F21" i="19"/>
  <c r="G21" i="19"/>
  <c r="G69" i="14"/>
  <c r="F69" i="14"/>
  <c r="F29" i="18"/>
  <c r="E31" i="18"/>
  <c r="G29" i="18"/>
  <c r="C47" i="14"/>
  <c r="C38" i="19"/>
  <c r="C52" i="14" s="1"/>
  <c r="G70" i="18"/>
  <c r="F70" i="18"/>
  <c r="E18" i="19" l="1"/>
  <c r="F18" i="19" s="1"/>
  <c r="F9" i="19"/>
  <c r="G9" i="19"/>
  <c r="E71" i="18"/>
  <c r="G11" i="19"/>
  <c r="E22" i="19"/>
  <c r="F11" i="19"/>
  <c r="C59" i="14"/>
  <c r="G18" i="19"/>
  <c r="G31" i="18"/>
  <c r="E55" i="14"/>
  <c r="F31" i="18"/>
  <c r="G22" i="19" l="1"/>
  <c r="F22" i="19"/>
  <c r="E20" i="19"/>
  <c r="E83" i="18"/>
  <c r="G71" i="18"/>
  <c r="F71" i="18"/>
  <c r="G55" i="14"/>
  <c r="F55" i="14"/>
  <c r="E57" i="14" l="1"/>
  <c r="F83" i="18"/>
  <c r="E87" i="18"/>
  <c r="E88" i="18"/>
  <c r="G83" i="18"/>
  <c r="E47" i="14"/>
  <c r="G20" i="19"/>
  <c r="E38" i="19"/>
  <c r="F20" i="19"/>
  <c r="G38" i="19" l="1"/>
  <c r="E52" i="14"/>
  <c r="F38" i="19"/>
  <c r="G47" i="14"/>
  <c r="F47" i="14"/>
  <c r="G88" i="18"/>
  <c r="F88" i="18"/>
  <c r="F87" i="18"/>
  <c r="E59" i="14"/>
  <c r="G87" i="18"/>
  <c r="G57" i="14"/>
  <c r="F57" i="14"/>
  <c r="F52" i="14" l="1"/>
  <c r="G52" i="14"/>
  <c r="F59" i="14"/>
  <c r="G59" i="14"/>
</calcChain>
</file>

<file path=xl/sharedStrings.xml><?xml version="1.0" encoding="utf-8"?>
<sst xmlns="http://schemas.openxmlformats.org/spreadsheetml/2006/main" count="794" uniqueCount="618">
  <si>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</si>
  <si>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</si>
  <si>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</si>
  <si>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</si>
  <si>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</si>
  <si>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</si>
  <si>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</si>
  <si>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</si>
  <si>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</si>
  <si>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</si>
  <si>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</si>
  <si>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</si>
  <si>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</si>
  <si>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</si>
  <si>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</si>
  <si>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</si>
  <si>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</si>
  <si>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</si>
  <si>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</si>
  <si>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</si>
  <si>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</si>
  <si>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</si>
  <si>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</si>
  <si>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</si>
  <si>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</si>
  <si>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</si>
  <si>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</si>
  <si>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</si>
  <si>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</si>
  <si>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</si>
  <si>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</si>
  <si>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</si>
  <si>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</si>
  <si>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</si>
  <si>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</si>
  <si>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</si>
  <si>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</si>
  <si>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</si>
  <si>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</si>
  <si>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</si>
  <si>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</si>
  <si>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</si>
  <si>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</si>
  <si>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</si>
  <si>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</si>
  <si>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</si>
  <si>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</si>
  <si>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</si>
  <si>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</si>
  <si>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</si>
  <si>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</si>
  <si>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</si>
  <si>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</si>
  <si>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</si>
  <si>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</si>
  <si>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</si>
  <si>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</si>
  <si>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</si>
  <si>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</si>
  <si>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</si>
  <si>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</si>
  <si>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</si>
  <si>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</si>
  <si>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</si>
  <si>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</si>
  <si>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</si>
  <si>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</si>
  <si>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</si>
  <si>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</si>
  <si>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</si>
  <si>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</si>
  <si>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</si>
  <si>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</si>
  <si>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</si>
  <si>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</si>
  <si>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</si>
  <si>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</si>
  <si>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</si>
  <si>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</si>
  <si>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</si>
  <si>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</si>
  <si>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</si>
  <si>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</si>
  <si>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</si>
  <si>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</si>
  <si>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</si>
  <si>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</si>
  <si>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</si>
  <si>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</si>
  <si>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</si>
  <si>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</si>
  <si>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</si>
  <si>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</si>
  <si>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</si>
  <si>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</si>
  <si>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</si>
  <si>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</si>
  <si>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</si>
  <si>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</si>
  <si>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</si>
  <si>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</si>
  <si>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</si>
  <si>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</si>
  <si>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</si>
  <si>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</si>
  <si>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</si>
  <si>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</si>
  <si>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</si>
  <si>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</si>
  <si>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</si>
  <si>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</si>
  <si>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</si>
  <si>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</si>
  <si>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</si>
  <si>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</si>
  <si>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</si>
  <si>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</si>
  <si>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</si>
  <si>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</si>
  <si>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</si>
  <si>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</si>
  <si>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</si>
  <si>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</si>
  <si>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</si>
  <si>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</si>
  <si>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</si>
  <si>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</si>
  <si>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</si>
  <si>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</si>
  <si>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</si>
  <si>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</si>
  <si>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</si>
  <si>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</si>
  <si>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</si>
  <si>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</si>
  <si>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</si>
  <si>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</si>
  <si>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</si>
  <si>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</si>
  <si>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</si>
  <si>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</si>
  <si>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</si>
  <si>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</si>
  <si>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</si>
  <si>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</si>
  <si>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</si>
  <si>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</si>
  <si>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</si>
  <si>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</si>
  <si>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</si>
  <si>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</si>
  <si>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</si>
  <si>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</si>
  <si>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</si>
  <si>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</si>
  <si>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</si>
  <si>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</si>
  <si>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</si>
  <si>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</si>
  <si>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</si>
  <si>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</si>
  <si>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</si>
  <si>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</si>
  <si>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</si>
  <si>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</si>
  <si>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</si>
  <si>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</si>
  <si>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</si>
  <si>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</si>
  <si>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</si>
  <si>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</si>
  <si>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</si>
  <si>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</si>
  <si>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</si>
  <si>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</si>
  <si>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</si>
  <si>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</si>
  <si>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</si>
  <si>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</si>
  <si>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</si>
  <si>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</si>
  <si>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</si>
  <si>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</si>
  <si>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</si>
  <si>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</si>
  <si>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</si>
  <si>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</si>
  <si>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</si>
  <si>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</si>
  <si>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</si>
  <si>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</si>
  <si>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</si>
  <si>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</si>
  <si>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</si>
  <si>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</si>
  <si>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</si>
  <si>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</si>
  <si>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</si>
  <si>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</si>
  <si>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</si>
  <si>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</si>
  <si>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</si>
  <si>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</si>
  <si>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</si>
  <si>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</si>
  <si>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</si>
  <si>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</si>
  <si>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</si>
  <si>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</si>
  <si>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</si>
  <si>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</si>
  <si>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</si>
  <si>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</si>
  <si>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</si>
  <si>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</si>
  <si>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</si>
  <si>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</si>
  <si>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</si>
  <si>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</si>
  <si>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</si>
  <si>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</si>
  <si>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</si>
  <si>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</si>
  <si>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</si>
  <si>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</si>
  <si>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</si>
  <si>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</si>
  <si>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</si>
  <si>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</si>
  <si>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</si>
  <si>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</si>
  <si>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</si>
  <si>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</si>
  <si>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</si>
  <si>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</si>
  <si>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</si>
  <si>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</si>
  <si>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</si>
  <si>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</si>
  <si>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</si>
  <si>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</si>
  <si>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</si>
  <si>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</si>
  <si>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</si>
  <si>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</si>
  <si>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</si>
  <si>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</si>
  <si>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</si>
  <si>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</si>
  <si>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</si>
  <si>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</si>
  <si>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</si>
  <si>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</si>
  <si>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</si>
  <si>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</si>
  <si>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</si>
  <si>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</si>
  <si>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</si>
  <si>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</si>
  <si>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</si>
  <si>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</si>
  <si>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</si>
  <si>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</si>
  <si>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</si>
  <si>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</si>
  <si>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</si>
  <si>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</si>
  <si>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</si>
  <si>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</si>
  <si>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</si>
  <si>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</si>
  <si>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</si>
  <si>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</si>
  <si>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</si>
  <si>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</si>
  <si>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</si>
  <si>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</si>
  <si>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</si>
  <si>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</si>
  <si>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</si>
  <si>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</si>
  <si>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</si>
  <si>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</si>
  <si>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</si>
  <si>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</si>
  <si>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</si>
  <si>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</si>
  <si>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</si>
  <si>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</si>
  <si>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</si>
  <si>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</si>
  <si>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</si>
  <si>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</si>
  <si>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</si>
  <si>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</si>
  <si>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</si>
  <si>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</si>
  <si>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</si>
  <si>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</si>
  <si>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</si>
  <si>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</si>
  <si>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</si>
  <si>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</si>
  <si>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</si>
  <si>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</si>
  <si>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</si>
  <si>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</si>
  <si>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</si>
  <si>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</si>
  <si>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</si>
  <si>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</si>
  <si>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</si>
  <si>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</si>
  <si>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</si>
  <si>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</si>
  <si>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</si>
  <si>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</si>
  <si>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</si>
  <si>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</si>
  <si>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</si>
  <si>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</si>
  <si>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</si>
  <si>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</si>
  <si>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</si>
  <si>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</si>
  <si>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</si>
  <si>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</si>
  <si>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</si>
  <si>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</si>
  <si>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</si>
  <si>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</si>
  <si>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</si>
  <si>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</si>
  <si>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</si>
  <si>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</si>
  <si>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</si>
  <si>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</si>
  <si>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</si>
  <si>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</si>
  <si>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</si>
  <si>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</si>
  <si>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</si>
  <si>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</si>
  <si>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</si>
  <si>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</si>
  <si>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</si>
  <si>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</si>
  <si>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</si>
  <si>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</si>
  <si>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</si>
  <si>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</si>
  <si>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</si>
  <si>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</si>
  <si>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</si>
  <si>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</si>
  <si>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</si>
  <si>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</si>
  <si>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</si>
  <si>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</si>
  <si>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</si>
  <si>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</si>
  <si>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</si>
  <si>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</si>
  <si>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</si>
  <si>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</si>
  <si>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</si>
  <si>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</si>
  <si>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</si>
  <si>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</si>
  <si>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</si>
  <si>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</si>
  <si>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</si>
  <si>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</si>
  <si>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</si>
  <si>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</si>
  <si>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</si>
  <si>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</si>
  <si>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</si>
  <si>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</si>
  <si>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</si>
  <si>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</si>
  <si>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</si>
  <si>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</si>
  <si>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</si>
  <si>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</si>
  <si>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</si>
  <si>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</si>
  <si>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</si>
  <si>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</si>
  <si>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</si>
  <si>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</si>
  <si>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</si>
  <si>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</si>
  <si>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</si>
  <si>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</si>
  <si>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</si>
  <si>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</si>
  <si>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</si>
  <si>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</si>
  <si>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</si>
  <si>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</si>
  <si>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</si>
  <si>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</si>
  <si>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</si>
  <si>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</si>
  <si>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</si>
  <si>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</si>
  <si>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</si>
  <si>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</si>
  <si>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</si>
  <si>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</si>
  <si>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</si>
  <si>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</si>
  <si>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</si>
  <si>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</si>
  <si>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</si>
  <si>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</si>
  <si>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</si>
  <si>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</si>
  <si>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</si>
  <si>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</si>
  <si>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</si>
  <si>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</si>
  <si>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</si>
  <si>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</si>
  <si>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</si>
  <si>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</si>
  <si>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</si>
  <si>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</si>
  <si>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</si>
  <si>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</si>
  <si>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</si>
  <si>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</si>
  <si>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</si>
  <si>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</si>
  <si>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</si>
  <si>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</si>
  <si>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дохід від оренди активів</t>
  </si>
  <si>
    <t>дохід від списання кредиторської заборгованості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</si>
  <si>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</si>
  <si>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</si>
  <si>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</si>
  <si>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</si>
  <si>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</si>
  <si>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</si>
  <si>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</si>
  <si>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</si>
  <si>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</si>
  <si>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</si>
  <si>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</si>
  <si>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</si>
  <si>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</si>
  <si>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</si>
  <si>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</si>
  <si>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</si>
  <si>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</si>
  <si>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</si>
  <si>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</si>
  <si>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</si>
  <si>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</si>
  <si>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</si>
  <si>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</si>
  <si>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</si>
  <si>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</si>
  <si>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</si>
  <si>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</si>
  <si>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</si>
  <si>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</si>
  <si>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</si>
  <si>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перерахування в дохід бюджету за металобрухт від відчуждення майна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</si>
  <si>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</si>
  <si>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</si>
  <si>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</si>
  <si>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</si>
  <si>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</si>
  <si>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</si>
  <si>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</si>
  <si>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</si>
  <si>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</si>
  <si>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</si>
  <si>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</si>
  <si>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</si>
  <si>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</si>
  <si>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</si>
  <si>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</si>
  <si>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</si>
  <si>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</si>
  <si>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</si>
  <si>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</si>
  <si>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</si>
  <si>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</si>
  <si>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</si>
  <si>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</si>
  <si>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</si>
  <si>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</si>
  <si>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</si>
  <si>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</si>
  <si>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</si>
  <si>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</si>
  <si>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</si>
  <si>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</si>
  <si>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</si>
  <si>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</si>
  <si>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</si>
  <si>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</si>
  <si>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</si>
  <si>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</si>
  <si>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</si>
  <si>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</si>
  <si>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</si>
  <si>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</si>
  <si>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</si>
  <si>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</si>
  <si>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</si>
  <si>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</si>
  <si>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</si>
  <si>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</si>
  <si>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</si>
  <si>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</si>
  <si>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</si>
  <si>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</si>
  <si>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</si>
  <si>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</si>
  <si>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</si>
  <si>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</si>
  <si>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</si>
  <si>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</si>
  <si>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</si>
  <si>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</si>
  <si>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</si>
  <si>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</si>
  <si>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</si>
  <si>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</si>
  <si>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</si>
  <si>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</si>
  <si>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</si>
  <si>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</si>
  <si>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</si>
  <si>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</si>
  <si>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</si>
  <si>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</si>
  <si>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</si>
  <si>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</si>
  <si>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</si>
  <si>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</si>
  <si>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</si>
  <si>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</si>
  <si>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</si>
  <si>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</si>
  <si>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</si>
  <si>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</si>
  <si>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</si>
  <si>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</si>
  <si>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цільове фінансування на придбання необоротних активів (ілюмінація)</t>
  </si>
  <si>
    <t>Відшкодування пенсій у ПФ</t>
  </si>
  <si>
    <t>мережі зовнішнього освітлення (оцінка безхазяйних мерех)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</si>
  <si>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</si>
  <si>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</si>
  <si>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</si>
  <si>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</si>
  <si>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</si>
  <si>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</si>
  <si>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</si>
  <si>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</si>
  <si>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Техніко економічного обгрунтування субпроекту «Програма розвитку муніципальної інфраструктури України – зовнішнє освітлення у м.Дніпро (модернізація зовнішнього освітлення у м.Дніпро)</t>
  </si>
  <si>
    <t>Шкода Рапід</t>
  </si>
  <si>
    <t xml:space="preserve">Оцінка мереж зовнішнього освітлення 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</si>
  <si>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</si>
  <si>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</si>
  <si>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</si>
  <si>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</si>
  <si>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</si>
  <si>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</si>
  <si>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</si>
  <si>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безнадійної дебіторської заборгованості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</si>
  <si>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</si>
  <si>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</si>
  <si>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</si>
  <si>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</si>
  <si>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</si>
  <si>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</si>
  <si>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</si>
  <si>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</si>
  <si>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Відхилення суми зумовлено на підставі збільшення виконання послуг по поточному ремонту та утриманню мереж зовнішнього освітлення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</si>
  <si>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</si>
  <si>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</si>
  <si>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</si>
  <si>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</si>
  <si>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</si>
  <si>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</si>
  <si>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</si>
  <si>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</si>
  <si>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</si>
  <si>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</si>
  <si>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</si>
  <si>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</si>
  <si>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</si>
  <si>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</si>
  <si>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</si>
  <si>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баланс стр.1011</t>
  </si>
  <si>
    <t>баланс стр. 1410</t>
  </si>
  <si>
    <t>збільшення капіталу у звязку з отриманням ОЗ</t>
  </si>
  <si>
    <t>отримані на баланс ОЗ</t>
  </si>
  <si>
    <t>за півріччя 2021 рік</t>
  </si>
  <si>
    <t>Таблиця VI. Інформація до фінансового плану за півріччя 2021 року</t>
  </si>
  <si>
    <t>ДП "Оператор ринку", Укренерго - фіксований платіж</t>
  </si>
  <si>
    <t>Реалізація матеріалів  робітникам підприємства</t>
  </si>
  <si>
    <t>Послуги досудової експертизи</t>
  </si>
  <si>
    <t>Консультаційні послуги щодо "Оператора ринку"</t>
  </si>
  <si>
    <t>1018/34</t>
  </si>
  <si>
    <t>Розробка інвестиційного обгрунтування</t>
  </si>
  <si>
    <t>1018/35</t>
  </si>
  <si>
    <t>Досудова експертиза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</si>
  <si>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10312,0 тис. гривень. Середньомісячна заробітна плата фактично 14259,62 гривень. Середньооблікова кількість усіх працівників в еквіваленті повної зайнятості за 1 півріччя 2021 року - 129 особи, у тому числі  АУП - 22 особи.</t>
  </si>
  <si>
    <t>Перший заступник директора</t>
  </si>
  <si>
    <t>Олефіренко О. А.</t>
  </si>
  <si>
    <t xml:space="preserve">Перший заступник директора 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</si>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</sst>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#,##0.000"/>
    <numFmt numFmtId="176" formatCode="#,##0.0000"/>
    <numFmt numFmtId="177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68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69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3" fontId="62" fillId="22" borderId="12" applyFill="0" applyBorder="0">
      <alignment horizontal="center" vertical="center" wrapText="1"/>
      <protection locked="0"/>
    </xf>
    <xf numFmtId="168" fontId="63" fillId="0" borderId="0">
      <alignment wrapText="1"/>
    </xf>
    <xf numFmtId="168" fontId="30" fillId="0" borderId="0">
      <alignment wrapText="1"/>
    </xf>
  </cellStyleXfs>
  <cellXfs count="49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67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67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67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67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3" fontId="68" fillId="0" borderId="3" xfId="0" applyNumberFormat="1" applyFont="1" applyFill="1" applyBorder="1" applyAlignment="1">
      <alignment horizontal="center" vertical="center" wrapText="1"/>
    </xf>
    <xf numFmtId="167" fontId="6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166" fontId="68" fillId="0" borderId="0" xfId="0" applyNumberFormat="1" applyFont="1" applyFill="1" applyBorder="1" applyAlignment="1">
      <alignment horizontal="right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67" fontId="72" fillId="0" borderId="3" xfId="0" applyNumberFormat="1" applyFont="1" applyFill="1" applyBorder="1" applyAlignment="1">
      <alignment horizontal="center" vertical="center" wrapText="1"/>
    </xf>
    <xf numFmtId="166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6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167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167" fontId="81" fillId="0" borderId="3" xfId="0" quotePrefix="1" applyNumberFormat="1" applyFont="1" applyFill="1" applyBorder="1" applyAlignment="1">
      <alignment horizontal="center" vertical="center" wrapText="1"/>
    </xf>
    <xf numFmtId="167" fontId="81" fillId="0" borderId="3" xfId="0" applyNumberFormat="1" applyFont="1" applyFill="1" applyBorder="1" applyAlignment="1">
      <alignment horizontal="center" vertical="center" wrapText="1"/>
    </xf>
    <xf numFmtId="167" fontId="83" fillId="0" borderId="3" xfId="0" quotePrefix="1" applyNumberFormat="1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0" fontId="81" fillId="0" borderId="13" xfId="0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3" fontId="8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9" fontId="84" fillId="0" borderId="3" xfId="0" applyNumberFormat="1" applyFont="1" applyFill="1" applyBorder="1" applyAlignment="1">
      <alignment horizontal="left" vertical="center" wrapText="1"/>
    </xf>
    <xf numFmtId="3" fontId="65" fillId="0" borderId="0" xfId="245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center" vertical="center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/>
    </xf>
    <xf numFmtId="49" fontId="84" fillId="0" borderId="3" xfId="0" applyNumberFormat="1" applyFont="1" applyFill="1" applyBorder="1" applyAlignment="1">
      <alignment vertical="center" wrapText="1"/>
    </xf>
    <xf numFmtId="0" fontId="80" fillId="29" borderId="0" xfId="0" applyFont="1" applyFill="1" applyBorder="1" applyAlignment="1">
      <alignment horizontal="center" vertical="center" wrapText="1"/>
    </xf>
    <xf numFmtId="0" fontId="79" fillId="29" borderId="0" xfId="0" quotePrefix="1" applyFont="1" applyFill="1" applyBorder="1" applyAlignment="1">
      <alignment horizontal="center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8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3" fontId="4" fillId="29" borderId="0" xfId="0" quotePrefix="1" applyNumberFormat="1" applyFont="1" applyFill="1" applyBorder="1" applyAlignment="1">
      <alignment horizontal="center" vertical="center"/>
    </xf>
    <xf numFmtId="167" fontId="5" fillId="29" borderId="0" xfId="0" applyNumberFormat="1" applyFont="1" applyFill="1" applyBorder="1" applyAlignment="1">
      <alignment horizontal="center" vertical="center" wrapText="1"/>
    </xf>
    <xf numFmtId="167" fontId="5" fillId="29" borderId="0" xfId="0" quotePrefix="1" applyNumberFormat="1" applyFont="1" applyFill="1" applyBorder="1" applyAlignment="1">
      <alignment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left" vertical="center" wrapText="1"/>
    </xf>
    <xf numFmtId="3" fontId="65" fillId="29" borderId="0" xfId="0" applyNumberFormat="1" applyFont="1" applyFill="1" applyBorder="1" applyAlignment="1">
      <alignment horizontal="center" vertical="center" wrapText="1"/>
    </xf>
    <xf numFmtId="167" fontId="65" fillId="29" borderId="0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 vertical="center" wrapText="1" shrinkToFit="1"/>
    </xf>
    <xf numFmtId="0" fontId="65" fillId="29" borderId="14" xfId="0" applyFont="1" applyFill="1" applyBorder="1" applyAlignment="1">
      <alignment horizontal="center" vertical="center"/>
    </xf>
    <xf numFmtId="0" fontId="65" fillId="29" borderId="14" xfId="0" applyNumberFormat="1" applyFont="1" applyFill="1" applyBorder="1" applyAlignment="1">
      <alignment horizontal="center" vertical="center"/>
    </xf>
    <xf numFmtId="0" fontId="65" fillId="29" borderId="0" xfId="0" applyNumberFormat="1" applyFont="1" applyFill="1" applyBorder="1" applyAlignment="1">
      <alignment horizontal="center" vertical="center"/>
    </xf>
    <xf numFmtId="49" fontId="65" fillId="29" borderId="0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left" vertical="center" wrapText="1"/>
    </xf>
    <xf numFmtId="1" fontId="65" fillId="29" borderId="3" xfId="0" applyNumberFormat="1" applyFont="1" applyFill="1" applyBorder="1" applyAlignment="1">
      <alignment horizontal="center" vertical="center"/>
    </xf>
    <xf numFmtId="167" fontId="68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right" vertical="center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167" fontId="65" fillId="29" borderId="0" xfId="0" applyNumberFormat="1" applyFont="1" applyFill="1" applyAlignment="1">
      <alignment vertical="center"/>
    </xf>
    <xf numFmtId="0" fontId="65" fillId="29" borderId="0" xfId="0" applyFont="1" applyFill="1" applyAlignment="1">
      <alignment horizontal="right" vertical="center"/>
    </xf>
    <xf numFmtId="0" fontId="68" fillId="29" borderId="15" xfId="0" applyFont="1" applyFill="1" applyBorder="1" applyAlignment="1">
      <alignment horizontal="left" vertical="center" wrapText="1"/>
    </xf>
    <xf numFmtId="167" fontId="68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left" vertical="center"/>
    </xf>
    <xf numFmtId="0" fontId="65" fillId="29" borderId="15" xfId="0" applyFont="1" applyFill="1" applyBorder="1" applyAlignment="1">
      <alignment horizontal="center" vertical="center"/>
    </xf>
    <xf numFmtId="167" fontId="65" fillId="29" borderId="3" xfId="0" applyNumberFormat="1" applyFont="1" applyFill="1" applyBorder="1" applyAlignment="1">
      <alignment horizontal="center" vertical="center" wrapText="1"/>
    </xf>
    <xf numFmtId="166" fontId="68" fillId="29" borderId="0" xfId="0" applyNumberFormat="1" applyFont="1" applyFill="1" applyBorder="1" applyAlignment="1">
      <alignment horizontal="right" vertical="center"/>
    </xf>
    <xf numFmtId="0" fontId="66" fillId="29" borderId="0" xfId="0" applyFont="1" applyFill="1" applyAlignment="1">
      <alignment vertical="center"/>
    </xf>
    <xf numFmtId="166" fontId="73" fillId="29" borderId="0" xfId="0" applyNumberFormat="1" applyFont="1" applyFill="1" applyBorder="1" applyAlignment="1">
      <alignment horizontal="right" vertical="center"/>
    </xf>
    <xf numFmtId="0" fontId="65" fillId="29" borderId="0" xfId="0" applyFont="1" applyFill="1" applyBorder="1" applyAlignment="1"/>
    <xf numFmtId="0" fontId="65" fillId="29" borderId="0" xfId="0" applyFont="1" applyFill="1" applyAlignment="1">
      <alignment vertical="center" wrapText="1" shrinkToFit="1"/>
    </xf>
    <xf numFmtId="166" fontId="68" fillId="29" borderId="0" xfId="0" applyNumberFormat="1" applyFont="1" applyFill="1" applyBorder="1" applyAlignment="1">
      <alignment horizontal="center" vertical="center" wrapText="1"/>
    </xf>
    <xf numFmtId="167" fontId="68" fillId="29" borderId="0" xfId="0" applyNumberFormat="1" applyFont="1" applyFill="1" applyBorder="1" applyAlignment="1">
      <alignment horizontal="center" vertical="center"/>
    </xf>
    <xf numFmtId="0" fontId="65" fillId="29" borderId="15" xfId="0" applyFont="1" applyFill="1" applyBorder="1" applyAlignment="1">
      <alignment vertical="center"/>
    </xf>
    <xf numFmtId="167" fontId="72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/>
    <xf numFmtId="3" fontId="65" fillId="29" borderId="16" xfId="0" applyNumberFormat="1" applyFont="1" applyFill="1" applyBorder="1" applyAlignment="1">
      <alignment vertical="center" wrapText="1"/>
    </xf>
    <xf numFmtId="167" fontId="68" fillId="29" borderId="0" xfId="0" applyNumberFormat="1" applyFont="1" applyFill="1" applyBorder="1" applyAlignment="1">
      <alignment vertical="center"/>
    </xf>
    <xf numFmtId="0" fontId="79" fillId="29" borderId="0" xfId="0" applyFont="1" applyFill="1" applyBorder="1" applyAlignment="1">
      <alignment horizontal="center" vertical="top"/>
    </xf>
    <xf numFmtId="3" fontId="65" fillId="29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0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70" fillId="29" borderId="0" xfId="0" applyFont="1" applyFill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167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75" fontId="70" fillId="0" borderId="3" xfId="0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6" fontId="70" fillId="0" borderId="3" xfId="0" applyNumberFormat="1" applyFont="1" applyFill="1" applyBorder="1" applyAlignment="1">
      <alignment horizontal="center" vertical="center" wrapText="1"/>
    </xf>
    <xf numFmtId="177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3" fontId="68" fillId="0" borderId="3" xfId="245" applyNumberFormat="1" applyFont="1" applyFill="1" applyBorder="1" applyAlignment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175" fontId="65" fillId="0" borderId="3" xfId="237" applyNumberFormat="1" applyFont="1" applyFill="1" applyBorder="1" applyAlignment="1">
      <alignment horizontal="center" vertical="center" wrapText="1"/>
    </xf>
    <xf numFmtId="176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67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/>
    </xf>
    <xf numFmtId="1" fontId="65" fillId="0" borderId="3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29" borderId="13" xfId="0" applyFont="1" applyFill="1" applyBorder="1" applyAlignment="1">
      <alignment horizontal="center" vertical="center" wrapText="1"/>
    </xf>
    <xf numFmtId="0" fontId="65" fillId="29" borderId="22" xfId="0" applyFont="1" applyFill="1" applyBorder="1" applyAlignment="1">
      <alignment horizontal="center" vertical="center" wrapText="1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1" xfId="237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67" fontId="65" fillId="0" borderId="3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justify" vertical="center" wrapText="1" shrinkToFit="1"/>
    </xf>
    <xf numFmtId="0" fontId="65" fillId="29" borderId="3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left" vertical="center"/>
    </xf>
    <xf numFmtId="0" fontId="65" fillId="29" borderId="18" xfId="0" applyFont="1" applyFill="1" applyBorder="1" applyAlignment="1">
      <alignment horizontal="left" vertical="center"/>
    </xf>
    <xf numFmtId="0" fontId="65" fillId="29" borderId="17" xfId="0" applyFont="1" applyFill="1" applyBorder="1" applyAlignment="1">
      <alignment horizontal="left" vertical="center"/>
    </xf>
    <xf numFmtId="0" fontId="65" fillId="29" borderId="3" xfId="0" applyNumberFormat="1" applyFont="1" applyFill="1" applyBorder="1" applyAlignment="1">
      <alignment horizontal="center" vertical="center" wrapText="1"/>
    </xf>
    <xf numFmtId="167" fontId="65" fillId="29" borderId="3" xfId="0" applyNumberFormat="1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167" fontId="65" fillId="29" borderId="14" xfId="0" applyNumberFormat="1" applyFont="1" applyFill="1" applyBorder="1" applyAlignment="1">
      <alignment horizontal="center" vertical="center" wrapText="1"/>
    </xf>
    <xf numFmtId="167" fontId="65" fillId="29" borderId="17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left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0" fontId="68" fillId="29" borderId="15" xfId="0" applyFont="1" applyFill="1" applyBorder="1" applyAlignment="1">
      <alignment horizontal="center" vertical="center"/>
    </xf>
    <xf numFmtId="3" fontId="65" fillId="29" borderId="18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29" borderId="18" xfId="0" applyFont="1" applyFill="1" applyBorder="1" applyAlignment="1">
      <alignment horizontal="center" vertical="center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right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left" vertical="center" wrapText="1"/>
    </xf>
    <xf numFmtId="0" fontId="65" fillId="29" borderId="18" xfId="0" applyFont="1" applyFill="1" applyBorder="1" applyAlignment="1">
      <alignment horizontal="left" vertical="center" wrapText="1"/>
    </xf>
    <xf numFmtId="0" fontId="65" fillId="29" borderId="17" xfId="0" applyFont="1" applyFill="1" applyBorder="1" applyAlignment="1">
      <alignment horizontal="left" vertical="center" wrapText="1"/>
    </xf>
    <xf numFmtId="0" fontId="65" fillId="29" borderId="25" xfId="0" applyFont="1" applyFill="1" applyBorder="1" applyAlignment="1">
      <alignment horizontal="center" vertical="center" wrapText="1"/>
    </xf>
    <xf numFmtId="0" fontId="65" fillId="29" borderId="16" xfId="0" applyFont="1" applyFill="1" applyBorder="1" applyAlignment="1">
      <alignment horizontal="center" vertical="center" wrapText="1"/>
    </xf>
    <xf numFmtId="0" fontId="65" fillId="29" borderId="23" xfId="0" applyFont="1" applyFill="1" applyBorder="1" applyAlignment="1">
      <alignment horizontal="center" vertical="center" wrapText="1"/>
    </xf>
    <xf numFmtId="0" fontId="65" fillId="29" borderId="26" xfId="0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center" vertical="center" wrapText="1"/>
    </xf>
    <xf numFmtId="0" fontId="65" fillId="29" borderId="24" xfId="0" applyFont="1" applyFill="1" applyBorder="1" applyAlignment="1">
      <alignment horizontal="center" vertical="center" wrapText="1"/>
    </xf>
    <xf numFmtId="49" fontId="65" fillId="29" borderId="18" xfId="0" applyNumberFormat="1" applyFont="1" applyFill="1" applyBorder="1" applyAlignment="1">
      <alignment horizontal="center" vertical="center" wrapText="1"/>
    </xf>
    <xf numFmtId="0" fontId="65" fillId="29" borderId="21" xfId="0" applyFont="1" applyFill="1" applyBorder="1" applyAlignment="1">
      <alignment horizontal="center" vertical="center" wrapText="1"/>
    </xf>
    <xf numFmtId="49" fontId="65" fillId="29" borderId="16" xfId="0" applyNumberFormat="1" applyFont="1" applyFill="1" applyBorder="1" applyAlignment="1">
      <alignment horizontal="right" vertical="center" wrapText="1"/>
    </xf>
    <xf numFmtId="0" fontId="65" fillId="29" borderId="0" xfId="0" applyFont="1" applyFill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2" fontId="65" fillId="29" borderId="13" xfId="0" applyNumberFormat="1" applyFont="1" applyFill="1" applyBorder="1" applyAlignment="1">
      <alignment horizontal="center" vertical="center" wrapText="1"/>
    </xf>
    <xf numFmtId="2" fontId="65" fillId="29" borderId="21" xfId="0" applyNumberFormat="1" applyFont="1" applyFill="1" applyBorder="1" applyAlignment="1">
      <alignment horizontal="center" vertical="center" wrapText="1"/>
    </xf>
    <xf numFmtId="0" fontId="70" fillId="29" borderId="25" xfId="0" applyFont="1" applyFill="1" applyBorder="1" applyAlignment="1">
      <alignment horizontal="center" vertical="center" wrapText="1"/>
    </xf>
    <xf numFmtId="0" fontId="70" fillId="29" borderId="23" xfId="0" applyFont="1" applyFill="1" applyBorder="1" applyAlignment="1">
      <alignment horizontal="center" vertical="center" wrapText="1"/>
    </xf>
    <xf numFmtId="0" fontId="70" fillId="29" borderId="26" xfId="0" applyFont="1" applyFill="1" applyBorder="1" applyAlignment="1">
      <alignment horizontal="center" vertical="center" wrapText="1"/>
    </xf>
    <xf numFmtId="0" fontId="70" fillId="29" borderId="24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70" fillId="29" borderId="14" xfId="0" applyFont="1" applyFill="1" applyBorder="1" applyAlignment="1">
      <alignment horizontal="center" vertical="center" wrapText="1"/>
    </xf>
    <xf numFmtId="0" fontId="70" fillId="29" borderId="18" xfId="0" applyFont="1" applyFill="1" applyBorder="1" applyAlignment="1">
      <alignment horizontal="center" vertical="center" wrapText="1"/>
    </xf>
    <xf numFmtId="0" fontId="70" fillId="29" borderId="1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174" fontId="65" fillId="29" borderId="3" xfId="0" applyNumberFormat="1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2" fontId="65" fillId="29" borderId="14" xfId="0" applyNumberFormat="1" applyFont="1" applyFill="1" applyBorder="1" applyAlignment="1">
      <alignment horizontal="center" vertical="center" wrapText="1"/>
    </xf>
    <xf numFmtId="2" fontId="65" fillId="29" borderId="18" xfId="0" applyNumberFormat="1" applyFont="1" applyFill="1" applyBorder="1" applyAlignment="1">
      <alignment horizontal="center" vertical="center" wrapText="1"/>
    </xf>
    <xf numFmtId="2" fontId="65" fillId="29" borderId="17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29" borderId="14" xfId="0" applyFont="1" applyFill="1" applyBorder="1" applyAlignment="1">
      <alignment horizontal="center" vertical="center"/>
    </xf>
    <xf numFmtId="0" fontId="70" fillId="29" borderId="18" xfId="0" applyFont="1" applyFill="1" applyBorder="1" applyAlignment="1">
      <alignment horizontal="center" vertical="center"/>
    </xf>
    <xf numFmtId="0" fontId="70" fillId="29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70" fillId="0" borderId="27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1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70" fillId="29" borderId="16" xfId="0" applyFont="1" applyFill="1" applyBorder="1" applyAlignment="1">
      <alignment horizontal="center" vertical="center" wrapText="1"/>
    </xf>
    <xf numFmtId="0" fontId="70" fillId="29" borderId="15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/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/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/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181</xdr:row>
      <xdr:rowOff>0</xdr:rowOff>
    </xdr:from>
    <xdr:to>
      <xdr:col>0</xdr:col>
      <xdr:colOff>4838700</xdr:colOff>
      <xdr:row>181</xdr:row>
      <xdr:rowOff>0</xdr:rowOff>
    </xdr:to>
    <xdr:sp macro="" textlink="">
      <xdr:nvSpPr>
        <xdr:cNvPr id="31076" name="Line 1"/>
        <xdr:cNvSpPr>
          <a:spLocks noChangeShapeType="1"/>
        </xdr:cNvSpPr>
      </xdr:nvSpPr>
      <xdr:spPr bwMode="auto">
        <a:xfrm>
          <a:off x="1295400" y="62531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181</xdr:row>
      <xdr:rowOff>0</xdr:rowOff>
    </xdr:from>
    <xdr:to>
      <xdr:col>4</xdr:col>
      <xdr:colOff>552450</xdr:colOff>
      <xdr:row>181</xdr:row>
      <xdr:rowOff>0</xdr:rowOff>
    </xdr:to>
    <xdr:sp macro="" textlink="">
      <xdr:nvSpPr>
        <xdr:cNvPr id="31077" name="Line 2"/>
        <xdr:cNvSpPr>
          <a:spLocks noChangeShapeType="1"/>
        </xdr:cNvSpPr>
      </xdr:nvSpPr>
      <xdr:spPr bwMode="auto">
        <a:xfrm>
          <a:off x="5619750" y="6253162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181</xdr:row>
      <xdr:rowOff>0</xdr:rowOff>
    </xdr:from>
    <xdr:to>
      <xdr:col>7</xdr:col>
      <xdr:colOff>1619250</xdr:colOff>
      <xdr:row>181</xdr:row>
      <xdr:rowOff>0</xdr:rowOff>
    </xdr:to>
    <xdr:sp macro="" textlink="">
      <xdr:nvSpPr>
        <xdr:cNvPr id="31078" name="Line 3"/>
        <xdr:cNvSpPr>
          <a:spLocks noChangeShapeType="1"/>
        </xdr:cNvSpPr>
      </xdr:nvSpPr>
      <xdr:spPr bwMode="auto">
        <a:xfrm>
          <a:off x="9315450" y="62531625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/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/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/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91</xdr:row>
      <xdr:rowOff>0</xdr:rowOff>
    </xdr:from>
    <xdr:to>
      <xdr:col>0</xdr:col>
      <xdr:colOff>3971925</xdr:colOff>
      <xdr:row>91</xdr:row>
      <xdr:rowOff>0</xdr:rowOff>
    </xdr:to>
    <xdr:sp macro="" textlink="">
      <xdr:nvSpPr>
        <xdr:cNvPr id="34104" name="Line 1"/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91</xdr:row>
      <xdr:rowOff>0</xdr:rowOff>
    </xdr:from>
    <xdr:to>
      <xdr:col>3</xdr:col>
      <xdr:colOff>723900</xdr:colOff>
      <xdr:row>91</xdr:row>
      <xdr:rowOff>0</xdr:rowOff>
    </xdr:to>
    <xdr:sp macro="" textlink="">
      <xdr:nvSpPr>
        <xdr:cNvPr id="34105" name="Line 2"/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91</xdr:row>
      <xdr:rowOff>0</xdr:rowOff>
    </xdr:from>
    <xdr:to>
      <xdr:col>7</xdr:col>
      <xdr:colOff>38100</xdr:colOff>
      <xdr:row>91</xdr:row>
      <xdr:rowOff>0</xdr:rowOff>
    </xdr:to>
    <xdr:sp macro="" textlink="">
      <xdr:nvSpPr>
        <xdr:cNvPr id="34106" name="Line 3"/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/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/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/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/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/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/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/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/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/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topLeftCell="A73" zoomScale="70" zoomScaleNormal="60" zoomScaleSheetLayoutView="70" workbookViewId="0">
      <selection activeCell="D5" sqref="D5"/>
    </sheetView>
  </sheetViews>
  <sheetFormatPr defaultRowHeight="23.25"/>
  <cols>
    <col min="1" max="1" width="72.5703125" style="43" customWidth="1"/>
    <col min="2" max="2" width="17.140625" style="89" customWidth="1"/>
    <col min="3" max="4" width="25.28515625" style="223" customWidth="1"/>
    <col min="5" max="5" width="23.42578125" style="223" customWidth="1"/>
    <col min="6" max="6" width="23.85546875" style="223" customWidth="1"/>
    <col min="7" max="7" width="22.42578125" style="89" customWidth="1"/>
    <col min="8" max="8" width="10" style="43" customWidth="1"/>
    <col min="9" max="9" width="9.5703125" style="43" customWidth="1"/>
    <col min="10" max="16384" width="9.140625" style="43"/>
  </cols>
  <sheetData>
    <row r="1" spans="1:11" ht="23.25" customHeight="1">
      <c r="B1" s="91"/>
      <c r="D1" s="163"/>
      <c r="E1" s="163" t="s">
        <v>239</v>
      </c>
      <c r="F1" s="163"/>
      <c r="G1" s="43"/>
      <c r="H1" s="92"/>
      <c r="I1" s="92"/>
      <c r="J1" s="92"/>
      <c r="K1" s="92"/>
    </row>
    <row r="2" spans="1:11" ht="18.75" customHeight="1">
      <c r="A2" s="93"/>
      <c r="D2" s="164"/>
      <c r="E2" s="276" t="s">
        <v>356</v>
      </c>
      <c r="F2" s="276"/>
      <c r="G2" s="276"/>
      <c r="H2" s="92"/>
      <c r="I2" s="92"/>
      <c r="J2" s="92"/>
      <c r="K2" s="92"/>
    </row>
    <row r="3" spans="1:11" ht="18.75" customHeight="1">
      <c r="A3" s="89"/>
      <c r="C3" s="164"/>
      <c r="D3" s="164"/>
      <c r="E3" s="276"/>
      <c r="F3" s="276"/>
      <c r="G3" s="276"/>
      <c r="H3" s="92"/>
      <c r="I3" s="92"/>
      <c r="J3" s="92"/>
      <c r="K3" s="92"/>
    </row>
    <row r="4" spans="1:11" ht="18.75" customHeight="1">
      <c r="A4" s="89"/>
      <c r="C4" s="164"/>
      <c r="D4" s="164"/>
      <c r="E4" s="276"/>
      <c r="F4" s="276"/>
      <c r="G4" s="276"/>
      <c r="H4" s="92"/>
      <c r="I4" s="92"/>
      <c r="J4" s="92"/>
      <c r="K4" s="92"/>
    </row>
    <row r="5" spans="1:11" ht="71.25" customHeight="1">
      <c r="B5" s="96"/>
      <c r="C5" s="226"/>
      <c r="E5" s="277"/>
      <c r="F5" s="277"/>
      <c r="G5" s="277"/>
    </row>
    <row r="6" spans="1:11" ht="25.5" customHeight="1">
      <c r="A6" s="97"/>
      <c r="B6" s="271"/>
      <c r="C6" s="271"/>
      <c r="D6" s="271"/>
      <c r="E6" s="165"/>
      <c r="F6" s="228" t="s">
        <v>138</v>
      </c>
      <c r="G6" s="90" t="s">
        <v>260</v>
      </c>
    </row>
    <row r="7" spans="1:11" ht="25.5" customHeight="1">
      <c r="A7" s="98" t="s">
        <v>14</v>
      </c>
      <c r="B7" s="271" t="s">
        <v>551</v>
      </c>
      <c r="C7" s="271"/>
      <c r="D7" s="271"/>
      <c r="E7" s="166"/>
      <c r="F7" s="229" t="s">
        <v>131</v>
      </c>
      <c r="G7" s="157" t="s">
        <v>552</v>
      </c>
    </row>
    <row r="8" spans="1:11" ht="25.5" customHeight="1">
      <c r="A8" s="97" t="s">
        <v>15</v>
      </c>
      <c r="B8" s="271" t="s">
        <v>389</v>
      </c>
      <c r="C8" s="271"/>
      <c r="D8" s="271"/>
      <c r="E8" s="165"/>
      <c r="F8" s="229" t="s">
        <v>130</v>
      </c>
      <c r="G8" s="90"/>
    </row>
    <row r="9" spans="1:11" ht="25.5" customHeight="1">
      <c r="A9" s="97" t="s">
        <v>19</v>
      </c>
      <c r="B9" s="271"/>
      <c r="C9" s="271"/>
      <c r="D9" s="271"/>
      <c r="E9" s="165"/>
      <c r="F9" s="229" t="s">
        <v>129</v>
      </c>
      <c r="G9" s="90">
        <v>1210136600</v>
      </c>
    </row>
    <row r="10" spans="1:11" ht="25.5" customHeight="1">
      <c r="A10" s="98" t="s">
        <v>380</v>
      </c>
      <c r="B10" s="271" t="s">
        <v>390</v>
      </c>
      <c r="C10" s="271"/>
      <c r="D10" s="271"/>
      <c r="E10" s="272"/>
      <c r="F10" s="229" t="s">
        <v>9</v>
      </c>
      <c r="G10" s="90">
        <v>1009</v>
      </c>
    </row>
    <row r="11" spans="1:11" ht="25.5" customHeight="1">
      <c r="A11" s="98" t="s">
        <v>17</v>
      </c>
      <c r="B11" s="271"/>
      <c r="C11" s="271"/>
      <c r="D11" s="271"/>
      <c r="E11" s="166"/>
      <c r="F11" s="229" t="s">
        <v>8</v>
      </c>
      <c r="G11" s="90">
        <v>90219</v>
      </c>
    </row>
    <row r="12" spans="1:11" ht="48.75" customHeight="1">
      <c r="A12" s="98" t="s">
        <v>16</v>
      </c>
      <c r="B12" s="271" t="s">
        <v>570</v>
      </c>
      <c r="C12" s="271"/>
      <c r="D12" s="271"/>
      <c r="E12" s="272"/>
      <c r="F12" s="229" t="s">
        <v>10</v>
      </c>
      <c r="G12" s="90" t="s">
        <v>569</v>
      </c>
    </row>
    <row r="13" spans="1:11" ht="25.5" customHeight="1">
      <c r="A13" s="98" t="s">
        <v>327</v>
      </c>
      <c r="B13" s="271" t="s">
        <v>391</v>
      </c>
      <c r="C13" s="271"/>
      <c r="D13" s="271"/>
      <c r="E13" s="273" t="s">
        <v>193</v>
      </c>
      <c r="F13" s="274"/>
      <c r="G13" s="99"/>
    </row>
    <row r="14" spans="1:11" ht="25.5" customHeight="1">
      <c r="A14" s="98" t="s">
        <v>20</v>
      </c>
      <c r="B14" s="271" t="s">
        <v>389</v>
      </c>
      <c r="C14" s="271"/>
      <c r="D14" s="271"/>
      <c r="E14" s="273" t="s">
        <v>194</v>
      </c>
      <c r="F14" s="294"/>
      <c r="G14" s="99"/>
    </row>
    <row r="15" spans="1:11" ht="25.5" customHeight="1">
      <c r="A15" s="98" t="s">
        <v>105</v>
      </c>
      <c r="B15" s="271">
        <v>129</v>
      </c>
      <c r="C15" s="271"/>
      <c r="D15" s="271"/>
      <c r="E15" s="167"/>
      <c r="F15" s="167"/>
      <c r="G15" s="100"/>
    </row>
    <row r="16" spans="1:11" ht="25.5" customHeight="1">
      <c r="A16" s="97" t="s">
        <v>11</v>
      </c>
      <c r="B16" s="271" t="s">
        <v>392</v>
      </c>
      <c r="C16" s="271"/>
      <c r="D16" s="271"/>
      <c r="E16" s="168"/>
      <c r="F16" s="168"/>
      <c r="G16" s="101"/>
    </row>
    <row r="17" spans="1:17" ht="25.5" customHeight="1">
      <c r="A17" s="98" t="s">
        <v>12</v>
      </c>
      <c r="B17" s="271" t="s">
        <v>393</v>
      </c>
      <c r="C17" s="271"/>
      <c r="D17" s="271"/>
      <c r="E17" s="167"/>
      <c r="F17" s="167"/>
      <c r="G17" s="100"/>
    </row>
    <row r="18" spans="1:17" ht="25.5" customHeight="1">
      <c r="A18" s="97" t="s">
        <v>13</v>
      </c>
      <c r="B18" s="271" t="s">
        <v>571</v>
      </c>
      <c r="C18" s="271"/>
      <c r="D18" s="271"/>
      <c r="E18" s="168"/>
      <c r="F18" s="168"/>
      <c r="G18" s="101"/>
    </row>
    <row r="19" spans="1:17" ht="13.5" customHeight="1">
      <c r="A19" s="102"/>
      <c r="B19" s="43"/>
      <c r="C19" s="163"/>
      <c r="D19" s="163"/>
      <c r="E19" s="163"/>
      <c r="F19" s="163"/>
      <c r="G19" s="43"/>
    </row>
    <row r="20" spans="1:17" ht="46.5" customHeight="1">
      <c r="A20" s="284" t="s">
        <v>240</v>
      </c>
      <c r="B20" s="284"/>
      <c r="C20" s="284"/>
      <c r="D20" s="284"/>
      <c r="E20" s="284"/>
      <c r="F20" s="284"/>
      <c r="G20" s="284"/>
    </row>
    <row r="21" spans="1:17" ht="27">
      <c r="A21" s="284" t="s">
        <v>379</v>
      </c>
      <c r="B21" s="284"/>
      <c r="C21" s="284"/>
      <c r="D21" s="284"/>
      <c r="E21" s="284"/>
      <c r="F21" s="284"/>
      <c r="G21" s="284"/>
    </row>
    <row r="22" spans="1:17">
      <c r="A22" s="283" t="s">
        <v>603</v>
      </c>
      <c r="B22" s="283"/>
      <c r="C22" s="283"/>
      <c r="D22" s="283"/>
      <c r="E22" s="283"/>
      <c r="F22" s="283"/>
      <c r="G22" s="283"/>
    </row>
    <row r="23" spans="1:17">
      <c r="A23" s="288" t="s">
        <v>354</v>
      </c>
      <c r="B23" s="288"/>
      <c r="C23" s="288"/>
      <c r="D23" s="288"/>
      <c r="E23" s="288"/>
      <c r="F23" s="288"/>
      <c r="G23" s="288"/>
    </row>
    <row r="24" spans="1:17" ht="9" customHeight="1">
      <c r="A24" s="103"/>
      <c r="B24" s="103"/>
      <c r="C24" s="169"/>
      <c r="D24" s="169"/>
      <c r="E24" s="169"/>
      <c r="F24" s="169"/>
      <c r="G24" s="103"/>
    </row>
    <row r="25" spans="1:17">
      <c r="A25" s="283" t="s">
        <v>206</v>
      </c>
      <c r="B25" s="283"/>
      <c r="C25" s="283"/>
      <c r="D25" s="283"/>
      <c r="E25" s="283"/>
      <c r="F25" s="283"/>
      <c r="G25" s="283"/>
    </row>
    <row r="26" spans="1:17" ht="12" customHeight="1">
      <c r="B26" s="104"/>
      <c r="C26" s="170"/>
      <c r="D26" s="170"/>
      <c r="E26" s="170"/>
      <c r="F26" s="170"/>
      <c r="G26" s="104"/>
    </row>
    <row r="27" spans="1:17" ht="43.5" customHeight="1">
      <c r="A27" s="286" t="s">
        <v>287</v>
      </c>
      <c r="B27" s="282" t="s">
        <v>18</v>
      </c>
      <c r="C27" s="292" t="s">
        <v>355</v>
      </c>
      <c r="D27" s="285" t="s">
        <v>353</v>
      </c>
      <c r="E27" s="285"/>
      <c r="F27" s="285"/>
      <c r="G27" s="285"/>
      <c r="Q27" s="43" t="s">
        <v>372</v>
      </c>
    </row>
    <row r="28" spans="1:17" ht="44.25" customHeight="1">
      <c r="A28" s="286"/>
      <c r="B28" s="282"/>
      <c r="C28" s="293"/>
      <c r="D28" s="105" t="s">
        <v>265</v>
      </c>
      <c r="E28" s="105" t="s">
        <v>248</v>
      </c>
      <c r="F28" s="105" t="s">
        <v>275</v>
      </c>
      <c r="G28" s="105" t="s">
        <v>276</v>
      </c>
    </row>
    <row r="29" spans="1:17" ht="30" customHeight="1">
      <c r="A29" s="236">
        <v>1</v>
      </c>
      <c r="B29" s="235">
        <v>2</v>
      </c>
      <c r="C29" s="236">
        <v>3</v>
      </c>
      <c r="D29" s="236">
        <v>4</v>
      </c>
      <c r="E29" s="235">
        <v>5</v>
      </c>
      <c r="F29" s="236">
        <v>6</v>
      </c>
      <c r="G29" s="235">
        <v>7</v>
      </c>
    </row>
    <row r="30" spans="1:17" ht="24.95" customHeight="1">
      <c r="A30" s="281" t="s">
        <v>98</v>
      </c>
      <c r="B30" s="281"/>
      <c r="C30" s="281"/>
      <c r="D30" s="281"/>
      <c r="E30" s="281"/>
      <c r="F30" s="281"/>
      <c r="G30" s="281"/>
    </row>
    <row r="31" spans="1:17" ht="46.5">
      <c r="A31" s="106" t="s">
        <v>207</v>
      </c>
      <c r="B31" s="235">
        <f>'1. Фін результат'!B9</f>
        <v>1000</v>
      </c>
      <c r="C31" s="252">
        <f>'1. Фін результат'!C9</f>
        <v>63547</v>
      </c>
      <c r="D31" s="252">
        <f>'1. Фін результат'!D9</f>
        <v>58792</v>
      </c>
      <c r="E31" s="252">
        <f>'1. Фін результат'!E9</f>
        <v>55010</v>
      </c>
      <c r="F31" s="252">
        <f>E31-D31</f>
        <v>-3782</v>
      </c>
      <c r="G31" s="107">
        <f>E31/D31*100</f>
        <v>93.567151993468499</v>
      </c>
    </row>
    <row r="32" spans="1:17" ht="46.5">
      <c r="A32" s="106" t="s">
        <v>176</v>
      </c>
      <c r="B32" s="235">
        <f>'1. Фін результат'!B13</f>
        <v>1010</v>
      </c>
      <c r="C32" s="252">
        <f>'1. Фін результат'!C13</f>
        <v>59720</v>
      </c>
      <c r="D32" s="252">
        <f>'1. Фін результат'!D13</f>
        <v>55077</v>
      </c>
      <c r="E32" s="252">
        <f>'1. Фін результат'!E13</f>
        <v>50933</v>
      </c>
      <c r="F32" s="252">
        <f t="shared" ref="F32:F44" si="0">E32-D32</f>
        <v>-4144</v>
      </c>
      <c r="G32" s="107">
        <f t="shared" ref="G32:G44" si="1">E32/D32*100</f>
        <v>92.475988162027704</v>
      </c>
    </row>
    <row r="33" spans="1:7">
      <c r="A33" s="108" t="s">
        <v>266</v>
      </c>
      <c r="B33" s="235">
        <f>'1. Фін результат'!B57</f>
        <v>1020</v>
      </c>
      <c r="C33" s="252">
        <f>C31-C32</f>
        <v>3827</v>
      </c>
      <c r="D33" s="252">
        <f>D31-D32</f>
        <v>3715</v>
      </c>
      <c r="E33" s="252">
        <f>E31-E32</f>
        <v>4077</v>
      </c>
      <c r="F33" s="252">
        <f t="shared" si="0"/>
        <v>362</v>
      </c>
      <c r="G33" s="107">
        <f t="shared" si="1"/>
        <v>109.7442799461642</v>
      </c>
    </row>
    <row r="34" spans="1:7">
      <c r="A34" s="106" t="s">
        <v>142</v>
      </c>
      <c r="B34" s="235">
        <f>'1. Фін результат'!B69</f>
        <v>1040</v>
      </c>
      <c r="C34" s="252">
        <f>'1. Фін результат'!C69</f>
        <v>2981</v>
      </c>
      <c r="D34" s="252">
        <f>'1. Фін результат'!D69</f>
        <v>3870</v>
      </c>
      <c r="E34" s="252">
        <f>'1. Фін результат'!E69</f>
        <v>3767</v>
      </c>
      <c r="F34" s="252">
        <f t="shared" si="0"/>
        <v>-103</v>
      </c>
      <c r="G34" s="107">
        <f t="shared" si="1"/>
        <v>97.338501291989672</v>
      </c>
    </row>
    <row r="35" spans="1:7">
      <c r="A35" s="106" t="s">
        <v>139</v>
      </c>
      <c r="B35" s="235">
        <f>'1. Фін результат'!B98</f>
        <v>1070</v>
      </c>
      <c r="C35" s="252"/>
      <c r="D35" s="252"/>
      <c r="E35" s="252"/>
      <c r="F35" s="252"/>
      <c r="G35" s="107"/>
    </row>
    <row r="36" spans="1:7">
      <c r="A36" s="106" t="s">
        <v>143</v>
      </c>
      <c r="B36" s="235">
        <f>'1. Фін результат'!B159</f>
        <v>1300</v>
      </c>
      <c r="C36" s="252">
        <f>'1. Фін результат'!C159</f>
        <v>595</v>
      </c>
      <c r="D36" s="252">
        <f>'1. Фін результат'!D159</f>
        <v>1330</v>
      </c>
      <c r="E36" s="252">
        <f>'1. Фін результат'!E159</f>
        <v>1029</v>
      </c>
      <c r="F36" s="252">
        <f t="shared" si="0"/>
        <v>-301</v>
      </c>
      <c r="G36" s="107">
        <f t="shared" si="1"/>
        <v>77.368421052631575</v>
      </c>
    </row>
    <row r="37" spans="1:7" ht="45">
      <c r="A37" s="109" t="s">
        <v>4</v>
      </c>
      <c r="B37" s="235">
        <f>'1. Фін результат'!B133</f>
        <v>1100</v>
      </c>
      <c r="C37" s="252">
        <f>'1. Фін результат'!C133</f>
        <v>1441</v>
      </c>
      <c r="D37" s="252">
        <f>'1. Фін результат'!D133</f>
        <v>1175</v>
      </c>
      <c r="E37" s="252">
        <f>'1. Фін результат'!E133</f>
        <v>1339</v>
      </c>
      <c r="F37" s="252">
        <f t="shared" si="0"/>
        <v>164</v>
      </c>
      <c r="G37" s="107">
        <f t="shared" si="1"/>
        <v>113.95744680851064</v>
      </c>
    </row>
    <row r="38" spans="1:7">
      <c r="A38" s="110" t="s">
        <v>144</v>
      </c>
      <c r="B38" s="235">
        <f>'1. Фін результат'!B170</f>
        <v>1410</v>
      </c>
      <c r="C38" s="252">
        <f>'1. Фін результат'!C170</f>
        <v>5881</v>
      </c>
      <c r="D38" s="252">
        <f>'1. Фін результат'!D170</f>
        <v>15822</v>
      </c>
      <c r="E38" s="252">
        <f>'1. Фін результат'!E170</f>
        <v>2991</v>
      </c>
      <c r="F38" s="252">
        <f t="shared" si="0"/>
        <v>-12831</v>
      </c>
      <c r="G38" s="107">
        <f t="shared" si="1"/>
        <v>18.904057641259005</v>
      </c>
    </row>
    <row r="39" spans="1:7">
      <c r="A39" s="111" t="s">
        <v>230</v>
      </c>
      <c r="B39" s="235">
        <f>' 5. Коефіцієнти'!B8</f>
        <v>5010</v>
      </c>
      <c r="C39" s="253">
        <f>C38*100/C31</f>
        <v>9.2545674854831859</v>
      </c>
      <c r="D39" s="254">
        <f>D38*100/D31</f>
        <v>26.9118247380596</v>
      </c>
      <c r="E39" s="253">
        <f>E38*100/E31</f>
        <v>5.4371932375931653</v>
      </c>
      <c r="F39" s="252">
        <f>E39-D39</f>
        <v>-21.474631500466437</v>
      </c>
      <c r="G39" s="107"/>
    </row>
    <row r="40" spans="1:7" ht="46.5">
      <c r="A40" s="111" t="s">
        <v>145</v>
      </c>
      <c r="B40" s="235">
        <f>'1. Фін результат'!B160</f>
        <v>1310</v>
      </c>
      <c r="C40" s="252"/>
      <c r="D40" s="252"/>
      <c r="E40" s="252"/>
      <c r="F40" s="252"/>
      <c r="G40" s="107"/>
    </row>
    <row r="41" spans="1:7">
      <c r="A41" s="106" t="s">
        <v>234</v>
      </c>
      <c r="B41" s="235">
        <f>'1. Фін результат'!B161</f>
        <v>1320</v>
      </c>
      <c r="C41" s="252">
        <f>'1. Фін результат'!C161</f>
        <v>-598</v>
      </c>
      <c r="D41" s="252">
        <f>'1. Фін результат'!D161</f>
        <v>-250</v>
      </c>
      <c r="E41" s="252">
        <f>'1. Фін результат'!E161</f>
        <v>-1299</v>
      </c>
      <c r="F41" s="252">
        <f t="shared" si="0"/>
        <v>-1049</v>
      </c>
      <c r="G41" s="107">
        <f t="shared" si="1"/>
        <v>519.6</v>
      </c>
    </row>
    <row r="42" spans="1:7">
      <c r="A42" s="110" t="s">
        <v>96</v>
      </c>
      <c r="B42" s="235">
        <f>'1. Фін результат'!B151</f>
        <v>1170</v>
      </c>
      <c r="C42" s="252">
        <f>'1. Фін результат'!C151</f>
        <v>843</v>
      </c>
      <c r="D42" s="252">
        <f>'1. Фін результат'!D151</f>
        <v>925</v>
      </c>
      <c r="E42" s="252">
        <f>'1. Фін результат'!E151</f>
        <v>40</v>
      </c>
      <c r="F42" s="252">
        <f t="shared" si="0"/>
        <v>-885</v>
      </c>
      <c r="G42" s="107">
        <f t="shared" si="1"/>
        <v>4.3243243243243246</v>
      </c>
    </row>
    <row r="43" spans="1:7">
      <c r="A43" s="112" t="s">
        <v>140</v>
      </c>
      <c r="B43" s="235">
        <f>'1. Фін результат'!B152</f>
        <v>1180</v>
      </c>
      <c r="C43" s="252">
        <f>'1. Фін результат'!C152</f>
        <v>152</v>
      </c>
      <c r="D43" s="252">
        <f>'1. Фін результат'!D152</f>
        <v>167</v>
      </c>
      <c r="E43" s="252">
        <f>'1. Фін результат'!E152</f>
        <v>7</v>
      </c>
      <c r="F43" s="252"/>
      <c r="G43" s="107"/>
    </row>
    <row r="44" spans="1:7">
      <c r="A44" s="109" t="s">
        <v>231</v>
      </c>
      <c r="B44" s="235">
        <f>'1. Фін результат'!B154</f>
        <v>1200</v>
      </c>
      <c r="C44" s="252">
        <f>'1. Фін результат'!C154</f>
        <v>691</v>
      </c>
      <c r="D44" s="252">
        <f>'1. Фін результат'!D154</f>
        <v>758</v>
      </c>
      <c r="E44" s="252">
        <f>'1. Фін результат'!E154</f>
        <v>33</v>
      </c>
      <c r="F44" s="252">
        <f t="shared" si="0"/>
        <v>-725</v>
      </c>
      <c r="G44" s="107">
        <f t="shared" si="1"/>
        <v>4.3535620052770447</v>
      </c>
    </row>
    <row r="45" spans="1:7">
      <c r="A45" s="111" t="s">
        <v>232</v>
      </c>
      <c r="B45" s="235">
        <f>' 5. Коефіцієнти'!B11</f>
        <v>5040</v>
      </c>
      <c r="C45" s="253">
        <f>' 5. Коефіцієнти'!D11</f>
        <v>1.0873841408721104E-2</v>
      </c>
      <c r="D45" s="253">
        <f>D44/D31</f>
        <v>1.2892910600081645E-2</v>
      </c>
      <c r="E45" s="255">
        <f>' 5. Коефіцієнти'!E11</f>
        <v>5.9989092892201413E-4</v>
      </c>
      <c r="F45" s="252">
        <f>E45-D45</f>
        <v>-1.229301967115963E-2</v>
      </c>
      <c r="G45" s="107"/>
    </row>
    <row r="46" spans="1:7">
      <c r="A46" s="278" t="s">
        <v>157</v>
      </c>
      <c r="B46" s="279"/>
      <c r="C46" s="279"/>
      <c r="D46" s="279"/>
      <c r="E46" s="279"/>
      <c r="F46" s="279"/>
      <c r="G46" s="280"/>
    </row>
    <row r="47" spans="1:7">
      <c r="A47" s="111" t="s">
        <v>357</v>
      </c>
      <c r="B47" s="235">
        <f>'2. Розрахунки з бюджетом'!B20</f>
        <v>2100</v>
      </c>
      <c r="C47" s="252">
        <f>'2. Розрахунки з бюджетом'!C20</f>
        <v>456.06</v>
      </c>
      <c r="D47" s="252">
        <f>'2. Розрахунки з бюджетом'!D20</f>
        <v>499.7</v>
      </c>
      <c r="E47" s="252">
        <f>'2. Розрахунки з бюджетом'!E20</f>
        <v>21.779999999999998</v>
      </c>
      <c r="F47" s="252">
        <f t="shared" ref="F47:F52" si="2">E47-D47</f>
        <v>-477.92</v>
      </c>
      <c r="G47" s="107">
        <f t="shared" ref="G47:G52" si="3">E47/D47*100</f>
        <v>4.3586151691014603</v>
      </c>
    </row>
    <row r="48" spans="1:7">
      <c r="A48" s="113" t="s">
        <v>156</v>
      </c>
      <c r="B48" s="235">
        <f>'2. Розрахунки з бюджетом'!B23</f>
        <v>2110</v>
      </c>
      <c r="C48" s="252">
        <f>'2. Розрахунки з бюджетом'!C23</f>
        <v>152</v>
      </c>
      <c r="D48" s="252">
        <f>'2. Розрахунки з бюджетом'!D23</f>
        <v>167</v>
      </c>
      <c r="E48" s="252">
        <f>'2. Розрахунки з бюджетом'!E23</f>
        <v>7</v>
      </c>
      <c r="F48" s="252">
        <f t="shared" si="2"/>
        <v>-160</v>
      </c>
      <c r="G48" s="107"/>
    </row>
    <row r="49" spans="1:7" ht="46.5">
      <c r="A49" s="113" t="s">
        <v>348</v>
      </c>
      <c r="B49" s="235" t="s">
        <v>320</v>
      </c>
      <c r="C49" s="252">
        <f>'2. Розрахунки з бюджетом'!C24</f>
        <v>2991</v>
      </c>
      <c r="D49" s="252">
        <f>'2. Розрахунки з бюджетом'!D24</f>
        <v>2300</v>
      </c>
      <c r="E49" s="252">
        <f>'2. Розрахунки з бюджетом'!E24</f>
        <v>815</v>
      </c>
      <c r="F49" s="252">
        <f t="shared" si="2"/>
        <v>-1485</v>
      </c>
      <c r="G49" s="107">
        <f t="shared" si="3"/>
        <v>35.434782608695656</v>
      </c>
    </row>
    <row r="50" spans="1:7" ht="46.5">
      <c r="A50" s="111" t="s">
        <v>258</v>
      </c>
      <c r="B50" s="235">
        <f>'2. Розрахунки з бюджетом'!B26</f>
        <v>2140</v>
      </c>
      <c r="C50" s="252">
        <f>'2. Розрахунки з бюджетом'!C26</f>
        <v>2239</v>
      </c>
      <c r="D50" s="252">
        <f>'2. Розрахунки з бюджетом'!D26</f>
        <v>2568</v>
      </c>
      <c r="E50" s="252">
        <f>'2. Розрахунки з бюджетом'!E26</f>
        <v>2498</v>
      </c>
      <c r="F50" s="252">
        <f t="shared" si="2"/>
        <v>-70</v>
      </c>
      <c r="G50" s="107">
        <f t="shared" si="3"/>
        <v>97.274143302180676</v>
      </c>
    </row>
    <row r="51" spans="1:7" ht="46.5">
      <c r="A51" s="111" t="s">
        <v>83</v>
      </c>
      <c r="B51" s="235">
        <f>'2. Розрахунки з бюджетом'!B37</f>
        <v>2150</v>
      </c>
      <c r="C51" s="252">
        <f>'2. Розрахунки з бюджетом'!C37</f>
        <v>2442</v>
      </c>
      <c r="D51" s="252">
        <f>'2. Розрахунки з бюджетом'!D37</f>
        <v>2635</v>
      </c>
      <c r="E51" s="252">
        <f>'2. Розрахунки з бюджетом'!E37</f>
        <v>2606</v>
      </c>
      <c r="F51" s="252">
        <f t="shared" si="2"/>
        <v>-29</v>
      </c>
      <c r="G51" s="107">
        <f t="shared" si="3"/>
        <v>98.899430740037957</v>
      </c>
    </row>
    <row r="52" spans="1:7">
      <c r="A52" s="110" t="s">
        <v>267</v>
      </c>
      <c r="B52" s="235">
        <f>'2. Розрахунки з бюджетом'!B38</f>
        <v>2200</v>
      </c>
      <c r="C52" s="252">
        <f>'2. Розрахунки з бюджетом'!C38</f>
        <v>8280.06</v>
      </c>
      <c r="D52" s="252">
        <f>'2. Розрахунки з бюджетом'!D38</f>
        <v>8169.7</v>
      </c>
      <c r="E52" s="252">
        <f>'2. Розрахунки з бюджетом'!E38</f>
        <v>5947.78</v>
      </c>
      <c r="F52" s="252">
        <f t="shared" si="2"/>
        <v>-2221.92</v>
      </c>
      <c r="G52" s="107">
        <f t="shared" si="3"/>
        <v>72.802918099807826</v>
      </c>
    </row>
    <row r="53" spans="1:7">
      <c r="A53" s="278" t="s">
        <v>155</v>
      </c>
      <c r="B53" s="279"/>
      <c r="C53" s="279"/>
      <c r="D53" s="279"/>
      <c r="E53" s="279"/>
      <c r="F53" s="279"/>
      <c r="G53" s="280"/>
    </row>
    <row r="54" spans="1:7">
      <c r="A54" s="110" t="s">
        <v>146</v>
      </c>
      <c r="B54" s="235">
        <f>'3. Рух грошових коштів'!B85</f>
        <v>3600</v>
      </c>
      <c r="C54" s="252">
        <f>'3. Рух грошових коштів'!C85</f>
        <v>25426</v>
      </c>
      <c r="D54" s="252">
        <f>'3. Рух грошових коштів'!D85</f>
        <v>12469</v>
      </c>
      <c r="E54" s="252">
        <f>'3. Рух грошових коштів'!E85</f>
        <v>12469</v>
      </c>
      <c r="F54" s="252">
        <f>E54-D54</f>
        <v>0</v>
      </c>
      <c r="G54" s="107">
        <f>E54/D54*100</f>
        <v>100</v>
      </c>
    </row>
    <row r="55" spans="1:7" ht="46.5">
      <c r="A55" s="111" t="s">
        <v>147</v>
      </c>
      <c r="B55" s="235">
        <f>'3. Рух грошових коштів'!B31</f>
        <v>3090</v>
      </c>
      <c r="C55" s="252">
        <f>'3. Рух грошових коштів'!C31</f>
        <v>-56826</v>
      </c>
      <c r="D55" s="252">
        <f>'3. Рух грошових коштів'!D31</f>
        <v>2905</v>
      </c>
      <c r="E55" s="252">
        <f>'3. Рух грошових коштів'!E31</f>
        <v>-27352</v>
      </c>
      <c r="F55" s="252">
        <f>E55-D55</f>
        <v>-30257</v>
      </c>
      <c r="G55" s="107">
        <f>E55/D55*100</f>
        <v>-941.54905335628223</v>
      </c>
    </row>
    <row r="56" spans="1:7" ht="46.5">
      <c r="A56" s="111" t="s">
        <v>235</v>
      </c>
      <c r="B56" s="235">
        <f>'3. Рух грошових коштів'!B54</f>
        <v>3320</v>
      </c>
      <c r="C56" s="252">
        <f>'3. Рух грошових коштів'!C54</f>
        <v>0</v>
      </c>
      <c r="D56" s="252">
        <f>'3. Рух грошових коштів'!D54</f>
        <v>0</v>
      </c>
      <c r="E56" s="252">
        <f>'3. Рух грошових коштів'!E54</f>
        <v>-1435</v>
      </c>
      <c r="F56" s="252">
        <f>E56-D56</f>
        <v>-1435</v>
      </c>
      <c r="G56" s="107"/>
    </row>
    <row r="57" spans="1:7" ht="46.5">
      <c r="A57" s="111" t="s">
        <v>148</v>
      </c>
      <c r="B57" s="235">
        <f>'3. Рух грошових коштів'!B83</f>
        <v>3580</v>
      </c>
      <c r="C57" s="252">
        <f>'3. Рух грошових коштів'!C83</f>
        <v>54648.94</v>
      </c>
      <c r="D57" s="252">
        <f>'3. Рух грошових коштів'!D83</f>
        <v>-499.7</v>
      </c>
      <c r="E57" s="252">
        <f>'3. Рух грошових коштів'!E83</f>
        <v>33679.22</v>
      </c>
      <c r="F57" s="252">
        <f>E57-D57</f>
        <v>34178.92</v>
      </c>
      <c r="G57" s="107">
        <f>E57/D57*100</f>
        <v>-6739.887932759656</v>
      </c>
    </row>
    <row r="58" spans="1:7" ht="54" customHeight="1">
      <c r="A58" s="111" t="s">
        <v>171</v>
      </c>
      <c r="B58" s="235">
        <f>'3. Рух грошових коштів'!B86</f>
        <v>3610</v>
      </c>
      <c r="C58" s="252">
        <f>'3. Рух грошових коштів'!C86</f>
        <v>0</v>
      </c>
      <c r="D58" s="252">
        <f>'3. Рух грошових коштів'!D86</f>
        <v>0</v>
      </c>
      <c r="E58" s="252">
        <f>'3. Рух грошових коштів'!E86</f>
        <v>0</v>
      </c>
      <c r="F58" s="252"/>
      <c r="G58" s="107"/>
    </row>
    <row r="59" spans="1:7" ht="38.25" customHeight="1">
      <c r="A59" s="110" t="s">
        <v>149</v>
      </c>
      <c r="B59" s="235">
        <f>'3. Рух грошових коштів'!B87</f>
        <v>3620</v>
      </c>
      <c r="C59" s="252">
        <f>'3. Рух грошових коштів'!C87</f>
        <v>23248.940000000002</v>
      </c>
      <c r="D59" s="252">
        <f>'3. Рух грошових коштів'!D87</f>
        <v>14874.3</v>
      </c>
      <c r="E59" s="252">
        <f>'3. Рух грошових коштів'!E87</f>
        <v>17361.22</v>
      </c>
      <c r="F59" s="252">
        <f>E59-D59</f>
        <v>2486.9200000000019</v>
      </c>
      <c r="G59" s="107">
        <f>E59/D59*100</f>
        <v>116.71957671957674</v>
      </c>
    </row>
    <row r="60" spans="1:7">
      <c r="A60" s="290" t="s">
        <v>214</v>
      </c>
      <c r="B60" s="291"/>
      <c r="C60" s="291"/>
      <c r="D60" s="291"/>
      <c r="E60" s="291"/>
      <c r="F60" s="291"/>
      <c r="G60" s="291"/>
    </row>
    <row r="61" spans="1:7">
      <c r="A61" s="111" t="s">
        <v>213</v>
      </c>
      <c r="B61" s="236">
        <f>'4. Кап. інвестиції'!B6</f>
        <v>4000</v>
      </c>
      <c r="C61" s="252">
        <f>'4. Кап. інвестиції'!C6</f>
        <v>0</v>
      </c>
      <c r="D61" s="252">
        <f>'4. Кап. інвестиції'!D6</f>
        <v>0</v>
      </c>
      <c r="E61" s="252">
        <f>'4. Кап. інвестиції'!E6</f>
        <v>1195.8333333333335</v>
      </c>
      <c r="F61" s="252">
        <f>E61-D61</f>
        <v>1195.8333333333335</v>
      </c>
      <c r="G61" s="107"/>
    </row>
    <row r="62" spans="1:7">
      <c r="A62" s="289" t="s">
        <v>216</v>
      </c>
      <c r="B62" s="289"/>
      <c r="C62" s="289"/>
      <c r="D62" s="289"/>
      <c r="E62" s="289"/>
      <c r="F62" s="289"/>
      <c r="G62" s="289"/>
    </row>
    <row r="63" spans="1:7">
      <c r="A63" s="111" t="s">
        <v>174</v>
      </c>
      <c r="B63" s="236">
        <f>' 5. Коефіцієнти'!B9</f>
        <v>5020</v>
      </c>
      <c r="C63" s="253">
        <f>' 5. Коефіцієнти'!D9</f>
        <v>2.9598852027157268E-3</v>
      </c>
      <c r="D63" s="255">
        <f>D44/D70</f>
        <v>5.0792204267751306E-3</v>
      </c>
      <c r="E63" s="256">
        <f>' 5. Коефіцієнти'!E9</f>
        <v>9.2949629750641494E-5</v>
      </c>
      <c r="F63" s="252">
        <f>E63-D63</f>
        <v>-4.9862707970244891E-3</v>
      </c>
      <c r="G63" s="107">
        <f>E63/D63*100</f>
        <v>1.8299979512733322</v>
      </c>
    </row>
    <row r="64" spans="1:7">
      <c r="A64" s="111" t="s">
        <v>170</v>
      </c>
      <c r="B64" s="236">
        <f>' 5. Коефіцієнти'!B10</f>
        <v>5030</v>
      </c>
      <c r="C64" s="253">
        <f>' 5. Коефіцієнти'!D10</f>
        <v>3.1335878901112856E-3</v>
      </c>
      <c r="D64" s="255">
        <f>D44/D76</f>
        <v>5.6310614699447668E-3</v>
      </c>
      <c r="E64" s="256">
        <f>' 5. Коефіцієнти'!E10</f>
        <v>1.0820594542485589E-4</v>
      </c>
      <c r="F64" s="252">
        <f>E64-D64</f>
        <v>-5.5228555245199111E-3</v>
      </c>
      <c r="G64" s="107">
        <f>E64/D64*100</f>
        <v>1.9215905562813409</v>
      </c>
    </row>
    <row r="65" spans="1:7">
      <c r="A65" s="111" t="s">
        <v>233</v>
      </c>
      <c r="B65" s="236">
        <f>' 5. Коефіцієнти'!B14</f>
        <v>5110</v>
      </c>
      <c r="C65" s="254">
        <f>' 5. Коефіцієнти'!D14</f>
        <v>18.600927878532264</v>
      </c>
      <c r="D65" s="254">
        <f>D76/D73</f>
        <v>9.204136752136753</v>
      </c>
      <c r="E65" s="254">
        <f>' 5. Коефіцієнти'!E14</f>
        <v>33.10257245197004</v>
      </c>
      <c r="F65" s="252">
        <f>E65-D65</f>
        <v>23.898435699833286</v>
      </c>
      <c r="G65" s="107">
        <f>E65/D65*100</f>
        <v>359.64885511164567</v>
      </c>
    </row>
    <row r="66" spans="1:7">
      <c r="A66" s="278" t="s">
        <v>215</v>
      </c>
      <c r="B66" s="279"/>
      <c r="C66" s="279"/>
      <c r="D66" s="279"/>
      <c r="E66" s="279"/>
      <c r="F66" s="279"/>
      <c r="G66" s="280"/>
    </row>
    <row r="67" spans="1:7">
      <c r="A67" s="111" t="s">
        <v>150</v>
      </c>
      <c r="B67" s="236">
        <v>6000</v>
      </c>
      <c r="C67" s="252">
        <v>190921</v>
      </c>
      <c r="D67" s="252">
        <f>206173/2</f>
        <v>103086.5</v>
      </c>
      <c r="E67" s="252">
        <v>315358</v>
      </c>
      <c r="F67" s="252">
        <f>E67-D67</f>
        <v>212271.5</v>
      </c>
      <c r="G67" s="107">
        <f>E67/D67*100</f>
        <v>305.91590557444476</v>
      </c>
    </row>
    <row r="68" spans="1:7">
      <c r="A68" s="111" t="s">
        <v>151</v>
      </c>
      <c r="B68" s="236">
        <v>6010</v>
      </c>
      <c r="C68" s="252">
        <v>42534</v>
      </c>
      <c r="D68" s="252">
        <f>92298/2</f>
        <v>46149</v>
      </c>
      <c r="E68" s="252">
        <v>39673</v>
      </c>
      <c r="F68" s="252">
        <f>E68-D68</f>
        <v>-6476</v>
      </c>
      <c r="G68" s="107">
        <f>E68/D68*100</f>
        <v>85.967193221954972</v>
      </c>
    </row>
    <row r="69" spans="1:7">
      <c r="A69" s="111" t="s">
        <v>270</v>
      </c>
      <c r="B69" s="236">
        <v>6020</v>
      </c>
      <c r="C69" s="252">
        <v>23249</v>
      </c>
      <c r="D69" s="252">
        <f>D59</f>
        <v>14874.3</v>
      </c>
      <c r="E69" s="252">
        <v>17361</v>
      </c>
      <c r="F69" s="252">
        <f>E69-D69</f>
        <v>2486.7000000000007</v>
      </c>
      <c r="G69" s="107">
        <f>E69/D69*100</f>
        <v>116.71809765837719</v>
      </c>
    </row>
    <row r="70" spans="1:7" s="114" customFormat="1">
      <c r="A70" s="110" t="s">
        <v>268</v>
      </c>
      <c r="B70" s="236">
        <v>6030</v>
      </c>
      <c r="C70" s="252">
        <f>C67+C68</f>
        <v>233455</v>
      </c>
      <c r="D70" s="252">
        <f>D67+D68</f>
        <v>149235.5</v>
      </c>
      <c r="E70" s="252">
        <f>E67+E68</f>
        <v>355031</v>
      </c>
      <c r="F70" s="252">
        <f t="shared" ref="F70:F76" si="4">E70-D70</f>
        <v>205795.5</v>
      </c>
      <c r="G70" s="107">
        <f t="shared" ref="G70:G76" si="5">E70/D70*100</f>
        <v>237.89982946416904</v>
      </c>
    </row>
    <row r="71" spans="1:7">
      <c r="A71" s="111" t="s">
        <v>172</v>
      </c>
      <c r="B71" s="236">
        <v>6040</v>
      </c>
      <c r="C71" s="252">
        <v>1086</v>
      </c>
      <c r="D71" s="252">
        <f>1500/2</f>
        <v>750</v>
      </c>
      <c r="E71" s="252">
        <v>1171</v>
      </c>
      <c r="F71" s="252">
        <f>E71-D71</f>
        <v>421</v>
      </c>
      <c r="G71" s="107">
        <f>E71/D71*100</f>
        <v>156.13333333333333</v>
      </c>
    </row>
    <row r="72" spans="1:7">
      <c r="A72" s="111" t="s">
        <v>173</v>
      </c>
      <c r="B72" s="236">
        <v>6050</v>
      </c>
      <c r="C72" s="252">
        <v>11855</v>
      </c>
      <c r="D72" s="252">
        <f>27750/2</f>
        <v>13875</v>
      </c>
      <c r="E72" s="252">
        <v>9213</v>
      </c>
      <c r="F72" s="252">
        <f t="shared" si="4"/>
        <v>-4662</v>
      </c>
      <c r="G72" s="107">
        <f t="shared" si="5"/>
        <v>66.400000000000006</v>
      </c>
    </row>
    <row r="73" spans="1:7" s="114" customFormat="1">
      <c r="A73" s="110" t="s">
        <v>269</v>
      </c>
      <c r="B73" s="236">
        <v>6060</v>
      </c>
      <c r="C73" s="252">
        <f>C72+C71</f>
        <v>12941</v>
      </c>
      <c r="D73" s="252">
        <f>D72+D71</f>
        <v>14625</v>
      </c>
      <c r="E73" s="252">
        <f>E72+E71</f>
        <v>10384</v>
      </c>
      <c r="F73" s="252">
        <f t="shared" si="4"/>
        <v>-4241</v>
      </c>
      <c r="G73" s="107">
        <f t="shared" si="5"/>
        <v>71.001709401709405</v>
      </c>
    </row>
    <row r="74" spans="1:7">
      <c r="A74" s="111" t="s">
        <v>271</v>
      </c>
      <c r="B74" s="236">
        <v>6070</v>
      </c>
      <c r="C74" s="252"/>
      <c r="D74" s="252"/>
      <c r="E74" s="252"/>
      <c r="F74" s="252"/>
      <c r="G74" s="107"/>
    </row>
    <row r="75" spans="1:7">
      <c r="A75" s="111" t="s">
        <v>272</v>
      </c>
      <c r="B75" s="236">
        <v>6080</v>
      </c>
      <c r="C75" s="252"/>
      <c r="D75" s="252"/>
      <c r="E75" s="252"/>
      <c r="F75" s="252"/>
      <c r="G75" s="107"/>
    </row>
    <row r="76" spans="1:7" s="114" customFormat="1">
      <c r="A76" s="110" t="s">
        <v>152</v>
      </c>
      <c r="B76" s="236">
        <v>6090</v>
      </c>
      <c r="C76" s="252">
        <v>220514</v>
      </c>
      <c r="D76" s="252">
        <f>269221/2</f>
        <v>134610.5</v>
      </c>
      <c r="E76" s="252">
        <v>304974</v>
      </c>
      <c r="F76" s="252">
        <f t="shared" si="4"/>
        <v>170363.5</v>
      </c>
      <c r="G76" s="107">
        <f t="shared" si="5"/>
        <v>226.56033518930542</v>
      </c>
    </row>
    <row r="77" spans="1:7" ht="83.25" customHeight="1">
      <c r="A77" s="95"/>
    </row>
    <row r="78" spans="1:7" ht="25.5">
      <c r="A78" s="125" t="s">
        <v>614</v>
      </c>
      <c r="B78" s="124"/>
      <c r="C78" s="163"/>
      <c r="D78" s="163"/>
      <c r="E78" s="163"/>
      <c r="F78" s="288" t="s">
        <v>615</v>
      </c>
      <c r="G78" s="288"/>
    </row>
    <row r="79" spans="1:7" s="86" customFormat="1">
      <c r="A79" s="102" t="s">
        <v>386</v>
      </c>
      <c r="C79" s="287" t="s">
        <v>78</v>
      </c>
      <c r="D79" s="287"/>
      <c r="E79" s="163"/>
      <c r="F79" s="230" t="s">
        <v>102</v>
      </c>
    </row>
    <row r="81" spans="1:7" ht="42.75" customHeight="1">
      <c r="A81" s="94"/>
    </row>
    <row r="82" spans="1:7" ht="113.25" customHeight="1">
      <c r="A82" s="275"/>
      <c r="B82" s="275"/>
      <c r="C82" s="275"/>
      <c r="D82" s="275"/>
      <c r="E82" s="275"/>
      <c r="F82" s="275"/>
      <c r="G82" s="275"/>
    </row>
    <row r="83" spans="1:7">
      <c r="A83" s="94"/>
    </row>
    <row r="84" spans="1:7">
      <c r="A84" s="94"/>
    </row>
    <row r="85" spans="1:7">
      <c r="A85" s="94"/>
    </row>
    <row r="86" spans="1:7">
      <c r="A86" s="94"/>
    </row>
    <row r="87" spans="1:7">
      <c r="A87" s="94"/>
    </row>
    <row r="88" spans="1:7">
      <c r="A88" s="94"/>
    </row>
    <row r="89" spans="1:7">
      <c r="A89" s="94"/>
    </row>
    <row r="90" spans="1:7">
      <c r="A90" s="94"/>
    </row>
    <row r="91" spans="1:7">
      <c r="A91" s="94"/>
    </row>
    <row r="92" spans="1:7">
      <c r="A92" s="94"/>
    </row>
    <row r="93" spans="1:7">
      <c r="A93" s="94"/>
    </row>
    <row r="94" spans="1:7">
      <c r="A94" s="94"/>
    </row>
    <row r="95" spans="1:7">
      <c r="A95" s="94"/>
    </row>
    <row r="96" spans="1:7">
      <c r="A96" s="94"/>
    </row>
    <row r="97" spans="1:1">
      <c r="A97" s="94"/>
    </row>
    <row r="98" spans="1:1">
      <c r="A98" s="94"/>
    </row>
    <row r="99" spans="1:1">
      <c r="A99" s="94"/>
    </row>
    <row r="100" spans="1:1">
      <c r="A100" s="94"/>
    </row>
    <row r="101" spans="1:1">
      <c r="A101" s="94"/>
    </row>
    <row r="102" spans="1:1">
      <c r="A102" s="94"/>
    </row>
    <row r="103" spans="1:1">
      <c r="A103" s="94"/>
    </row>
    <row r="104" spans="1:1">
      <c r="A104" s="94"/>
    </row>
    <row r="105" spans="1:1">
      <c r="A105" s="94"/>
    </row>
    <row r="106" spans="1:1">
      <c r="A106" s="94"/>
    </row>
    <row r="107" spans="1:1">
      <c r="A107" s="94"/>
    </row>
    <row r="108" spans="1:1">
      <c r="A108" s="94"/>
    </row>
    <row r="109" spans="1:1">
      <c r="A109" s="94"/>
    </row>
    <row r="110" spans="1:1">
      <c r="A110" s="94"/>
    </row>
    <row r="111" spans="1:1">
      <c r="A111" s="94"/>
    </row>
    <row r="112" spans="1:1">
      <c r="A112" s="94"/>
    </row>
    <row r="113" spans="1:1">
      <c r="A113" s="94"/>
    </row>
    <row r="114" spans="1:1">
      <c r="A114" s="94"/>
    </row>
    <row r="115" spans="1:1">
      <c r="A115" s="94"/>
    </row>
    <row r="116" spans="1:1">
      <c r="A116" s="94"/>
    </row>
    <row r="117" spans="1:1">
      <c r="A117" s="94"/>
    </row>
    <row r="118" spans="1:1">
      <c r="A118" s="94"/>
    </row>
    <row r="119" spans="1:1">
      <c r="A119" s="94"/>
    </row>
    <row r="120" spans="1:1">
      <c r="A120" s="94"/>
    </row>
    <row r="121" spans="1:1">
      <c r="A121" s="94"/>
    </row>
    <row r="122" spans="1:1">
      <c r="A122" s="94"/>
    </row>
    <row r="123" spans="1:1">
      <c r="A123" s="94"/>
    </row>
    <row r="124" spans="1:1">
      <c r="A124" s="94"/>
    </row>
    <row r="125" spans="1:1">
      <c r="A125" s="94"/>
    </row>
    <row r="126" spans="1:1">
      <c r="A126" s="94"/>
    </row>
    <row r="127" spans="1:1">
      <c r="A127" s="94"/>
    </row>
    <row r="128" spans="1:1">
      <c r="A128" s="94"/>
    </row>
    <row r="129" spans="1:1">
      <c r="A129" s="94"/>
    </row>
    <row r="130" spans="1:1">
      <c r="A130" s="94"/>
    </row>
    <row r="131" spans="1:1">
      <c r="A131" s="94"/>
    </row>
    <row r="132" spans="1:1">
      <c r="A132" s="94"/>
    </row>
    <row r="133" spans="1:1">
      <c r="A133" s="94"/>
    </row>
    <row r="134" spans="1:1">
      <c r="A134" s="94"/>
    </row>
    <row r="135" spans="1:1">
      <c r="A135" s="94"/>
    </row>
    <row r="136" spans="1:1">
      <c r="A136" s="94"/>
    </row>
    <row r="137" spans="1:1">
      <c r="A137" s="94"/>
    </row>
    <row r="138" spans="1:1">
      <c r="A138" s="94"/>
    </row>
    <row r="139" spans="1:1">
      <c r="A139" s="94"/>
    </row>
    <row r="140" spans="1:1">
      <c r="A140" s="94"/>
    </row>
    <row r="141" spans="1:1">
      <c r="A141" s="94"/>
    </row>
    <row r="142" spans="1:1">
      <c r="A142" s="94"/>
    </row>
    <row r="143" spans="1:1">
      <c r="A143" s="94"/>
    </row>
    <row r="144" spans="1:1">
      <c r="A144" s="94"/>
    </row>
    <row r="145" spans="1:1">
      <c r="A145" s="94"/>
    </row>
    <row r="146" spans="1:1">
      <c r="A146" s="94"/>
    </row>
    <row r="147" spans="1:1">
      <c r="A147" s="94"/>
    </row>
    <row r="148" spans="1:1">
      <c r="A148" s="94"/>
    </row>
    <row r="149" spans="1:1">
      <c r="A149" s="94"/>
    </row>
    <row r="150" spans="1:1">
      <c r="A150" s="94"/>
    </row>
    <row r="151" spans="1:1">
      <c r="A151" s="94"/>
    </row>
    <row r="152" spans="1:1">
      <c r="A152" s="94"/>
    </row>
    <row r="153" spans="1:1">
      <c r="A153" s="94"/>
    </row>
    <row r="154" spans="1:1">
      <c r="A154" s="94"/>
    </row>
    <row r="155" spans="1:1">
      <c r="A155" s="94"/>
    </row>
    <row r="156" spans="1:1">
      <c r="A156" s="94"/>
    </row>
    <row r="157" spans="1:1">
      <c r="A157" s="94"/>
    </row>
    <row r="158" spans="1:1">
      <c r="A158" s="94"/>
    </row>
    <row r="159" spans="1:1">
      <c r="A159" s="94"/>
    </row>
    <row r="160" spans="1:1">
      <c r="A160" s="94"/>
    </row>
    <row r="161" spans="1:1">
      <c r="A161" s="94"/>
    </row>
    <row r="162" spans="1:1">
      <c r="A162" s="94"/>
    </row>
    <row r="163" spans="1:1">
      <c r="A163" s="94"/>
    </row>
    <row r="164" spans="1:1">
      <c r="A164" s="94"/>
    </row>
    <row r="165" spans="1:1">
      <c r="A165" s="94"/>
    </row>
    <row r="166" spans="1:1">
      <c r="A166" s="94"/>
    </row>
    <row r="167" spans="1:1">
      <c r="A167" s="94"/>
    </row>
    <row r="168" spans="1:1">
      <c r="A168" s="94"/>
    </row>
    <row r="169" spans="1:1">
      <c r="A169" s="94"/>
    </row>
    <row r="170" spans="1:1">
      <c r="A170" s="94"/>
    </row>
    <row r="171" spans="1:1">
      <c r="A171" s="94"/>
    </row>
    <row r="172" spans="1:1">
      <c r="A172" s="94"/>
    </row>
    <row r="173" spans="1:1">
      <c r="A173" s="94"/>
    </row>
    <row r="174" spans="1:1">
      <c r="A174" s="94"/>
    </row>
    <row r="175" spans="1:1">
      <c r="A175" s="94"/>
    </row>
    <row r="176" spans="1:1">
      <c r="A176" s="94"/>
    </row>
    <row r="177" spans="1:1">
      <c r="A177" s="94"/>
    </row>
    <row r="178" spans="1:1">
      <c r="A178" s="94"/>
    </row>
    <row r="179" spans="1:1">
      <c r="A179" s="94"/>
    </row>
    <row r="180" spans="1:1">
      <c r="A180" s="94"/>
    </row>
    <row r="181" spans="1:1">
      <c r="A181" s="94"/>
    </row>
    <row r="182" spans="1:1">
      <c r="A182" s="94"/>
    </row>
    <row r="183" spans="1:1">
      <c r="A183" s="94"/>
    </row>
    <row r="184" spans="1:1">
      <c r="A184" s="94"/>
    </row>
    <row r="185" spans="1:1">
      <c r="A185" s="94"/>
    </row>
    <row r="186" spans="1:1">
      <c r="A186" s="94"/>
    </row>
    <row r="187" spans="1:1">
      <c r="A187" s="94"/>
    </row>
    <row r="188" spans="1:1">
      <c r="A188" s="94"/>
    </row>
    <row r="189" spans="1:1">
      <c r="A189" s="94"/>
    </row>
    <row r="190" spans="1:1">
      <c r="A190" s="94"/>
    </row>
    <row r="191" spans="1:1">
      <c r="A191" s="94"/>
    </row>
    <row r="192" spans="1:1">
      <c r="A192" s="94"/>
    </row>
    <row r="193" spans="1:1">
      <c r="A193" s="94"/>
    </row>
    <row r="194" spans="1:1">
      <c r="A194" s="94"/>
    </row>
    <row r="195" spans="1:1">
      <c r="A195" s="94"/>
    </row>
    <row r="196" spans="1:1">
      <c r="A196" s="94"/>
    </row>
    <row r="197" spans="1:1">
      <c r="A197" s="94"/>
    </row>
    <row r="198" spans="1:1">
      <c r="A198" s="94"/>
    </row>
    <row r="199" spans="1:1">
      <c r="A199" s="94"/>
    </row>
    <row r="200" spans="1:1">
      <c r="A200" s="94"/>
    </row>
    <row r="201" spans="1:1">
      <c r="A201" s="94"/>
    </row>
    <row r="202" spans="1:1">
      <c r="A202" s="94"/>
    </row>
    <row r="203" spans="1:1">
      <c r="A203" s="94"/>
    </row>
    <row r="204" spans="1:1">
      <c r="A204" s="94"/>
    </row>
    <row r="205" spans="1:1">
      <c r="A205" s="94"/>
    </row>
    <row r="206" spans="1:1">
      <c r="A206" s="94"/>
    </row>
    <row r="207" spans="1:1">
      <c r="A207" s="94"/>
    </row>
    <row r="208" spans="1:1">
      <c r="A208" s="94"/>
    </row>
    <row r="209" spans="1:1">
      <c r="A209" s="94"/>
    </row>
    <row r="210" spans="1:1">
      <c r="A210" s="94"/>
    </row>
    <row r="211" spans="1:1">
      <c r="A211" s="94"/>
    </row>
    <row r="212" spans="1:1">
      <c r="A212" s="94"/>
    </row>
    <row r="213" spans="1:1">
      <c r="A213" s="94"/>
    </row>
    <row r="214" spans="1:1">
      <c r="A214" s="94"/>
    </row>
    <row r="215" spans="1:1">
      <c r="A215" s="94"/>
    </row>
    <row r="216" spans="1:1">
      <c r="A216" s="94"/>
    </row>
    <row r="217" spans="1:1">
      <c r="A217" s="94"/>
    </row>
    <row r="218" spans="1:1">
      <c r="A218" s="94"/>
    </row>
    <row r="219" spans="1:1">
      <c r="A219" s="94"/>
    </row>
    <row r="220" spans="1:1">
      <c r="A220" s="94"/>
    </row>
    <row r="221" spans="1:1">
      <c r="A221" s="94"/>
    </row>
    <row r="222" spans="1:1">
      <c r="A222" s="94"/>
    </row>
    <row r="223" spans="1:1">
      <c r="A223" s="94"/>
    </row>
    <row r="224" spans="1:1">
      <c r="A224" s="94"/>
    </row>
    <row r="225" spans="1:1">
      <c r="A225" s="94"/>
    </row>
    <row r="226" spans="1:1">
      <c r="A226" s="94"/>
    </row>
    <row r="227" spans="1:1">
      <c r="A227" s="94"/>
    </row>
    <row r="228" spans="1:1">
      <c r="A228" s="94"/>
    </row>
    <row r="229" spans="1:1">
      <c r="A229" s="94"/>
    </row>
    <row r="230" spans="1:1">
      <c r="A230" s="94"/>
    </row>
    <row r="231" spans="1:1">
      <c r="A231" s="94"/>
    </row>
    <row r="232" spans="1:1">
      <c r="A232" s="94"/>
    </row>
    <row r="233" spans="1:1">
      <c r="A233" s="94"/>
    </row>
    <row r="234" spans="1:1">
      <c r="A234" s="94"/>
    </row>
    <row r="235" spans="1:1">
      <c r="A235" s="94"/>
    </row>
    <row r="236" spans="1:1">
      <c r="A236" s="94"/>
    </row>
    <row r="237" spans="1:1">
      <c r="A237" s="94"/>
    </row>
    <row r="238" spans="1:1">
      <c r="A238" s="94"/>
    </row>
    <row r="239" spans="1:1">
      <c r="A239" s="94"/>
    </row>
    <row r="240" spans="1:1">
      <c r="A240" s="94"/>
    </row>
    <row r="241" spans="1:1">
      <c r="A241" s="94"/>
    </row>
    <row r="242" spans="1:1">
      <c r="A242" s="94"/>
    </row>
    <row r="243" spans="1:1">
      <c r="A243" s="94"/>
    </row>
    <row r="244" spans="1:1">
      <c r="A244" s="94"/>
    </row>
    <row r="245" spans="1:1">
      <c r="A245" s="94"/>
    </row>
    <row r="246" spans="1:1">
      <c r="A246" s="94"/>
    </row>
    <row r="247" spans="1:1">
      <c r="A247" s="94"/>
    </row>
    <row r="248" spans="1:1">
      <c r="A248" s="94"/>
    </row>
  </sheetData>
  <mergeCells count="34">
    <mergeCell ref="A20:G20"/>
    <mergeCell ref="F78:G78"/>
    <mergeCell ref="B14:D14"/>
    <mergeCell ref="E14:F14"/>
    <mergeCell ref="B17:D17"/>
    <mergeCell ref="B18:D18"/>
    <mergeCell ref="C79:D79"/>
    <mergeCell ref="A23:G23"/>
    <mergeCell ref="A62:G62"/>
    <mergeCell ref="A53:G53"/>
    <mergeCell ref="A60:G60"/>
    <mergeCell ref="C27:C28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B11:D11"/>
    <mergeCell ref="B10:E10"/>
    <mergeCell ref="B9:D9"/>
    <mergeCell ref="E13:F13"/>
    <mergeCell ref="B12:E12"/>
    <mergeCell ref="B13:D13"/>
  </mergeCells>
  <phoneticPr fontId="3" type="noConversion"/>
  <pageMargins left="0.39370078740157483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M407"/>
  <sheetViews>
    <sheetView view="pageBreakPreview" topLeftCell="A153" zoomScale="80" zoomScaleNormal="75" zoomScaleSheetLayoutView="80" workbookViewId="0">
      <selection activeCell="A3" sqref="A3:H3"/>
    </sheetView>
  </sheetViews>
  <sheetFormatPr defaultRowHeight="20.25" outlineLevelRow="1"/>
  <cols>
    <col min="1" max="1" width="72.5703125" style="24" customWidth="1"/>
    <col min="2" max="2" width="12" style="26" customWidth="1"/>
    <col min="3" max="3" width="17" style="231" customWidth="1"/>
    <col min="4" max="4" width="12.7109375" style="231" customWidth="1"/>
    <col min="5" max="5" width="13.5703125" style="231" customWidth="1"/>
    <col min="6" max="6" width="11.85546875" style="231" customWidth="1"/>
    <col min="7" max="7" width="15.140625" style="26" customWidth="1"/>
    <col min="8" max="8" width="29.42578125" style="26" customWidth="1"/>
    <col min="9" max="9" width="13.7109375" style="24" customWidth="1"/>
    <col min="10" max="10" width="11.5703125" style="24" bestFit="1" customWidth="1"/>
    <col min="11" max="16384" width="9.140625" style="24"/>
  </cols>
  <sheetData>
    <row r="1" spans="1:13" hidden="1" outlineLevel="1">
      <c r="B1" s="31"/>
      <c r="C1" s="232"/>
      <c r="D1" s="232"/>
      <c r="E1" s="232"/>
      <c r="F1" s="232"/>
      <c r="G1" s="31"/>
      <c r="H1" s="40" t="s">
        <v>241</v>
      </c>
    </row>
    <row r="2" spans="1:13" hidden="1" outlineLevel="1">
      <c r="B2" s="31"/>
      <c r="C2" s="232"/>
      <c r="D2" s="232"/>
      <c r="E2" s="232"/>
      <c r="F2" s="232"/>
      <c r="G2" s="31"/>
      <c r="H2" s="40" t="s">
        <v>225</v>
      </c>
    </row>
    <row r="3" spans="1:13" s="116" customFormat="1" ht="22.5" collapsed="1">
      <c r="A3" s="299" t="s">
        <v>373</v>
      </c>
      <c r="B3" s="299"/>
      <c r="C3" s="299"/>
      <c r="D3" s="299"/>
      <c r="E3" s="299"/>
      <c r="F3" s="299"/>
      <c r="G3" s="299"/>
      <c r="H3" s="299"/>
    </row>
    <row r="4" spans="1:13" s="116" customFormat="1" ht="12.75" customHeight="1">
      <c r="A4" s="115"/>
      <c r="B4" s="117"/>
      <c r="C4" s="159"/>
      <c r="D4" s="159"/>
      <c r="E4" s="159"/>
      <c r="F4" s="159"/>
      <c r="G4" s="117"/>
      <c r="H4" s="117"/>
    </row>
    <row r="5" spans="1:13" s="116" customFormat="1" ht="25.5" customHeight="1">
      <c r="A5" s="304" t="s">
        <v>287</v>
      </c>
      <c r="B5" s="305" t="s">
        <v>18</v>
      </c>
      <c r="C5" s="306" t="s">
        <v>382</v>
      </c>
      <c r="D5" s="304" t="s">
        <v>353</v>
      </c>
      <c r="E5" s="304"/>
      <c r="F5" s="304"/>
      <c r="G5" s="304"/>
      <c r="H5" s="304"/>
    </row>
    <row r="6" spans="1:13" s="116" customFormat="1" ht="97.5">
      <c r="A6" s="304"/>
      <c r="B6" s="305"/>
      <c r="C6" s="307"/>
      <c r="D6" s="239" t="s">
        <v>265</v>
      </c>
      <c r="E6" s="239" t="s">
        <v>248</v>
      </c>
      <c r="F6" s="143" t="s">
        <v>381</v>
      </c>
      <c r="G6" s="143" t="s">
        <v>276</v>
      </c>
      <c r="H6" s="239" t="s">
        <v>274</v>
      </c>
    </row>
    <row r="7" spans="1:13" s="116" customFormat="1" ht="22.5">
      <c r="A7" s="238">
        <v>1</v>
      </c>
      <c r="B7" s="239">
        <v>2</v>
      </c>
      <c r="C7" s="239">
        <v>3</v>
      </c>
      <c r="D7" s="239">
        <v>4</v>
      </c>
      <c r="E7" s="239">
        <v>5</v>
      </c>
      <c r="F7" s="239">
        <v>6</v>
      </c>
      <c r="G7" s="239">
        <v>7</v>
      </c>
      <c r="H7" s="239">
        <v>8</v>
      </c>
    </row>
    <row r="8" spans="1:13" s="118" customFormat="1" ht="26.25" customHeight="1">
      <c r="A8" s="295" t="s">
        <v>273</v>
      </c>
      <c r="B8" s="296"/>
      <c r="C8" s="296"/>
      <c r="D8" s="296"/>
      <c r="E8" s="296"/>
      <c r="F8" s="296"/>
      <c r="G8" s="296"/>
      <c r="H8" s="297"/>
    </row>
    <row r="9" spans="1:13" s="118" customFormat="1" ht="43.5" customHeight="1">
      <c r="A9" s="138" t="s">
        <v>107</v>
      </c>
      <c r="B9" s="133">
        <v>1000</v>
      </c>
      <c r="C9" s="234">
        <f>C10+C11+C12</f>
        <v>63547</v>
      </c>
      <c r="D9" s="234">
        <f>D10+D11+D12</f>
        <v>58792</v>
      </c>
      <c r="E9" s="234">
        <f>E10+E11+E12</f>
        <v>55010</v>
      </c>
      <c r="F9" s="234">
        <f>E9-D9</f>
        <v>-3782</v>
      </c>
      <c r="G9" s="129">
        <f>E9/D9*100</f>
        <v>93.567151993468499</v>
      </c>
      <c r="H9" s="158"/>
      <c r="I9" s="128"/>
      <c r="J9" s="127"/>
    </row>
    <row r="10" spans="1:13" s="118" customFormat="1" ht="39">
      <c r="A10" s="138" t="s">
        <v>585</v>
      </c>
      <c r="B10" s="133" t="s">
        <v>394</v>
      </c>
      <c r="C10" s="234">
        <v>40896</v>
      </c>
      <c r="D10" s="257">
        <v>30250</v>
      </c>
      <c r="E10" s="234">
        <v>32083</v>
      </c>
      <c r="F10" s="234">
        <f t="shared" ref="F10:F18" si="0">E10-D10</f>
        <v>1833</v>
      </c>
      <c r="G10" s="129">
        <f t="shared" ref="G10:G18" si="1">E10/D10*100</f>
        <v>106.0595041322314</v>
      </c>
      <c r="H10" s="158"/>
    </row>
    <row r="11" spans="1:13" s="118" customFormat="1" ht="39">
      <c r="A11" s="138" t="s">
        <v>584</v>
      </c>
      <c r="B11" s="133" t="s">
        <v>395</v>
      </c>
      <c r="C11" s="234">
        <v>20759</v>
      </c>
      <c r="D11" s="258">
        <v>27542</v>
      </c>
      <c r="E11" s="234">
        <f>20883+534</f>
        <v>21417</v>
      </c>
      <c r="F11" s="234">
        <f t="shared" si="0"/>
        <v>-6125</v>
      </c>
      <c r="G11" s="129">
        <f t="shared" si="1"/>
        <v>77.761237382906117</v>
      </c>
      <c r="H11" s="158"/>
    </row>
    <row r="12" spans="1:13" s="118" customFormat="1" ht="39">
      <c r="A12" s="145" t="s">
        <v>397</v>
      </c>
      <c r="B12" s="133" t="s">
        <v>396</v>
      </c>
      <c r="C12" s="234">
        <v>1892</v>
      </c>
      <c r="D12" s="258">
        <v>1000</v>
      </c>
      <c r="E12" s="234">
        <v>1510</v>
      </c>
      <c r="F12" s="234">
        <f t="shared" si="0"/>
        <v>510</v>
      </c>
      <c r="G12" s="129">
        <f t="shared" si="1"/>
        <v>151</v>
      </c>
      <c r="H12" s="144"/>
    </row>
    <row r="13" spans="1:13" s="116" customFormat="1" ht="39">
      <c r="A13" s="138" t="s">
        <v>125</v>
      </c>
      <c r="B13" s="133">
        <v>1010</v>
      </c>
      <c r="C13" s="234">
        <f>C14+C15+C17+C18+C19+C20+C21+C16</f>
        <v>59720</v>
      </c>
      <c r="D13" s="234">
        <f>D14+D15+D17+D18+D19+D20+D21</f>
        <v>55077</v>
      </c>
      <c r="E13" s="234">
        <f>E14+E15+E17+E18+E19+E20+E21+E16</f>
        <v>50933</v>
      </c>
      <c r="F13" s="234">
        <f t="shared" si="0"/>
        <v>-4144</v>
      </c>
      <c r="G13" s="129">
        <f>E13/D13*100</f>
        <v>92.475988162027704</v>
      </c>
      <c r="H13" s="156"/>
      <c r="I13" s="116">
        <v>50933</v>
      </c>
      <c r="J13" s="128">
        <f>E13-I13</f>
        <v>0</v>
      </c>
      <c r="M13" s="128"/>
    </row>
    <row r="14" spans="1:13" s="119" customFormat="1" ht="22.5">
      <c r="A14" s="138" t="s">
        <v>286</v>
      </c>
      <c r="B14" s="239">
        <v>1011</v>
      </c>
      <c r="C14" s="259">
        <v>10545</v>
      </c>
      <c r="D14" s="258">
        <v>13422</v>
      </c>
      <c r="E14" s="259">
        <f>11798-E15-157</f>
        <v>9929</v>
      </c>
      <c r="F14" s="234">
        <f t="shared" si="0"/>
        <v>-3493</v>
      </c>
      <c r="G14" s="129">
        <f t="shared" si="1"/>
        <v>73.975562509313065</v>
      </c>
      <c r="H14" s="140"/>
    </row>
    <row r="15" spans="1:13" s="119" customFormat="1" ht="22.5">
      <c r="A15" s="138" t="s">
        <v>65</v>
      </c>
      <c r="B15" s="239">
        <v>1012</v>
      </c>
      <c r="C15" s="259">
        <v>1668</v>
      </c>
      <c r="D15" s="258">
        <v>1750</v>
      </c>
      <c r="E15" s="259">
        <v>1712</v>
      </c>
      <c r="F15" s="234">
        <f t="shared" si="0"/>
        <v>-38</v>
      </c>
      <c r="G15" s="129">
        <f t="shared" si="1"/>
        <v>97.828571428571436</v>
      </c>
      <c r="H15" s="140"/>
    </row>
    <row r="16" spans="1:13" s="119" customFormat="1" ht="22.5">
      <c r="A16" s="138" t="s">
        <v>64</v>
      </c>
      <c r="B16" s="239">
        <v>1013</v>
      </c>
      <c r="C16" s="259"/>
      <c r="D16" s="258"/>
      <c r="E16" s="259"/>
      <c r="F16" s="234">
        <f t="shared" si="0"/>
        <v>0</v>
      </c>
      <c r="G16" s="129"/>
      <c r="H16" s="140"/>
    </row>
    <row r="17" spans="1:10" s="119" customFormat="1" ht="22.5">
      <c r="A17" s="138" t="s">
        <v>40</v>
      </c>
      <c r="B17" s="239">
        <v>1014</v>
      </c>
      <c r="C17" s="259">
        <v>7875</v>
      </c>
      <c r="D17" s="258">
        <v>9900</v>
      </c>
      <c r="E17" s="259">
        <f>10312-E77-284</f>
        <v>7666</v>
      </c>
      <c r="F17" s="234">
        <f>E17-D17</f>
        <v>-2234</v>
      </c>
      <c r="G17" s="129">
        <f t="shared" si="1"/>
        <v>77.434343434343432</v>
      </c>
      <c r="H17" s="140"/>
    </row>
    <row r="18" spans="1:10" s="119" customFormat="1" ht="22.5">
      <c r="A18" s="138" t="s">
        <v>41</v>
      </c>
      <c r="B18" s="239">
        <v>1015</v>
      </c>
      <c r="C18" s="259">
        <v>2812</v>
      </c>
      <c r="D18" s="258">
        <v>2113</v>
      </c>
      <c r="E18" s="259">
        <f>2332-E78-62</f>
        <v>1817</v>
      </c>
      <c r="F18" s="234">
        <f t="shared" si="0"/>
        <v>-296</v>
      </c>
      <c r="G18" s="129">
        <f t="shared" si="1"/>
        <v>85.991481306199717</v>
      </c>
      <c r="H18" s="140"/>
    </row>
    <row r="19" spans="1:10" s="119" customFormat="1" ht="58.5">
      <c r="A19" s="138" t="s">
        <v>262</v>
      </c>
      <c r="B19" s="239">
        <v>1016</v>
      </c>
      <c r="C19" s="259"/>
      <c r="D19" s="258"/>
      <c r="E19" s="259"/>
      <c r="F19" s="259"/>
      <c r="G19" s="130"/>
      <c r="H19" s="140"/>
    </row>
    <row r="20" spans="1:10" s="119" customFormat="1" ht="22.5">
      <c r="A20" s="138" t="s">
        <v>63</v>
      </c>
      <c r="B20" s="239">
        <v>1017</v>
      </c>
      <c r="C20" s="259">
        <v>1786</v>
      </c>
      <c r="D20" s="258">
        <v>2050</v>
      </c>
      <c r="E20" s="259">
        <f>1652-E79-E126-20</f>
        <v>1140</v>
      </c>
      <c r="F20" s="234">
        <f t="shared" ref="F20:F25" si="2">E20-D20</f>
        <v>-910</v>
      </c>
      <c r="G20" s="129">
        <f>E20/D20*100</f>
        <v>55.609756097560982</v>
      </c>
      <c r="H20" s="153"/>
    </row>
    <row r="21" spans="1:10" s="119" customFormat="1" ht="22.5">
      <c r="A21" s="138" t="s">
        <v>123</v>
      </c>
      <c r="B21" s="239">
        <v>1018</v>
      </c>
      <c r="C21" s="259">
        <f>C22+C23+C24+C25+C26+C27+C28+C29+C30+C31+C32+C33+C37+C38+C39+C40+C41+C44+C46+C47+C56+C49+C54+C36+C52</f>
        <v>35034</v>
      </c>
      <c r="D21" s="259">
        <f>D22+D23+D24+D25+D26+D27+D28+D29+D30+D31+D32+D33+D36+D38+D39+D40+D41+D42+D43+D44+D45+D48+D50+D51+D52+D56</f>
        <v>25842</v>
      </c>
      <c r="E21" s="259">
        <f>E22+E23+E24+E25+E30+E31+E32+E33+E38+E39+E40+E42+E46+E47+E51+E56+E29+E44+E52+E53+E54+E55</f>
        <v>28669</v>
      </c>
      <c r="F21" s="234">
        <f t="shared" si="2"/>
        <v>2827</v>
      </c>
      <c r="G21" s="129">
        <f>E21/D21*100</f>
        <v>110.93955576193792</v>
      </c>
      <c r="H21" s="140"/>
      <c r="I21" s="119">
        <v>28669</v>
      </c>
      <c r="J21" s="151">
        <f>E21-I21</f>
        <v>0</v>
      </c>
    </row>
    <row r="22" spans="1:10" s="119" customFormat="1" ht="22.5">
      <c r="A22" s="138" t="s">
        <v>399</v>
      </c>
      <c r="B22" s="239" t="s">
        <v>398</v>
      </c>
      <c r="C22" s="259">
        <v>56</v>
      </c>
      <c r="D22" s="259">
        <v>95</v>
      </c>
      <c r="E22" s="259">
        <v>97</v>
      </c>
      <c r="F22" s="234">
        <f t="shared" si="2"/>
        <v>2</v>
      </c>
      <c r="G22" s="129">
        <f>E22/D22*100</f>
        <v>102.10526315789474</v>
      </c>
      <c r="H22" s="140"/>
    </row>
    <row r="23" spans="1:10" s="119" customFormat="1" ht="22.5">
      <c r="A23" s="138" t="s">
        <v>400</v>
      </c>
      <c r="B23" s="239" t="s">
        <v>401</v>
      </c>
      <c r="C23" s="259">
        <v>24</v>
      </c>
      <c r="D23" s="259">
        <v>78</v>
      </c>
      <c r="E23" s="259">
        <f>9+38</f>
        <v>47</v>
      </c>
      <c r="F23" s="234">
        <f t="shared" si="2"/>
        <v>-31</v>
      </c>
      <c r="G23" s="129">
        <f t="shared" ref="G23:G39" si="3">E23/D23*100</f>
        <v>60.256410256410255</v>
      </c>
      <c r="H23" s="140"/>
    </row>
    <row r="24" spans="1:10" s="119" customFormat="1" ht="22.5">
      <c r="A24" s="138" t="s">
        <v>498</v>
      </c>
      <c r="B24" s="239" t="s">
        <v>402</v>
      </c>
      <c r="C24" s="259">
        <v>206</v>
      </c>
      <c r="D24" s="259">
        <v>308</v>
      </c>
      <c r="E24" s="259">
        <v>332</v>
      </c>
      <c r="F24" s="234">
        <f t="shared" si="2"/>
        <v>24</v>
      </c>
      <c r="G24" s="129">
        <f t="shared" si="3"/>
        <v>107.79220779220779</v>
      </c>
      <c r="H24" s="140"/>
    </row>
    <row r="25" spans="1:10" s="119" customFormat="1" ht="39">
      <c r="A25" s="138" t="s">
        <v>409</v>
      </c>
      <c r="B25" s="239" t="s">
        <v>403</v>
      </c>
      <c r="C25" s="259">
        <v>23</v>
      </c>
      <c r="D25" s="259">
        <v>53</v>
      </c>
      <c r="E25" s="259">
        <v>47</v>
      </c>
      <c r="F25" s="234">
        <f t="shared" si="2"/>
        <v>-6</v>
      </c>
      <c r="G25" s="129">
        <f t="shared" si="3"/>
        <v>88.679245283018872</v>
      </c>
      <c r="H25" s="140"/>
    </row>
    <row r="26" spans="1:10" s="119" customFormat="1" ht="22.5">
      <c r="A26" s="138" t="s">
        <v>410</v>
      </c>
      <c r="B26" s="239" t="s">
        <v>404</v>
      </c>
      <c r="C26" s="259"/>
      <c r="D26" s="259">
        <v>8</v>
      </c>
      <c r="E26" s="259"/>
      <c r="F26" s="234">
        <f t="shared" ref="F26:F33" si="4">E26-D26</f>
        <v>-8</v>
      </c>
      <c r="G26" s="129"/>
      <c r="H26" s="140"/>
    </row>
    <row r="27" spans="1:10" s="119" customFormat="1" ht="22.5">
      <c r="A27" s="138" t="s">
        <v>411</v>
      </c>
      <c r="B27" s="239" t="s">
        <v>405</v>
      </c>
      <c r="C27" s="259"/>
      <c r="D27" s="259">
        <v>10</v>
      </c>
      <c r="E27" s="259"/>
      <c r="F27" s="234">
        <f t="shared" si="4"/>
        <v>-10</v>
      </c>
      <c r="G27" s="129">
        <f t="shared" si="3"/>
        <v>0</v>
      </c>
      <c r="H27" s="140"/>
    </row>
    <row r="28" spans="1:10" s="119" customFormat="1" ht="22.5">
      <c r="A28" s="138" t="s">
        <v>412</v>
      </c>
      <c r="B28" s="239" t="s">
        <v>406</v>
      </c>
      <c r="C28" s="259"/>
      <c r="D28" s="259">
        <v>7</v>
      </c>
      <c r="E28" s="259"/>
      <c r="F28" s="234">
        <f t="shared" si="4"/>
        <v>-7</v>
      </c>
      <c r="G28" s="129">
        <f t="shared" si="3"/>
        <v>0</v>
      </c>
      <c r="H28" s="140"/>
    </row>
    <row r="29" spans="1:10" s="119" customFormat="1" ht="22.5">
      <c r="A29" s="138" t="s">
        <v>413</v>
      </c>
      <c r="B29" s="239" t="s">
        <v>407</v>
      </c>
      <c r="C29" s="259">
        <v>1</v>
      </c>
      <c r="D29" s="259">
        <v>15</v>
      </c>
      <c r="E29" s="259">
        <v>12</v>
      </c>
      <c r="F29" s="234">
        <f t="shared" si="4"/>
        <v>-3</v>
      </c>
      <c r="G29" s="129">
        <f t="shared" si="3"/>
        <v>80</v>
      </c>
      <c r="H29" s="140"/>
    </row>
    <row r="30" spans="1:10" s="119" customFormat="1" ht="22.5">
      <c r="A30" s="138" t="s">
        <v>423</v>
      </c>
      <c r="B30" s="239" t="s">
        <v>408</v>
      </c>
      <c r="C30" s="259">
        <v>73</v>
      </c>
      <c r="D30" s="259">
        <v>103</v>
      </c>
      <c r="E30" s="259">
        <v>74</v>
      </c>
      <c r="F30" s="234">
        <f t="shared" si="4"/>
        <v>-29</v>
      </c>
      <c r="G30" s="129">
        <f t="shared" si="3"/>
        <v>71.844660194174764</v>
      </c>
      <c r="H30" s="140"/>
    </row>
    <row r="31" spans="1:10" s="119" customFormat="1" ht="22.5">
      <c r="A31" s="138" t="s">
        <v>556</v>
      </c>
      <c r="B31" s="239" t="s">
        <v>414</v>
      </c>
      <c r="C31" s="259">
        <v>173</v>
      </c>
      <c r="D31" s="259">
        <v>285</v>
      </c>
      <c r="E31" s="259">
        <f>85+14</f>
        <v>99</v>
      </c>
      <c r="F31" s="234">
        <f t="shared" si="4"/>
        <v>-186</v>
      </c>
      <c r="G31" s="129">
        <f t="shared" si="3"/>
        <v>34.736842105263158</v>
      </c>
      <c r="H31" s="140"/>
    </row>
    <row r="32" spans="1:10" s="119" customFormat="1" ht="39">
      <c r="A32" s="138" t="s">
        <v>543</v>
      </c>
      <c r="B32" s="239" t="s">
        <v>415</v>
      </c>
      <c r="C32" s="259">
        <v>43</v>
      </c>
      <c r="D32" s="259">
        <v>38</v>
      </c>
      <c r="E32" s="259">
        <f>24+21+7</f>
        <v>52</v>
      </c>
      <c r="F32" s="234">
        <f t="shared" si="4"/>
        <v>14</v>
      </c>
      <c r="G32" s="129">
        <f t="shared" si="3"/>
        <v>136.84210526315789</v>
      </c>
      <c r="H32" s="140"/>
    </row>
    <row r="33" spans="1:8" s="119" customFormat="1" ht="22.5">
      <c r="A33" s="138" t="s">
        <v>424</v>
      </c>
      <c r="B33" s="239" t="s">
        <v>416</v>
      </c>
      <c r="C33" s="259">
        <v>10</v>
      </c>
      <c r="D33" s="259">
        <v>102</v>
      </c>
      <c r="E33" s="259">
        <v>10</v>
      </c>
      <c r="F33" s="234">
        <f t="shared" si="4"/>
        <v>-92</v>
      </c>
      <c r="G33" s="129">
        <f t="shared" si="3"/>
        <v>9.8039215686274517</v>
      </c>
      <c r="H33" s="140"/>
    </row>
    <row r="34" spans="1:8" s="119" customFormat="1" ht="22.5">
      <c r="A34" s="138" t="s">
        <v>547</v>
      </c>
      <c r="B34" s="239" t="s">
        <v>417</v>
      </c>
      <c r="C34" s="259"/>
      <c r="D34" s="259"/>
      <c r="E34" s="259"/>
      <c r="F34" s="234"/>
      <c r="G34" s="129"/>
      <c r="H34" s="140"/>
    </row>
    <row r="35" spans="1:8" s="119" customFormat="1" ht="39">
      <c r="A35" s="138" t="s">
        <v>44</v>
      </c>
      <c r="B35" s="239" t="s">
        <v>418</v>
      </c>
      <c r="C35" s="259"/>
      <c r="D35" s="259"/>
      <c r="E35" s="259"/>
      <c r="F35" s="234"/>
      <c r="G35" s="129"/>
      <c r="H35" s="140"/>
    </row>
    <row r="36" spans="1:8" s="119" customFormat="1" ht="22.5">
      <c r="A36" s="138" t="s">
        <v>425</v>
      </c>
      <c r="B36" s="239" t="s">
        <v>419</v>
      </c>
      <c r="C36" s="259">
        <v>2</v>
      </c>
      <c r="D36" s="259">
        <v>40</v>
      </c>
      <c r="E36" s="259"/>
      <c r="F36" s="234">
        <f t="shared" ref="F36:F43" si="5">E36-D36</f>
        <v>-40</v>
      </c>
      <c r="G36" s="129">
        <f t="shared" si="3"/>
        <v>0</v>
      </c>
      <c r="H36" s="140"/>
    </row>
    <row r="37" spans="1:8" s="119" customFormat="1" ht="22.5">
      <c r="A37" s="138" t="s">
        <v>557</v>
      </c>
      <c r="B37" s="239" t="s">
        <v>420</v>
      </c>
      <c r="C37" s="259">
        <v>3</v>
      </c>
      <c r="D37" s="259"/>
      <c r="E37" s="259"/>
      <c r="F37" s="234">
        <f t="shared" si="5"/>
        <v>0</v>
      </c>
      <c r="G37" s="129"/>
      <c r="H37" s="140"/>
    </row>
    <row r="38" spans="1:8" s="119" customFormat="1" ht="39">
      <c r="A38" s="146" t="s">
        <v>426</v>
      </c>
      <c r="B38" s="239" t="s">
        <v>421</v>
      </c>
      <c r="C38" s="259">
        <v>131</v>
      </c>
      <c r="D38" s="259">
        <v>146</v>
      </c>
      <c r="E38" s="259">
        <v>145</v>
      </c>
      <c r="F38" s="234">
        <f t="shared" si="5"/>
        <v>-1</v>
      </c>
      <c r="G38" s="129">
        <f t="shared" si="3"/>
        <v>99.315068493150676</v>
      </c>
      <c r="H38" s="140"/>
    </row>
    <row r="39" spans="1:8" s="119" customFormat="1" ht="22.5">
      <c r="A39" s="139" t="s">
        <v>427</v>
      </c>
      <c r="B39" s="239" t="s">
        <v>422</v>
      </c>
      <c r="C39" s="259">
        <v>22</v>
      </c>
      <c r="D39" s="259">
        <v>23</v>
      </c>
      <c r="E39" s="259">
        <v>24</v>
      </c>
      <c r="F39" s="234">
        <f t="shared" si="5"/>
        <v>1</v>
      </c>
      <c r="G39" s="129">
        <f t="shared" si="3"/>
        <v>104.34782608695652</v>
      </c>
      <c r="H39" s="140"/>
    </row>
    <row r="40" spans="1:8" s="119" customFormat="1" ht="22.5">
      <c r="A40" s="138" t="s">
        <v>47</v>
      </c>
      <c r="B40" s="239" t="s">
        <v>428</v>
      </c>
      <c r="C40" s="259">
        <v>90</v>
      </c>
      <c r="D40" s="259">
        <v>125</v>
      </c>
      <c r="E40" s="259">
        <v>90</v>
      </c>
      <c r="F40" s="234">
        <f t="shared" si="5"/>
        <v>-35</v>
      </c>
      <c r="G40" s="129">
        <f>E40/D40*100</f>
        <v>72</v>
      </c>
      <c r="H40" s="140"/>
    </row>
    <row r="41" spans="1:8" s="119" customFormat="1" ht="22.5">
      <c r="A41" s="138" t="s">
        <v>470</v>
      </c>
      <c r="B41" s="239" t="s">
        <v>504</v>
      </c>
      <c r="C41" s="259"/>
      <c r="D41" s="259">
        <v>4</v>
      </c>
      <c r="E41" s="259"/>
      <c r="F41" s="234">
        <f t="shared" si="5"/>
        <v>-4</v>
      </c>
      <c r="G41" s="129"/>
      <c r="H41" s="140"/>
    </row>
    <row r="42" spans="1:8" s="119" customFormat="1" ht="39">
      <c r="A42" s="138" t="s">
        <v>507</v>
      </c>
      <c r="B42" s="239" t="s">
        <v>505</v>
      </c>
      <c r="C42" s="259"/>
      <c r="D42" s="259">
        <v>750</v>
      </c>
      <c r="E42" s="259">
        <v>1151</v>
      </c>
      <c r="F42" s="234">
        <f t="shared" si="5"/>
        <v>401</v>
      </c>
      <c r="G42" s="129">
        <f>E42/D42*100</f>
        <v>153.46666666666667</v>
      </c>
      <c r="H42" s="140"/>
    </row>
    <row r="43" spans="1:8" s="119" customFormat="1" ht="22.5">
      <c r="A43" s="138" t="s">
        <v>589</v>
      </c>
      <c r="B43" s="239" t="s">
        <v>506</v>
      </c>
      <c r="C43" s="259"/>
      <c r="D43" s="259">
        <v>150</v>
      </c>
      <c r="E43" s="259"/>
      <c r="F43" s="234">
        <f t="shared" si="5"/>
        <v>-150</v>
      </c>
      <c r="G43" s="129">
        <f>E43/D43*100</f>
        <v>0</v>
      </c>
      <c r="H43" s="140"/>
    </row>
    <row r="44" spans="1:8" s="119" customFormat="1" ht="22.5">
      <c r="A44" s="138" t="s">
        <v>572</v>
      </c>
      <c r="B44" s="239" t="s">
        <v>508</v>
      </c>
      <c r="C44" s="259"/>
      <c r="D44" s="259">
        <v>25</v>
      </c>
      <c r="E44" s="259">
        <v>15</v>
      </c>
      <c r="F44" s="234">
        <f>E44-D44</f>
        <v>-10</v>
      </c>
      <c r="G44" s="129">
        <f>E44/D44*100</f>
        <v>60</v>
      </c>
      <c r="H44" s="140"/>
    </row>
    <row r="45" spans="1:8" s="119" customFormat="1" ht="22.5">
      <c r="A45" s="138" t="s">
        <v>573</v>
      </c>
      <c r="B45" s="239" t="s">
        <v>509</v>
      </c>
      <c r="C45" s="259"/>
      <c r="D45" s="259">
        <v>50</v>
      </c>
      <c r="E45" s="259"/>
      <c r="F45" s="234">
        <f>E45-D45</f>
        <v>-50</v>
      </c>
      <c r="G45" s="129">
        <f>E45/D45*100</f>
        <v>0</v>
      </c>
      <c r="H45" s="140"/>
    </row>
    <row r="46" spans="1:8" s="119" customFormat="1" ht="22.5">
      <c r="A46" s="138" t="s">
        <v>594</v>
      </c>
      <c r="B46" s="239" t="s">
        <v>525</v>
      </c>
      <c r="C46" s="259"/>
      <c r="D46" s="259"/>
      <c r="E46" s="259">
        <v>75</v>
      </c>
      <c r="F46" s="234">
        <f>E46-D46</f>
        <v>75</v>
      </c>
      <c r="G46" s="129"/>
      <c r="H46" s="140"/>
    </row>
    <row r="47" spans="1:8" s="119" customFormat="1" ht="22.5">
      <c r="A47" s="138" t="s">
        <v>605</v>
      </c>
      <c r="B47" s="239" t="s">
        <v>526</v>
      </c>
      <c r="C47" s="259">
        <v>2</v>
      </c>
      <c r="D47" s="259"/>
      <c r="E47" s="259">
        <v>12</v>
      </c>
      <c r="F47" s="234">
        <f>E47-D47</f>
        <v>12</v>
      </c>
      <c r="G47" s="129"/>
      <c r="H47" s="140"/>
    </row>
    <row r="48" spans="1:8" s="119" customFormat="1" ht="22.5">
      <c r="A48" s="138" t="s">
        <v>566</v>
      </c>
      <c r="B48" s="239" t="s">
        <v>527</v>
      </c>
      <c r="C48" s="259"/>
      <c r="D48" s="259">
        <v>99</v>
      </c>
      <c r="E48" s="259"/>
      <c r="F48" s="234"/>
      <c r="G48" s="129"/>
      <c r="H48" s="140"/>
    </row>
    <row r="49" spans="1:9" s="119" customFormat="1" ht="22.5">
      <c r="A49" s="138" t="s">
        <v>574</v>
      </c>
      <c r="B49" s="239" t="s">
        <v>567</v>
      </c>
      <c r="C49" s="259">
        <v>5</v>
      </c>
      <c r="D49" s="259"/>
      <c r="E49" s="259"/>
      <c r="F49" s="234">
        <f t="shared" ref="F49:F59" si="6">E49-D49</f>
        <v>0</v>
      </c>
      <c r="G49" s="129"/>
      <c r="H49" s="140"/>
    </row>
    <row r="50" spans="1:9" s="119" customFormat="1" ht="22.5">
      <c r="A50" s="138" t="s">
        <v>575</v>
      </c>
      <c r="B50" s="239" t="s">
        <v>576</v>
      </c>
      <c r="C50" s="259"/>
      <c r="D50" s="259">
        <v>130</v>
      </c>
      <c r="E50" s="259"/>
      <c r="F50" s="234">
        <f t="shared" si="6"/>
        <v>-130</v>
      </c>
      <c r="G50" s="129">
        <f>E50/D50*100</f>
        <v>0</v>
      </c>
      <c r="H50" s="140"/>
    </row>
    <row r="51" spans="1:9" s="119" customFormat="1" ht="58.5">
      <c r="A51" s="138" t="s">
        <v>590</v>
      </c>
      <c r="B51" s="239" t="s">
        <v>577</v>
      </c>
      <c r="C51" s="259"/>
      <c r="D51" s="259">
        <v>350</v>
      </c>
      <c r="E51" s="259">
        <v>418</v>
      </c>
      <c r="F51" s="234">
        <f t="shared" si="6"/>
        <v>68</v>
      </c>
      <c r="G51" s="129">
        <f>E51/D51*100</f>
        <v>119.42857142857144</v>
      </c>
      <c r="H51" s="140"/>
    </row>
    <row r="52" spans="1:9" s="119" customFormat="1" ht="22.5">
      <c r="A52" s="138" t="s">
        <v>591</v>
      </c>
      <c r="B52" s="239" t="s">
        <v>578</v>
      </c>
      <c r="C52" s="259">
        <v>12</v>
      </c>
      <c r="D52" s="259">
        <v>8</v>
      </c>
      <c r="E52" s="259">
        <v>55</v>
      </c>
      <c r="F52" s="234">
        <f t="shared" ref="F52" si="7">E52-D52</f>
        <v>47</v>
      </c>
      <c r="G52" s="129">
        <f>E52/D52*100</f>
        <v>687.5</v>
      </c>
      <c r="H52" s="140"/>
    </row>
    <row r="53" spans="1:9" s="119" customFormat="1" ht="22.5">
      <c r="A53" s="138" t="s">
        <v>608</v>
      </c>
      <c r="B53" s="239" t="s">
        <v>592</v>
      </c>
      <c r="C53" s="259"/>
      <c r="D53" s="259"/>
      <c r="E53" s="259">
        <v>58</v>
      </c>
      <c r="F53" s="234"/>
      <c r="G53" s="129"/>
      <c r="H53" s="140"/>
    </row>
    <row r="54" spans="1:9" s="119" customFormat="1" ht="22.5">
      <c r="A54" s="138" t="s">
        <v>607</v>
      </c>
      <c r="B54" s="239" t="s">
        <v>593</v>
      </c>
      <c r="C54" s="259"/>
      <c r="D54" s="259"/>
      <c r="E54" s="259">
        <v>8</v>
      </c>
      <c r="F54" s="234">
        <f t="shared" si="6"/>
        <v>8</v>
      </c>
      <c r="G54" s="129"/>
      <c r="H54" s="140"/>
    </row>
    <row r="55" spans="1:9" s="119" customFormat="1" ht="22.5">
      <c r="A55" s="138" t="s">
        <v>610</v>
      </c>
      <c r="B55" s="239" t="s">
        <v>609</v>
      </c>
      <c r="C55" s="259"/>
      <c r="D55" s="259"/>
      <c r="E55" s="259">
        <v>789</v>
      </c>
      <c r="F55" s="234">
        <f t="shared" si="6"/>
        <v>789</v>
      </c>
      <c r="G55" s="129"/>
      <c r="H55" s="140"/>
    </row>
    <row r="56" spans="1:9" s="119" customFormat="1" ht="94.5">
      <c r="A56" s="138" t="s">
        <v>511</v>
      </c>
      <c r="B56" s="239" t="s">
        <v>611</v>
      </c>
      <c r="C56" s="259">
        <v>34158</v>
      </c>
      <c r="D56" s="259">
        <v>22840</v>
      </c>
      <c r="E56" s="259">
        <v>25059</v>
      </c>
      <c r="F56" s="234">
        <f t="shared" si="6"/>
        <v>2219</v>
      </c>
      <c r="G56" s="129">
        <f>E56/D56*100</f>
        <v>109.71541155866899</v>
      </c>
      <c r="H56" s="153" t="s">
        <v>583</v>
      </c>
    </row>
    <row r="57" spans="1:9" s="118" customFormat="1" ht="21.75">
      <c r="A57" s="135" t="s">
        <v>23</v>
      </c>
      <c r="B57" s="136">
        <v>1020</v>
      </c>
      <c r="C57" s="260">
        <f>C9-C13</f>
        <v>3827</v>
      </c>
      <c r="D57" s="260">
        <f>D9-D13</f>
        <v>3715</v>
      </c>
      <c r="E57" s="260">
        <f>E9-E13</f>
        <v>4077</v>
      </c>
      <c r="F57" s="260">
        <f t="shared" si="6"/>
        <v>362</v>
      </c>
      <c r="G57" s="131">
        <f>E57/D57*100</f>
        <v>109.7442799461642</v>
      </c>
      <c r="H57" s="137"/>
    </row>
    <row r="58" spans="1:9" s="116" customFormat="1" ht="22.5">
      <c r="A58" s="138" t="s">
        <v>218</v>
      </c>
      <c r="B58" s="133">
        <v>1030</v>
      </c>
      <c r="C58" s="234">
        <f>C59+C60+C61+C62+C63+C64+C65+C66+C67</f>
        <v>3351</v>
      </c>
      <c r="D58" s="234">
        <f>D59+D60+D61+D67+D66</f>
        <v>14240</v>
      </c>
      <c r="E58" s="234">
        <f>E59+E60+E61+E62+E63+E64+E65+E66+E67</f>
        <v>1511</v>
      </c>
      <c r="F58" s="234">
        <f t="shared" si="6"/>
        <v>-12729</v>
      </c>
      <c r="G58" s="129">
        <f>E58/D58*100</f>
        <v>10.610955056179776</v>
      </c>
      <c r="H58" s="134"/>
      <c r="I58" s="116">
        <v>9882</v>
      </c>
    </row>
    <row r="59" spans="1:9" s="116" customFormat="1" ht="39">
      <c r="A59" s="132" t="s">
        <v>579</v>
      </c>
      <c r="B59" s="133" t="s">
        <v>429</v>
      </c>
      <c r="C59" s="234">
        <v>351</v>
      </c>
      <c r="D59" s="234">
        <v>1100</v>
      </c>
      <c r="E59" s="234">
        <v>1070</v>
      </c>
      <c r="F59" s="234">
        <f t="shared" si="6"/>
        <v>-30</v>
      </c>
      <c r="G59" s="129">
        <f>E59/D59*100</f>
        <v>97.27272727272728</v>
      </c>
      <c r="H59" s="134"/>
    </row>
    <row r="60" spans="1:9" s="116" customFormat="1" ht="22.5">
      <c r="A60" s="132" t="s">
        <v>427</v>
      </c>
      <c r="B60" s="133" t="s">
        <v>430</v>
      </c>
      <c r="C60" s="234">
        <v>258</v>
      </c>
      <c r="D60" s="234">
        <v>400</v>
      </c>
      <c r="E60" s="234">
        <v>22</v>
      </c>
      <c r="F60" s="234">
        <f t="shared" ref="F60" si="8">E60-D60</f>
        <v>-378</v>
      </c>
      <c r="G60" s="129">
        <f>E60/D60*100</f>
        <v>5.5</v>
      </c>
      <c r="H60" s="134"/>
    </row>
    <row r="61" spans="1:9" s="116" customFormat="1" ht="22.5">
      <c r="A61" s="132" t="s">
        <v>7</v>
      </c>
      <c r="B61" s="133" t="s">
        <v>431</v>
      </c>
      <c r="C61" s="234">
        <v>2559</v>
      </c>
      <c r="D61" s="234">
        <v>12500</v>
      </c>
      <c r="E61" s="234"/>
      <c r="F61" s="234"/>
      <c r="G61" s="129"/>
      <c r="H61" s="134"/>
    </row>
    <row r="62" spans="1:9" s="116" customFormat="1" ht="22.5">
      <c r="A62" s="132" t="s">
        <v>437</v>
      </c>
      <c r="B62" s="133" t="s">
        <v>432</v>
      </c>
      <c r="C62" s="234"/>
      <c r="D62" s="234"/>
      <c r="E62" s="234"/>
      <c r="F62" s="234"/>
      <c r="G62" s="129"/>
      <c r="H62" s="134"/>
    </row>
    <row r="63" spans="1:9" s="116" customFormat="1" ht="22.5">
      <c r="A63" s="132" t="s">
        <v>438</v>
      </c>
      <c r="B63" s="133" t="s">
        <v>433</v>
      </c>
      <c r="C63" s="234"/>
      <c r="D63" s="234"/>
      <c r="E63" s="234"/>
      <c r="F63" s="234"/>
      <c r="G63" s="129"/>
      <c r="H63" s="134"/>
    </row>
    <row r="64" spans="1:9" s="116" customFormat="1" ht="22.5">
      <c r="A64" s="132" t="s">
        <v>439</v>
      </c>
      <c r="B64" s="133" t="s">
        <v>434</v>
      </c>
      <c r="C64" s="234"/>
      <c r="D64" s="234"/>
      <c r="E64" s="234"/>
      <c r="F64" s="234"/>
      <c r="G64" s="129"/>
      <c r="H64" s="134"/>
    </row>
    <row r="65" spans="1:10" s="116" customFormat="1" ht="39">
      <c r="A65" s="132" t="s">
        <v>553</v>
      </c>
      <c r="B65" s="133" t="s">
        <v>435</v>
      </c>
      <c r="C65" s="234"/>
      <c r="D65" s="234"/>
      <c r="E65" s="234"/>
      <c r="F65" s="234"/>
      <c r="G65" s="129"/>
      <c r="H65" s="134"/>
    </row>
    <row r="66" spans="1:10" s="116" customFormat="1" ht="39">
      <c r="A66" s="132" t="s">
        <v>580</v>
      </c>
      <c r="B66" s="133" t="s">
        <v>436</v>
      </c>
      <c r="C66" s="234">
        <v>175</v>
      </c>
      <c r="D66" s="234">
        <v>240</v>
      </c>
      <c r="E66" s="234">
        <v>419</v>
      </c>
      <c r="F66" s="234">
        <f>E66-D66</f>
        <v>179</v>
      </c>
      <c r="G66" s="129">
        <f>E66/D66*100</f>
        <v>174.58333333333334</v>
      </c>
      <c r="H66" s="134"/>
    </row>
    <row r="67" spans="1:10" s="116" customFormat="1" ht="39">
      <c r="A67" s="146" t="s">
        <v>512</v>
      </c>
      <c r="B67" s="133" t="s">
        <v>513</v>
      </c>
      <c r="C67" s="234">
        <v>8</v>
      </c>
      <c r="D67" s="234"/>
      <c r="E67" s="234"/>
      <c r="F67" s="234">
        <f>E67-D67</f>
        <v>0</v>
      </c>
      <c r="G67" s="129"/>
      <c r="H67" s="134"/>
    </row>
    <row r="68" spans="1:10" s="116" customFormat="1" ht="22.5">
      <c r="A68" s="138" t="s">
        <v>219</v>
      </c>
      <c r="B68" s="133">
        <v>1031</v>
      </c>
      <c r="C68" s="234"/>
      <c r="D68" s="234"/>
      <c r="E68" s="234"/>
      <c r="F68" s="234"/>
      <c r="G68" s="129"/>
      <c r="H68" s="134"/>
    </row>
    <row r="69" spans="1:10" s="116" customFormat="1" ht="22.5">
      <c r="A69" s="138" t="s">
        <v>228</v>
      </c>
      <c r="B69" s="133">
        <v>1040</v>
      </c>
      <c r="C69" s="234">
        <f>C70+C71+C72+C73+C74+C75+C76+C77+C78+C79+C84+C90+C91+C83+C87</f>
        <v>2981</v>
      </c>
      <c r="D69" s="234">
        <f>D70+D75+D76+D77+D78+D79+D83+D84+D89+D91</f>
        <v>3870</v>
      </c>
      <c r="E69" s="234">
        <f>E70+E73+E75+E76+E77+E78+E79+E83+E84+E85+E87+E88+E89+E91+E90</f>
        <v>3767</v>
      </c>
      <c r="F69" s="234">
        <f>E69-D69</f>
        <v>-103</v>
      </c>
      <c r="G69" s="129">
        <f>E69/D69*100</f>
        <v>97.338501291989672</v>
      </c>
      <c r="H69" s="134"/>
      <c r="I69" s="116">
        <v>3767</v>
      </c>
      <c r="J69" s="128">
        <f>E69-I69</f>
        <v>0</v>
      </c>
    </row>
    <row r="70" spans="1:10" s="116" customFormat="1" ht="39">
      <c r="A70" s="138" t="s">
        <v>106</v>
      </c>
      <c r="B70" s="133">
        <v>1041</v>
      </c>
      <c r="C70" s="234">
        <v>233</v>
      </c>
      <c r="D70" s="234">
        <v>268</v>
      </c>
      <c r="E70" s="234">
        <f>69+284+62+20</f>
        <v>435</v>
      </c>
      <c r="F70" s="234">
        <f>E70-D70</f>
        <v>167</v>
      </c>
      <c r="G70" s="129">
        <f>E70/D70*100</f>
        <v>162.31343283582089</v>
      </c>
      <c r="H70" s="134"/>
      <c r="J70" s="128"/>
    </row>
    <row r="71" spans="1:10" s="116" customFormat="1" ht="22.5">
      <c r="A71" s="138" t="s">
        <v>209</v>
      </c>
      <c r="B71" s="133">
        <v>1042</v>
      </c>
      <c r="C71" s="234"/>
      <c r="D71" s="234"/>
      <c r="E71" s="234"/>
      <c r="F71" s="234"/>
      <c r="G71" s="129"/>
      <c r="H71" s="134"/>
    </row>
    <row r="72" spans="1:10" s="116" customFormat="1" ht="22.5">
      <c r="A72" s="138" t="s">
        <v>62</v>
      </c>
      <c r="B72" s="133">
        <v>1043</v>
      </c>
      <c r="C72" s="234"/>
      <c r="D72" s="234"/>
      <c r="E72" s="234"/>
      <c r="F72" s="234"/>
      <c r="G72" s="129"/>
      <c r="H72" s="134"/>
    </row>
    <row r="73" spans="1:10" s="116" customFormat="1" ht="22.5">
      <c r="A73" s="138" t="s">
        <v>21</v>
      </c>
      <c r="B73" s="133">
        <v>1044</v>
      </c>
      <c r="C73" s="234"/>
      <c r="D73" s="234"/>
      <c r="E73" s="234"/>
      <c r="F73" s="234"/>
      <c r="G73" s="129"/>
      <c r="H73" s="134"/>
    </row>
    <row r="74" spans="1:10" s="116" customFormat="1" ht="22.5">
      <c r="A74" s="138" t="s">
        <v>22</v>
      </c>
      <c r="B74" s="133">
        <v>1045</v>
      </c>
      <c r="C74" s="234"/>
      <c r="D74" s="234"/>
      <c r="E74" s="234"/>
      <c r="F74" s="234"/>
      <c r="G74" s="129"/>
      <c r="H74" s="134"/>
    </row>
    <row r="75" spans="1:10" s="119" customFormat="1" ht="22.5">
      <c r="A75" s="138" t="s">
        <v>38</v>
      </c>
      <c r="B75" s="133">
        <v>1046</v>
      </c>
      <c r="C75" s="234">
        <v>3</v>
      </c>
      <c r="D75" s="234">
        <v>8</v>
      </c>
      <c r="E75" s="234">
        <v>6</v>
      </c>
      <c r="F75" s="234">
        <f>E75-D75</f>
        <v>-2</v>
      </c>
      <c r="G75" s="129">
        <f>E75/D75*100</f>
        <v>75</v>
      </c>
      <c r="H75" s="134"/>
    </row>
    <row r="76" spans="1:10" s="119" customFormat="1" ht="22.5">
      <c r="A76" s="138" t="s">
        <v>39</v>
      </c>
      <c r="B76" s="133">
        <v>1047</v>
      </c>
      <c r="C76" s="234">
        <v>15</v>
      </c>
      <c r="D76" s="234">
        <v>18</v>
      </c>
      <c r="E76" s="234">
        <v>14</v>
      </c>
      <c r="F76" s="234">
        <f>E76-D76</f>
        <v>-4</v>
      </c>
      <c r="G76" s="129">
        <f>E76/D76*100</f>
        <v>77.777777777777786</v>
      </c>
      <c r="H76" s="134"/>
    </row>
    <row r="77" spans="1:10" s="119" customFormat="1" ht="22.5">
      <c r="A77" s="138" t="s">
        <v>40</v>
      </c>
      <c r="B77" s="133">
        <v>1048</v>
      </c>
      <c r="C77" s="234">
        <v>1868</v>
      </c>
      <c r="D77" s="234">
        <v>2368</v>
      </c>
      <c r="E77" s="234">
        <f>2646-284</f>
        <v>2362</v>
      </c>
      <c r="F77" s="234">
        <f>E77-D77</f>
        <v>-6</v>
      </c>
      <c r="G77" s="129">
        <f>E77/D77*100</f>
        <v>99.746621621621628</v>
      </c>
      <c r="H77" s="134"/>
    </row>
    <row r="78" spans="1:10" s="119" customFormat="1" ht="22.5">
      <c r="A78" s="138" t="s">
        <v>41</v>
      </c>
      <c r="B78" s="133">
        <v>1049</v>
      </c>
      <c r="C78" s="234">
        <v>371</v>
      </c>
      <c r="D78" s="234">
        <v>488</v>
      </c>
      <c r="E78" s="234">
        <f>515-62</f>
        <v>453</v>
      </c>
      <c r="F78" s="234">
        <f>E78-D78</f>
        <v>-35</v>
      </c>
      <c r="G78" s="129">
        <f>E78/D78*100</f>
        <v>92.827868852459019</v>
      </c>
      <c r="H78" s="134"/>
    </row>
    <row r="79" spans="1:10" s="119" customFormat="1" ht="39">
      <c r="A79" s="138" t="s">
        <v>42</v>
      </c>
      <c r="B79" s="133">
        <v>1050</v>
      </c>
      <c r="C79" s="234">
        <v>74</v>
      </c>
      <c r="D79" s="234">
        <v>75</v>
      </c>
      <c r="E79" s="234">
        <f>93-20</f>
        <v>73</v>
      </c>
      <c r="F79" s="234">
        <f>E79-D79</f>
        <v>-2</v>
      </c>
      <c r="G79" s="129">
        <f>E79/D79*100</f>
        <v>97.333333333333343</v>
      </c>
      <c r="H79" s="134"/>
    </row>
    <row r="80" spans="1:10" s="119" customFormat="1" ht="39">
      <c r="A80" s="138" t="s">
        <v>43</v>
      </c>
      <c r="B80" s="133">
        <v>1051</v>
      </c>
      <c r="C80" s="234"/>
      <c r="D80" s="234"/>
      <c r="E80" s="234"/>
      <c r="F80" s="234"/>
      <c r="G80" s="129"/>
      <c r="H80" s="134"/>
    </row>
    <row r="81" spans="1:8" s="119" customFormat="1" ht="39">
      <c r="A81" s="138" t="s">
        <v>44</v>
      </c>
      <c r="B81" s="133">
        <v>1052</v>
      </c>
      <c r="C81" s="234"/>
      <c r="D81" s="234"/>
      <c r="E81" s="234"/>
      <c r="F81" s="234"/>
      <c r="G81" s="129"/>
      <c r="H81" s="134"/>
    </row>
    <row r="82" spans="1:8" s="119" customFormat="1" ht="39">
      <c r="A82" s="138" t="s">
        <v>45</v>
      </c>
      <c r="B82" s="133">
        <v>1053</v>
      </c>
      <c r="C82" s="234"/>
      <c r="D82" s="234"/>
      <c r="E82" s="234"/>
      <c r="F82" s="234"/>
      <c r="G82" s="129"/>
      <c r="H82" s="134"/>
    </row>
    <row r="83" spans="1:8" s="119" customFormat="1" ht="22.5">
      <c r="A83" s="138" t="s">
        <v>46</v>
      </c>
      <c r="B83" s="133">
        <v>1054</v>
      </c>
      <c r="C83" s="234">
        <v>9</v>
      </c>
      <c r="D83" s="234">
        <v>10</v>
      </c>
      <c r="E83" s="234">
        <v>11</v>
      </c>
      <c r="F83" s="234">
        <f>E83-D83</f>
        <v>1</v>
      </c>
      <c r="G83" s="129">
        <f>E83/D83*100</f>
        <v>110.00000000000001</v>
      </c>
      <c r="H83" s="134"/>
    </row>
    <row r="84" spans="1:8" s="119" customFormat="1" ht="22.5">
      <c r="A84" s="138" t="s">
        <v>66</v>
      </c>
      <c r="B84" s="133">
        <v>1055</v>
      </c>
      <c r="C84" s="234">
        <v>66</v>
      </c>
      <c r="D84" s="234">
        <v>75</v>
      </c>
      <c r="E84" s="234">
        <v>15</v>
      </c>
      <c r="F84" s="234">
        <f>E84-D84</f>
        <v>-60</v>
      </c>
      <c r="G84" s="129">
        <f>E84/D84*100</f>
        <v>20</v>
      </c>
      <c r="H84" s="134"/>
    </row>
    <row r="85" spans="1:8" s="119" customFormat="1" ht="22.5">
      <c r="A85" s="138" t="s">
        <v>47</v>
      </c>
      <c r="B85" s="133">
        <v>1056</v>
      </c>
      <c r="C85" s="234"/>
      <c r="D85" s="234"/>
      <c r="E85" s="234"/>
      <c r="F85" s="234"/>
      <c r="G85" s="129"/>
      <c r="H85" s="134"/>
    </row>
    <row r="86" spans="1:8" s="119" customFormat="1" ht="22.5">
      <c r="A86" s="138" t="s">
        <v>48</v>
      </c>
      <c r="B86" s="133">
        <v>1057</v>
      </c>
      <c r="C86" s="234"/>
      <c r="D86" s="234"/>
      <c r="E86" s="234"/>
      <c r="F86" s="234"/>
      <c r="G86" s="129"/>
      <c r="H86" s="134"/>
    </row>
    <row r="87" spans="1:8" s="119" customFormat="1" ht="39">
      <c r="A87" s="138" t="s">
        <v>49</v>
      </c>
      <c r="B87" s="133">
        <v>1058</v>
      </c>
      <c r="C87" s="234">
        <v>3</v>
      </c>
      <c r="D87" s="234"/>
      <c r="E87" s="234">
        <v>3</v>
      </c>
      <c r="F87" s="234"/>
      <c r="G87" s="129"/>
      <c r="H87" s="134"/>
    </row>
    <row r="88" spans="1:8" s="119" customFormat="1" ht="39">
      <c r="A88" s="138" t="s">
        <v>50</v>
      </c>
      <c r="B88" s="133">
        <v>1059</v>
      </c>
      <c r="C88" s="234"/>
      <c r="D88" s="234"/>
      <c r="E88" s="234"/>
      <c r="F88" s="234"/>
      <c r="G88" s="129"/>
      <c r="H88" s="134"/>
    </row>
    <row r="89" spans="1:8" s="119" customFormat="1" ht="58.5">
      <c r="A89" s="138" t="s">
        <v>76</v>
      </c>
      <c r="B89" s="133">
        <v>1060</v>
      </c>
      <c r="C89" s="234"/>
      <c r="D89" s="234">
        <v>25</v>
      </c>
      <c r="E89" s="234">
        <v>8</v>
      </c>
      <c r="F89" s="234"/>
      <c r="G89" s="129"/>
      <c r="H89" s="134"/>
    </row>
    <row r="90" spans="1:8" s="119" customFormat="1" ht="22.5">
      <c r="A90" s="138" t="s">
        <v>51</v>
      </c>
      <c r="B90" s="133">
        <v>1061</v>
      </c>
      <c r="C90" s="234"/>
      <c r="D90" s="234"/>
      <c r="E90" s="234"/>
      <c r="F90" s="234">
        <f>E90-D90</f>
        <v>0</v>
      </c>
      <c r="G90" s="129"/>
      <c r="H90" s="140"/>
    </row>
    <row r="91" spans="1:8" s="119" customFormat="1" ht="22.5">
      <c r="A91" s="138" t="s">
        <v>110</v>
      </c>
      <c r="B91" s="133">
        <v>1062</v>
      </c>
      <c r="C91" s="234">
        <f>C92+C93+C94+C95+C96+C97</f>
        <v>339</v>
      </c>
      <c r="D91" s="234">
        <f>D92+D93+D94+D95+D96+D97</f>
        <v>535</v>
      </c>
      <c r="E91" s="234">
        <f>E92+E93+E94+E95+E96+E97+E105</f>
        <v>387</v>
      </c>
      <c r="F91" s="234">
        <f t="shared" ref="F91:F96" si="9">E91-D91</f>
        <v>-148</v>
      </c>
      <c r="G91" s="129">
        <f t="shared" ref="G91:G96" si="10">E91/D91*100</f>
        <v>72.336448598130843</v>
      </c>
      <c r="H91" s="134"/>
    </row>
    <row r="92" spans="1:8" s="119" customFormat="1" ht="22.5">
      <c r="A92" s="132" t="s">
        <v>440</v>
      </c>
      <c r="B92" s="133" t="s">
        <v>443</v>
      </c>
      <c r="C92" s="234">
        <v>21</v>
      </c>
      <c r="D92" s="234">
        <v>23</v>
      </c>
      <c r="E92" s="234">
        <v>24</v>
      </c>
      <c r="F92" s="234">
        <f t="shared" si="9"/>
        <v>1</v>
      </c>
      <c r="G92" s="129">
        <f t="shared" si="10"/>
        <v>104.34782608695652</v>
      </c>
      <c r="H92" s="134"/>
    </row>
    <row r="93" spans="1:8" s="119" customFormat="1" ht="22.5">
      <c r="A93" s="132" t="s">
        <v>441</v>
      </c>
      <c r="B93" s="133" t="s">
        <v>444</v>
      </c>
      <c r="C93" s="234">
        <v>20</v>
      </c>
      <c r="D93" s="234">
        <v>18</v>
      </c>
      <c r="E93" s="234">
        <v>19</v>
      </c>
      <c r="F93" s="234">
        <f t="shared" si="9"/>
        <v>1</v>
      </c>
      <c r="G93" s="129">
        <f t="shared" si="10"/>
        <v>105.55555555555556</v>
      </c>
      <c r="H93" s="134"/>
    </row>
    <row r="94" spans="1:8" s="119" customFormat="1" ht="22.5">
      <c r="A94" s="132" t="s">
        <v>442</v>
      </c>
      <c r="B94" s="133" t="s">
        <v>445</v>
      </c>
      <c r="C94" s="234">
        <v>131</v>
      </c>
      <c r="D94" s="234">
        <v>146</v>
      </c>
      <c r="E94" s="234">
        <v>145</v>
      </c>
      <c r="F94" s="234">
        <f t="shared" si="9"/>
        <v>-1</v>
      </c>
      <c r="G94" s="129">
        <f t="shared" si="10"/>
        <v>99.315068493150676</v>
      </c>
      <c r="H94" s="134"/>
    </row>
    <row r="95" spans="1:8" s="119" customFormat="1" ht="58.5">
      <c r="A95" s="132" t="s">
        <v>534</v>
      </c>
      <c r="B95" s="133" t="s">
        <v>446</v>
      </c>
      <c r="C95" s="234">
        <v>4</v>
      </c>
      <c r="D95" s="234">
        <v>13</v>
      </c>
      <c r="E95" s="234"/>
      <c r="F95" s="234">
        <f t="shared" si="9"/>
        <v>-13</v>
      </c>
      <c r="G95" s="129">
        <f t="shared" si="10"/>
        <v>0</v>
      </c>
      <c r="H95" s="134"/>
    </row>
    <row r="96" spans="1:8" s="119" customFormat="1" ht="22.5">
      <c r="A96" s="139" t="s">
        <v>548</v>
      </c>
      <c r="B96" s="133" t="s">
        <v>447</v>
      </c>
      <c r="C96" s="234">
        <v>40</v>
      </c>
      <c r="D96" s="234">
        <v>35</v>
      </c>
      <c r="E96" s="234">
        <f>70+3</f>
        <v>73</v>
      </c>
      <c r="F96" s="234">
        <f t="shared" si="9"/>
        <v>38</v>
      </c>
      <c r="G96" s="129">
        <f t="shared" si="10"/>
        <v>208.57142857142858</v>
      </c>
      <c r="H96" s="134"/>
    </row>
    <row r="97" spans="1:10" s="119" customFormat="1" ht="39">
      <c r="A97" s="138" t="s">
        <v>507</v>
      </c>
      <c r="B97" s="133" t="s">
        <v>514</v>
      </c>
      <c r="C97" s="234">
        <v>123</v>
      </c>
      <c r="D97" s="234">
        <v>300</v>
      </c>
      <c r="E97" s="234">
        <v>126</v>
      </c>
      <c r="F97" s="234">
        <f>E97-D97</f>
        <v>-174</v>
      </c>
      <c r="G97" s="129"/>
      <c r="H97" s="134"/>
    </row>
    <row r="98" spans="1:10" s="116" customFormat="1" ht="22.5">
      <c r="A98" s="138" t="s">
        <v>229</v>
      </c>
      <c r="B98" s="133">
        <v>1070</v>
      </c>
      <c r="C98" s="234"/>
      <c r="D98" s="234"/>
      <c r="E98" s="234"/>
      <c r="F98" s="234"/>
      <c r="G98" s="129"/>
      <c r="H98" s="134"/>
    </row>
    <row r="99" spans="1:10" s="119" customFormat="1" ht="22.5">
      <c r="A99" s="138" t="s">
        <v>188</v>
      </c>
      <c r="B99" s="133">
        <v>1071</v>
      </c>
      <c r="C99" s="234"/>
      <c r="D99" s="234"/>
      <c r="E99" s="234"/>
      <c r="F99" s="234"/>
      <c r="G99" s="129"/>
      <c r="H99" s="134"/>
    </row>
    <row r="100" spans="1:10" s="119" customFormat="1" ht="22.5">
      <c r="A100" s="138" t="s">
        <v>189</v>
      </c>
      <c r="B100" s="133">
        <v>1072</v>
      </c>
      <c r="C100" s="234"/>
      <c r="D100" s="234"/>
      <c r="E100" s="234"/>
      <c r="F100" s="234"/>
      <c r="G100" s="129"/>
      <c r="H100" s="134"/>
    </row>
    <row r="101" spans="1:10" s="119" customFormat="1" ht="22.5">
      <c r="A101" s="138" t="s">
        <v>40</v>
      </c>
      <c r="B101" s="133">
        <v>1073</v>
      </c>
      <c r="C101" s="234"/>
      <c r="D101" s="234"/>
      <c r="E101" s="234"/>
      <c r="F101" s="234"/>
      <c r="G101" s="129"/>
      <c r="H101" s="134"/>
    </row>
    <row r="102" spans="1:10" s="119" customFormat="1" ht="22.5">
      <c r="A102" s="138" t="s">
        <v>63</v>
      </c>
      <c r="B102" s="133">
        <v>1074</v>
      </c>
      <c r="C102" s="234"/>
      <c r="D102" s="234"/>
      <c r="E102" s="234"/>
      <c r="F102" s="234"/>
      <c r="G102" s="129"/>
      <c r="H102" s="134"/>
    </row>
    <row r="103" spans="1:10" s="119" customFormat="1" ht="22.5">
      <c r="A103" s="138" t="s">
        <v>79</v>
      </c>
      <c r="B103" s="133">
        <v>1075</v>
      </c>
      <c r="C103" s="234"/>
      <c r="D103" s="234"/>
      <c r="E103" s="234"/>
      <c r="F103" s="234"/>
      <c r="G103" s="129"/>
      <c r="H103" s="134"/>
    </row>
    <row r="104" spans="1:10" s="119" customFormat="1" ht="22.5">
      <c r="A104" s="138" t="s">
        <v>124</v>
      </c>
      <c r="B104" s="133">
        <v>1076</v>
      </c>
      <c r="C104" s="234"/>
      <c r="D104" s="234"/>
      <c r="E104" s="234"/>
      <c r="F104" s="234"/>
      <c r="G104" s="129"/>
      <c r="H104" s="134"/>
    </row>
    <row r="105" spans="1:10" s="119" customFormat="1" ht="22.5">
      <c r="A105" s="138" t="s">
        <v>41</v>
      </c>
      <c r="B105" s="133" t="s">
        <v>448</v>
      </c>
      <c r="C105" s="234"/>
      <c r="D105" s="234"/>
      <c r="E105" s="234"/>
      <c r="F105" s="234"/>
      <c r="G105" s="129"/>
      <c r="H105" s="134"/>
    </row>
    <row r="106" spans="1:10" s="119" customFormat="1" ht="22.5">
      <c r="A106" s="147" t="s">
        <v>80</v>
      </c>
      <c r="B106" s="133">
        <v>1080</v>
      </c>
      <c r="C106" s="234">
        <f>C108+C109+C111</f>
        <v>2756</v>
      </c>
      <c r="D106" s="234">
        <f>D108+D109+D111</f>
        <v>12910</v>
      </c>
      <c r="E106" s="234">
        <f>E108+E109+E111</f>
        <v>482</v>
      </c>
      <c r="F106" s="234">
        <f>E106-D106</f>
        <v>-12428</v>
      </c>
      <c r="G106" s="129">
        <f>E106/D106*100</f>
        <v>3.7335398915569327</v>
      </c>
      <c r="H106" s="134"/>
    </row>
    <row r="107" spans="1:10" s="119" customFormat="1" ht="22.5">
      <c r="A107" s="138" t="s">
        <v>72</v>
      </c>
      <c r="B107" s="133">
        <v>1081</v>
      </c>
      <c r="C107" s="234"/>
      <c r="D107" s="234"/>
      <c r="E107" s="234"/>
      <c r="F107" s="234"/>
      <c r="G107" s="129"/>
      <c r="H107" s="134"/>
    </row>
    <row r="108" spans="1:10" s="119" customFormat="1" ht="22.5">
      <c r="A108" s="138" t="s">
        <v>52</v>
      </c>
      <c r="B108" s="133">
        <v>1082</v>
      </c>
      <c r="C108" s="234"/>
      <c r="D108" s="234"/>
      <c r="E108" s="234"/>
      <c r="F108" s="234"/>
      <c r="G108" s="129"/>
      <c r="H108" s="134"/>
    </row>
    <row r="109" spans="1:10" s="119" customFormat="1" ht="22.5">
      <c r="A109" s="138" t="s">
        <v>516</v>
      </c>
      <c r="B109" s="133">
        <v>1083</v>
      </c>
      <c r="C109" s="234"/>
      <c r="D109" s="234"/>
      <c r="E109" s="234"/>
      <c r="F109" s="234"/>
      <c r="G109" s="129"/>
      <c r="H109" s="134"/>
    </row>
    <row r="110" spans="1:10" s="119" customFormat="1" ht="22.5">
      <c r="A110" s="138" t="s">
        <v>219</v>
      </c>
      <c r="B110" s="133">
        <v>1084</v>
      </c>
      <c r="C110" s="234"/>
      <c r="D110" s="234"/>
      <c r="E110" s="234"/>
      <c r="F110" s="234"/>
      <c r="G110" s="129"/>
      <c r="H110" s="134"/>
    </row>
    <row r="111" spans="1:10" s="119" customFormat="1" ht="22.5">
      <c r="A111" s="138" t="s">
        <v>263</v>
      </c>
      <c r="B111" s="133">
        <v>1085</v>
      </c>
      <c r="C111" s="234">
        <f>C113+C114+C119+C118+C120+C121+C123+C125+C126+C127+C124+C129+C115+C130+C131</f>
        <v>2756</v>
      </c>
      <c r="D111" s="234">
        <f>D113+D114+D119+D118+D120+D121+D123+D125+D126+D127+D124+D129+D115+D130</f>
        <v>12910</v>
      </c>
      <c r="E111" s="234">
        <f>E114+E118+E121+E125+E126+E129+E130+E132+E113+E120+E131</f>
        <v>482</v>
      </c>
      <c r="F111" s="234">
        <f>E111-D111</f>
        <v>-12428</v>
      </c>
      <c r="G111" s="129">
        <f>E111/D111*100</f>
        <v>3.7335398915569327</v>
      </c>
      <c r="H111" s="134"/>
      <c r="J111" s="151"/>
    </row>
    <row r="112" spans="1:10" s="119" customFormat="1" ht="22.5">
      <c r="A112" s="132" t="s">
        <v>465</v>
      </c>
      <c r="B112" s="133" t="s">
        <v>449</v>
      </c>
      <c r="C112" s="234"/>
      <c r="D112" s="234"/>
      <c r="E112" s="234"/>
      <c r="F112" s="234"/>
      <c r="G112" s="129"/>
      <c r="H112" s="134"/>
    </row>
    <row r="113" spans="1:8" s="119" customFormat="1" ht="22.5">
      <c r="A113" s="132" t="s">
        <v>587</v>
      </c>
      <c r="B113" s="133" t="s">
        <v>450</v>
      </c>
      <c r="C113" s="234">
        <v>2</v>
      </c>
      <c r="D113" s="234">
        <v>30</v>
      </c>
      <c r="E113" s="234">
        <v>55</v>
      </c>
      <c r="F113" s="234">
        <f>E113-D113</f>
        <v>25</v>
      </c>
      <c r="G113" s="129">
        <f>E113/D113*100</f>
        <v>183.33333333333331</v>
      </c>
      <c r="H113" s="134"/>
    </row>
    <row r="114" spans="1:8" s="119" customFormat="1" ht="39">
      <c r="A114" s="132" t="s">
        <v>549</v>
      </c>
      <c r="B114" s="133" t="s">
        <v>451</v>
      </c>
      <c r="C114" s="234"/>
      <c r="D114" s="234">
        <v>175</v>
      </c>
      <c r="E114" s="234"/>
      <c r="F114" s="234"/>
      <c r="G114" s="129"/>
      <c r="H114" s="134"/>
    </row>
    <row r="115" spans="1:8" s="119" customFormat="1" ht="22.5">
      <c r="A115" s="132" t="s">
        <v>499</v>
      </c>
      <c r="B115" s="133" t="s">
        <v>452</v>
      </c>
      <c r="C115" s="234"/>
      <c r="D115" s="234"/>
      <c r="E115" s="234"/>
      <c r="F115" s="234"/>
      <c r="G115" s="129"/>
      <c r="H115" s="134"/>
    </row>
    <row r="116" spans="1:8" s="119" customFormat="1" ht="22.5">
      <c r="A116" s="132" t="s">
        <v>498</v>
      </c>
      <c r="B116" s="133" t="s">
        <v>453</v>
      </c>
      <c r="C116" s="234"/>
      <c r="D116" s="234"/>
      <c r="E116" s="234"/>
      <c r="F116" s="234"/>
      <c r="G116" s="129"/>
      <c r="H116" s="134"/>
    </row>
    <row r="117" spans="1:8" s="119" customFormat="1" ht="22.5">
      <c r="A117" s="132" t="s">
        <v>466</v>
      </c>
      <c r="B117" s="133" t="s">
        <v>454</v>
      </c>
      <c r="C117" s="234"/>
      <c r="D117" s="234"/>
      <c r="E117" s="234"/>
      <c r="F117" s="234"/>
      <c r="G117" s="129"/>
      <c r="H117" s="134"/>
    </row>
    <row r="118" spans="1:8" s="119" customFormat="1" ht="22.5">
      <c r="A118" s="132" t="s">
        <v>467</v>
      </c>
      <c r="B118" s="133" t="s">
        <v>455</v>
      </c>
      <c r="C118" s="234">
        <v>12</v>
      </c>
      <c r="D118" s="234"/>
      <c r="E118" s="234"/>
      <c r="F118" s="234">
        <f>E118-D118</f>
        <v>0</v>
      </c>
      <c r="G118" s="129"/>
      <c r="H118" s="134"/>
    </row>
    <row r="119" spans="1:8" s="119" customFormat="1" ht="27" customHeight="1">
      <c r="A119" s="132" t="s">
        <v>468</v>
      </c>
      <c r="B119" s="133" t="s">
        <v>456</v>
      </c>
      <c r="C119" s="234"/>
      <c r="D119" s="234"/>
      <c r="E119" s="234"/>
      <c r="F119" s="234">
        <f>E119-D119</f>
        <v>0</v>
      </c>
      <c r="G119" s="129"/>
      <c r="H119" s="134"/>
    </row>
    <row r="120" spans="1:8" s="119" customFormat="1" ht="22.5">
      <c r="A120" s="132" t="s">
        <v>581</v>
      </c>
      <c r="B120" s="133" t="s">
        <v>457</v>
      </c>
      <c r="C120" s="234">
        <v>5</v>
      </c>
      <c r="D120" s="234"/>
      <c r="E120" s="234"/>
      <c r="F120" s="234">
        <f>E120-D120</f>
        <v>0</v>
      </c>
      <c r="G120" s="129"/>
      <c r="H120" s="134"/>
    </row>
    <row r="121" spans="1:8" s="119" customFormat="1" ht="22.5">
      <c r="A121" s="132" t="s">
        <v>558</v>
      </c>
      <c r="B121" s="133" t="s">
        <v>458</v>
      </c>
      <c r="C121" s="234">
        <v>3</v>
      </c>
      <c r="D121" s="234"/>
      <c r="E121" s="234"/>
      <c r="F121" s="234">
        <f>E121-D121</f>
        <v>0</v>
      </c>
      <c r="G121" s="129"/>
      <c r="H121" s="134"/>
    </row>
    <row r="122" spans="1:8" s="119" customFormat="1" ht="39">
      <c r="A122" s="132" t="s">
        <v>469</v>
      </c>
      <c r="B122" s="133" t="s">
        <v>459</v>
      </c>
      <c r="C122" s="234"/>
      <c r="D122" s="234"/>
      <c r="E122" s="234"/>
      <c r="F122" s="234"/>
      <c r="G122" s="129"/>
      <c r="H122" s="134"/>
    </row>
    <row r="123" spans="1:8" s="119" customFormat="1" ht="22.5">
      <c r="A123" s="132" t="s">
        <v>510</v>
      </c>
      <c r="B123" s="133" t="s">
        <v>460</v>
      </c>
      <c r="C123" s="234"/>
      <c r="D123" s="234"/>
      <c r="E123" s="234"/>
      <c r="F123" s="234"/>
      <c r="G123" s="129"/>
      <c r="H123" s="134"/>
    </row>
    <row r="124" spans="1:8" s="119" customFormat="1" ht="39">
      <c r="A124" s="132" t="s">
        <v>550</v>
      </c>
      <c r="B124" s="133" t="s">
        <v>461</v>
      </c>
      <c r="C124" s="234"/>
      <c r="D124" s="234">
        <v>5</v>
      </c>
      <c r="E124" s="234"/>
      <c r="F124" s="234"/>
      <c r="G124" s="129"/>
      <c r="H124" s="134"/>
    </row>
    <row r="125" spans="1:8" s="119" customFormat="1" ht="22.5">
      <c r="A125" s="132" t="s">
        <v>612</v>
      </c>
      <c r="B125" s="133" t="s">
        <v>462</v>
      </c>
      <c r="C125" s="234"/>
      <c r="D125" s="234"/>
      <c r="E125" s="234">
        <v>8</v>
      </c>
      <c r="F125" s="234">
        <f>E125-D125</f>
        <v>8</v>
      </c>
      <c r="G125" s="129"/>
      <c r="H125" s="134"/>
    </row>
    <row r="126" spans="1:8" s="119" customFormat="1" ht="22.5">
      <c r="A126" s="132" t="s">
        <v>471</v>
      </c>
      <c r="B126" s="133" t="s">
        <v>463</v>
      </c>
      <c r="C126" s="234">
        <v>2559</v>
      </c>
      <c r="D126" s="234">
        <v>12500</v>
      </c>
      <c r="E126" s="234">
        <v>419</v>
      </c>
      <c r="F126" s="234">
        <f>E126-D126</f>
        <v>-12081</v>
      </c>
      <c r="G126" s="129">
        <f>E126/D126*100</f>
        <v>3.3520000000000003</v>
      </c>
      <c r="H126" s="134"/>
    </row>
    <row r="127" spans="1:8" s="119" customFormat="1" ht="24" customHeight="1">
      <c r="A127" s="132" t="s">
        <v>544</v>
      </c>
      <c r="B127" s="133" t="s">
        <v>464</v>
      </c>
      <c r="C127" s="234"/>
      <c r="D127" s="234"/>
      <c r="E127" s="234"/>
      <c r="F127" s="234"/>
      <c r="G127" s="129"/>
      <c r="H127" s="134"/>
    </row>
    <row r="128" spans="1:8" s="119" customFormat="1" ht="22.5">
      <c r="A128" s="132" t="s">
        <v>441</v>
      </c>
      <c r="B128" s="133" t="s">
        <v>545</v>
      </c>
      <c r="C128" s="234"/>
      <c r="D128" s="234"/>
      <c r="E128" s="234"/>
      <c r="F128" s="234"/>
      <c r="G128" s="129"/>
      <c r="H128" s="134"/>
    </row>
    <row r="129" spans="1:8" s="119" customFormat="1" ht="22.5">
      <c r="A129" s="139" t="s">
        <v>554</v>
      </c>
      <c r="B129" s="133" t="s">
        <v>546</v>
      </c>
      <c r="C129" s="234"/>
      <c r="D129" s="234"/>
      <c r="E129" s="234"/>
      <c r="F129" s="234"/>
      <c r="G129" s="129"/>
      <c r="H129" s="134"/>
    </row>
    <row r="130" spans="1:8" s="119" customFormat="1" ht="22.5">
      <c r="A130" s="138" t="s">
        <v>559</v>
      </c>
      <c r="B130" s="133" t="s">
        <v>560</v>
      </c>
      <c r="C130" s="234">
        <v>173</v>
      </c>
      <c r="D130" s="234">
        <v>200</v>
      </c>
      <c r="E130" s="234"/>
      <c r="F130" s="234"/>
      <c r="G130" s="129"/>
      <c r="H130" s="134"/>
    </row>
    <row r="131" spans="1:8" s="119" customFormat="1" ht="22.5">
      <c r="A131" s="138" t="s">
        <v>606</v>
      </c>
      <c r="B131" s="133" t="s">
        <v>561</v>
      </c>
      <c r="C131" s="234">
        <v>2</v>
      </c>
      <c r="D131" s="234"/>
      <c r="E131" s="234"/>
      <c r="F131" s="234"/>
      <c r="G131" s="129"/>
      <c r="H131" s="134"/>
    </row>
    <row r="132" spans="1:8" s="119" customFormat="1" ht="58.5">
      <c r="A132" s="138" t="s">
        <v>562</v>
      </c>
      <c r="B132" s="133" t="s">
        <v>582</v>
      </c>
      <c r="C132" s="234"/>
      <c r="D132" s="234"/>
      <c r="E132" s="234"/>
      <c r="F132" s="234"/>
      <c r="G132" s="129"/>
      <c r="H132" s="134"/>
    </row>
    <row r="133" spans="1:8" s="118" customFormat="1" ht="21.75">
      <c r="A133" s="135" t="s">
        <v>4</v>
      </c>
      <c r="B133" s="136">
        <v>1100</v>
      </c>
      <c r="C133" s="260">
        <f>C57+C58-C69-C106</f>
        <v>1441</v>
      </c>
      <c r="D133" s="260">
        <f>D57+D58-D69-D106</f>
        <v>1175</v>
      </c>
      <c r="E133" s="260">
        <f>E57+E58-E69-E106</f>
        <v>1339</v>
      </c>
      <c r="F133" s="260">
        <f>E133-D133</f>
        <v>164</v>
      </c>
      <c r="G133" s="131">
        <f>E133/D133*100</f>
        <v>113.95744680851064</v>
      </c>
      <c r="H133" s="137"/>
    </row>
    <row r="134" spans="1:8" s="116" customFormat="1" ht="22.5">
      <c r="A134" s="138" t="s">
        <v>108</v>
      </c>
      <c r="B134" s="133">
        <v>1110</v>
      </c>
      <c r="C134" s="234"/>
      <c r="D134" s="234"/>
      <c r="E134" s="234"/>
      <c r="F134" s="234"/>
      <c r="G134" s="129"/>
      <c r="H134" s="134"/>
    </row>
    <row r="135" spans="1:8" s="116" customFormat="1" ht="22.5">
      <c r="A135" s="138" t="s">
        <v>109</v>
      </c>
      <c r="B135" s="133">
        <v>1120</v>
      </c>
      <c r="C135" s="234"/>
      <c r="D135" s="234"/>
      <c r="E135" s="234"/>
      <c r="F135" s="234"/>
      <c r="G135" s="129"/>
      <c r="H135" s="134"/>
    </row>
    <row r="136" spans="1:8" s="116" customFormat="1" ht="22.5">
      <c r="A136" s="138" t="s">
        <v>112</v>
      </c>
      <c r="B136" s="133">
        <v>1130</v>
      </c>
      <c r="C136" s="234"/>
      <c r="D136" s="234"/>
      <c r="E136" s="234"/>
      <c r="F136" s="234"/>
      <c r="G136" s="129"/>
      <c r="H136" s="134"/>
    </row>
    <row r="137" spans="1:8" s="116" customFormat="1" ht="22.5">
      <c r="A137" s="138" t="s">
        <v>111</v>
      </c>
      <c r="B137" s="133">
        <v>1140</v>
      </c>
      <c r="C137" s="234"/>
      <c r="D137" s="234"/>
      <c r="E137" s="234"/>
      <c r="F137" s="234"/>
      <c r="G137" s="129"/>
      <c r="H137" s="134"/>
    </row>
    <row r="138" spans="1:8" s="116" customFormat="1" ht="22.5">
      <c r="A138" s="138" t="s">
        <v>220</v>
      </c>
      <c r="B138" s="133">
        <v>1150</v>
      </c>
      <c r="C138" s="234"/>
      <c r="D138" s="234"/>
      <c r="E138" s="234">
        <f>E139</f>
        <v>18084</v>
      </c>
      <c r="F138" s="234"/>
      <c r="G138" s="129"/>
      <c r="H138" s="134"/>
    </row>
    <row r="139" spans="1:8" s="116" customFormat="1" ht="22.5">
      <c r="A139" s="132" t="s">
        <v>595</v>
      </c>
      <c r="B139" s="133" t="s">
        <v>472</v>
      </c>
      <c r="C139" s="234"/>
      <c r="D139" s="234"/>
      <c r="E139" s="234">
        <v>18084</v>
      </c>
      <c r="F139" s="234"/>
      <c r="G139" s="129"/>
      <c r="H139" s="134"/>
    </row>
    <row r="140" spans="1:8" s="116" customFormat="1" ht="22.5">
      <c r="A140" s="132" t="s">
        <v>475</v>
      </c>
      <c r="B140" s="133" t="s">
        <v>473</v>
      </c>
      <c r="C140" s="234"/>
      <c r="D140" s="234"/>
      <c r="E140" s="234"/>
      <c r="F140" s="234"/>
      <c r="G140" s="129"/>
      <c r="H140" s="134"/>
    </row>
    <row r="141" spans="1:8" s="116" customFormat="1" ht="22.5">
      <c r="A141" s="138" t="s">
        <v>219</v>
      </c>
      <c r="B141" s="133">
        <v>1151</v>
      </c>
      <c r="C141" s="234"/>
      <c r="D141" s="234"/>
      <c r="E141" s="234"/>
      <c r="F141" s="234"/>
      <c r="G141" s="129"/>
      <c r="H141" s="134"/>
    </row>
    <row r="142" spans="1:8" s="116" customFormat="1" ht="22.5">
      <c r="A142" s="138" t="s">
        <v>221</v>
      </c>
      <c r="B142" s="133">
        <v>1160</v>
      </c>
      <c r="C142" s="234">
        <f>C146+C148</f>
        <v>598</v>
      </c>
      <c r="D142" s="234">
        <f>D143+D145+D148</f>
        <v>250</v>
      </c>
      <c r="E142" s="234">
        <f>E146+E148+E147</f>
        <v>19383</v>
      </c>
      <c r="F142" s="234">
        <f>E142-D142</f>
        <v>19133</v>
      </c>
      <c r="G142" s="129">
        <f>E142/D142*100</f>
        <v>7753.2</v>
      </c>
      <c r="H142" s="134"/>
    </row>
    <row r="143" spans="1:8" s="116" customFormat="1" ht="22.5" hidden="1">
      <c r="A143" s="132" t="s">
        <v>474</v>
      </c>
      <c r="B143" s="133" t="s">
        <v>476</v>
      </c>
      <c r="C143" s="234"/>
      <c r="D143" s="234"/>
      <c r="E143" s="234"/>
      <c r="F143" s="234"/>
      <c r="G143" s="129"/>
      <c r="H143" s="134"/>
    </row>
    <row r="144" spans="1:8" s="116" customFormat="1" ht="22.5" hidden="1">
      <c r="A144" s="139" t="s">
        <v>479</v>
      </c>
      <c r="B144" s="133" t="s">
        <v>477</v>
      </c>
      <c r="C144" s="234"/>
      <c r="D144" s="234"/>
      <c r="E144" s="234"/>
      <c r="F144" s="234"/>
      <c r="G144" s="129"/>
      <c r="H144" s="134"/>
    </row>
    <row r="145" spans="1:8" s="116" customFormat="1" ht="39" hidden="1">
      <c r="A145" s="138" t="s">
        <v>480</v>
      </c>
      <c r="B145" s="133" t="s">
        <v>478</v>
      </c>
      <c r="C145" s="234"/>
      <c r="D145" s="234"/>
      <c r="E145" s="234"/>
      <c r="F145" s="234"/>
      <c r="G145" s="129"/>
      <c r="H145" s="134"/>
    </row>
    <row r="146" spans="1:8" s="116" customFormat="1" ht="22.5">
      <c r="A146" s="138" t="s">
        <v>575</v>
      </c>
      <c r="B146" s="133" t="s">
        <v>476</v>
      </c>
      <c r="C146" s="234">
        <v>338</v>
      </c>
      <c r="D146" s="234"/>
      <c r="E146" s="234">
        <v>1170</v>
      </c>
      <c r="F146" s="234"/>
      <c r="G146" s="129"/>
      <c r="H146" s="134"/>
    </row>
    <row r="147" spans="1:8" s="116" customFormat="1" ht="22.5">
      <c r="A147" s="138" t="s">
        <v>7</v>
      </c>
      <c r="B147" s="133" t="s">
        <v>477</v>
      </c>
      <c r="C147" s="234"/>
      <c r="D147" s="234"/>
      <c r="E147" s="234">
        <v>18084</v>
      </c>
      <c r="F147" s="234"/>
      <c r="G147" s="129"/>
      <c r="H147" s="134"/>
    </row>
    <row r="148" spans="1:8" s="116" customFormat="1" ht="22.5">
      <c r="A148" s="138" t="s">
        <v>481</v>
      </c>
      <c r="B148" s="133" t="s">
        <v>478</v>
      </c>
      <c r="C148" s="234">
        <v>260</v>
      </c>
      <c r="D148" s="234">
        <v>250</v>
      </c>
      <c r="E148" s="234">
        <v>129</v>
      </c>
      <c r="F148" s="234">
        <f>E148-D148</f>
        <v>-121</v>
      </c>
      <c r="G148" s="129">
        <f>E148/D148*100</f>
        <v>51.6</v>
      </c>
      <c r="H148" s="134"/>
    </row>
    <row r="149" spans="1:8" s="116" customFormat="1" ht="22.5" hidden="1">
      <c r="A149" s="138" t="s">
        <v>500</v>
      </c>
      <c r="B149" s="133" t="s">
        <v>515</v>
      </c>
      <c r="C149" s="234"/>
      <c r="D149" s="234"/>
      <c r="E149" s="234"/>
      <c r="F149" s="234"/>
      <c r="G149" s="129"/>
      <c r="H149" s="134"/>
    </row>
    <row r="150" spans="1:8" s="116" customFormat="1" ht="22.5">
      <c r="A150" s="138" t="s">
        <v>219</v>
      </c>
      <c r="B150" s="133">
        <v>1161</v>
      </c>
      <c r="C150" s="234"/>
      <c r="D150" s="234"/>
      <c r="E150" s="234"/>
      <c r="F150" s="234"/>
      <c r="G150" s="129"/>
      <c r="H150" s="134"/>
    </row>
    <row r="151" spans="1:8" s="118" customFormat="1" ht="21.75">
      <c r="A151" s="135" t="s">
        <v>96</v>
      </c>
      <c r="B151" s="136">
        <v>1170</v>
      </c>
      <c r="C151" s="260">
        <f>C133+C138-C142</f>
        <v>843</v>
      </c>
      <c r="D151" s="260">
        <f>D133+D138-D142</f>
        <v>925</v>
      </c>
      <c r="E151" s="260">
        <f>E133+E138-E142</f>
        <v>40</v>
      </c>
      <c r="F151" s="260">
        <f>E151-D151</f>
        <v>-885</v>
      </c>
      <c r="G151" s="131">
        <f>E151/D151*100</f>
        <v>4.3243243243243246</v>
      </c>
      <c r="H151" s="137"/>
    </row>
    <row r="152" spans="1:8" s="116" customFormat="1" ht="22.5">
      <c r="A152" s="138" t="s">
        <v>140</v>
      </c>
      <c r="B152" s="133">
        <v>1180</v>
      </c>
      <c r="C152" s="257">
        <f>ROUND(C151*18%,0)</f>
        <v>152</v>
      </c>
      <c r="D152" s="257">
        <v>167</v>
      </c>
      <c r="E152" s="257">
        <f>ROUND(E151*18%,0)</f>
        <v>7</v>
      </c>
      <c r="F152" s="234">
        <f>E152-D152</f>
        <v>-160</v>
      </c>
      <c r="G152" s="129"/>
      <c r="H152" s="134"/>
    </row>
    <row r="153" spans="1:8" s="116" customFormat="1" ht="39">
      <c r="A153" s="138" t="s">
        <v>141</v>
      </c>
      <c r="B153" s="133">
        <v>1190</v>
      </c>
      <c r="C153" s="234"/>
      <c r="D153" s="234"/>
      <c r="E153" s="234"/>
      <c r="F153" s="234"/>
      <c r="G153" s="129"/>
      <c r="H153" s="134"/>
    </row>
    <row r="154" spans="1:8" s="118" customFormat="1" ht="21.75">
      <c r="A154" s="135" t="s">
        <v>97</v>
      </c>
      <c r="B154" s="136">
        <v>1200</v>
      </c>
      <c r="C154" s="260">
        <f>C151-C152</f>
        <v>691</v>
      </c>
      <c r="D154" s="260">
        <f>D151-D152</f>
        <v>758</v>
      </c>
      <c r="E154" s="260">
        <f>E151-E152</f>
        <v>33</v>
      </c>
      <c r="F154" s="260">
        <f>E154-D154</f>
        <v>-725</v>
      </c>
      <c r="G154" s="131">
        <f>E154/D154*100</f>
        <v>4.3535620052770447</v>
      </c>
      <c r="H154" s="137"/>
    </row>
    <row r="155" spans="1:8" s="116" customFormat="1" ht="22.5">
      <c r="A155" s="138" t="s">
        <v>24</v>
      </c>
      <c r="B155" s="238">
        <v>1201</v>
      </c>
      <c r="C155" s="261">
        <f>SUMIF(C154,"&gt;0")</f>
        <v>691</v>
      </c>
      <c r="D155" s="261">
        <f>SUMIF(D154,"&gt;0")</f>
        <v>758</v>
      </c>
      <c r="E155" s="261">
        <f>SUMIF(E154,"&gt;0")</f>
        <v>33</v>
      </c>
      <c r="F155" s="234">
        <f>E155-D155</f>
        <v>-725</v>
      </c>
      <c r="G155" s="129">
        <f>E155/D155*100</f>
        <v>4.3535620052770447</v>
      </c>
      <c r="H155" s="140"/>
    </row>
    <row r="156" spans="1:8" s="116" customFormat="1" ht="22.5">
      <c r="A156" s="138" t="s">
        <v>25</v>
      </c>
      <c r="B156" s="238">
        <v>1202</v>
      </c>
      <c r="C156" s="261">
        <f>SUMIF(C154,"&lt;0")</f>
        <v>0</v>
      </c>
      <c r="D156" s="261">
        <f>SUMIF(D154,"&lt;0")</f>
        <v>0</v>
      </c>
      <c r="E156" s="261">
        <f>SUMIF(E154,"&lt;0")</f>
        <v>0</v>
      </c>
      <c r="F156" s="259"/>
      <c r="G156" s="130"/>
      <c r="H156" s="140"/>
    </row>
    <row r="157" spans="1:8" s="116" customFormat="1" ht="22.5">
      <c r="A157" s="138" t="s">
        <v>264</v>
      </c>
      <c r="B157" s="133">
        <v>1210</v>
      </c>
      <c r="C157" s="234"/>
      <c r="D157" s="234"/>
      <c r="E157" s="234"/>
      <c r="F157" s="234"/>
      <c r="G157" s="129"/>
      <c r="H157" s="134"/>
    </row>
    <row r="158" spans="1:8" s="118" customFormat="1" ht="27.75" customHeight="1">
      <c r="A158" s="295" t="s">
        <v>277</v>
      </c>
      <c r="B158" s="296"/>
      <c r="C158" s="296"/>
      <c r="D158" s="296"/>
      <c r="E158" s="296"/>
      <c r="F158" s="296"/>
      <c r="G158" s="296"/>
      <c r="H158" s="297"/>
    </row>
    <row r="159" spans="1:8" s="116" customFormat="1" ht="39">
      <c r="A159" s="141" t="s">
        <v>278</v>
      </c>
      <c r="B159" s="238">
        <v>1300</v>
      </c>
      <c r="C159" s="259">
        <f>C58-C106</f>
        <v>595</v>
      </c>
      <c r="D159" s="259">
        <f>D58-D106</f>
        <v>1330</v>
      </c>
      <c r="E159" s="259">
        <f>E58-E106</f>
        <v>1029</v>
      </c>
      <c r="F159" s="234">
        <f>E159-D159</f>
        <v>-301</v>
      </c>
      <c r="G159" s="129">
        <f>E159/D159*100</f>
        <v>77.368421052631575</v>
      </c>
      <c r="H159" s="140"/>
    </row>
    <row r="160" spans="1:8" s="116" customFormat="1" ht="70.5" customHeight="1">
      <c r="A160" s="142" t="s">
        <v>279</v>
      </c>
      <c r="B160" s="238">
        <v>1310</v>
      </c>
      <c r="C160" s="259">
        <f>C134+C135-C136-C137</f>
        <v>0</v>
      </c>
      <c r="D160" s="259">
        <f>D134+D135-D136-D137</f>
        <v>0</v>
      </c>
      <c r="E160" s="259">
        <f>E134+E135-E136-E137</f>
        <v>0</v>
      </c>
      <c r="F160" s="259"/>
      <c r="G160" s="130"/>
      <c r="H160" s="140"/>
    </row>
    <row r="161" spans="1:9" s="116" customFormat="1" ht="39">
      <c r="A161" s="141" t="s">
        <v>280</v>
      </c>
      <c r="B161" s="238">
        <v>1320</v>
      </c>
      <c r="C161" s="259">
        <f>C138-C142</f>
        <v>-598</v>
      </c>
      <c r="D161" s="259">
        <f>D138-D142</f>
        <v>-250</v>
      </c>
      <c r="E161" s="259">
        <f>E138-E142</f>
        <v>-1299</v>
      </c>
      <c r="F161" s="234">
        <f>E161-D161</f>
        <v>-1049</v>
      </c>
      <c r="G161" s="129">
        <f>E161/D161*100</f>
        <v>519.6</v>
      </c>
      <c r="H161" s="140"/>
    </row>
    <row r="162" spans="1:9" s="116" customFormat="1" ht="46.5" customHeight="1">
      <c r="A162" s="138" t="s">
        <v>383</v>
      </c>
      <c r="B162" s="133">
        <v>1330</v>
      </c>
      <c r="C162" s="234">
        <f>C9+C58+C134+C135+C138</f>
        <v>66898</v>
      </c>
      <c r="D162" s="234">
        <f>D9+D58+D134+D135+D138</f>
        <v>73032</v>
      </c>
      <c r="E162" s="234">
        <f>E9+E58+E134+E135+E138</f>
        <v>74605</v>
      </c>
      <c r="F162" s="234">
        <f>E162-D162</f>
        <v>1573</v>
      </c>
      <c r="G162" s="129">
        <f>E162/D162*100</f>
        <v>102.15385036696243</v>
      </c>
      <c r="H162" s="134"/>
    </row>
    <row r="163" spans="1:9" s="116" customFormat="1" ht="65.25" customHeight="1">
      <c r="A163" s="138" t="s">
        <v>384</v>
      </c>
      <c r="B163" s="133">
        <v>1340</v>
      </c>
      <c r="C163" s="234">
        <f>C13+C69+C98+C106+C136+C137+C142+C152+C153</f>
        <v>66207</v>
      </c>
      <c r="D163" s="234">
        <f>D13+D69+D98+D106+D136+D137+D142+D152+D153</f>
        <v>72274</v>
      </c>
      <c r="E163" s="234">
        <f>E13+E69+E98+E106+E136+E137+E142+E152+E153</f>
        <v>74572</v>
      </c>
      <c r="F163" s="234">
        <f>E163-D163</f>
        <v>2298</v>
      </c>
      <c r="G163" s="129">
        <f>E163/D163*100</f>
        <v>103.17956664914077</v>
      </c>
      <c r="H163" s="140"/>
      <c r="I163" s="128"/>
    </row>
    <row r="164" spans="1:9" s="116" customFormat="1" ht="22.5">
      <c r="A164" s="298" t="s">
        <v>169</v>
      </c>
      <c r="B164" s="298"/>
      <c r="C164" s="298"/>
      <c r="D164" s="298"/>
      <c r="E164" s="298"/>
      <c r="F164" s="298"/>
      <c r="G164" s="298"/>
      <c r="H164" s="298"/>
    </row>
    <row r="165" spans="1:9" s="116" customFormat="1" ht="39">
      <c r="A165" s="138" t="s">
        <v>281</v>
      </c>
      <c r="B165" s="133">
        <v>1400</v>
      </c>
      <c r="C165" s="234">
        <f>C133</f>
        <v>1441</v>
      </c>
      <c r="D165" s="234">
        <f>D133</f>
        <v>1175</v>
      </c>
      <c r="E165" s="234">
        <f>E133</f>
        <v>1339</v>
      </c>
      <c r="F165" s="234">
        <f>E165-D165</f>
        <v>164</v>
      </c>
      <c r="G165" s="129">
        <f>E165/D165*100</f>
        <v>113.95744680851064</v>
      </c>
      <c r="H165" s="134"/>
    </row>
    <row r="166" spans="1:9" s="116" customFormat="1" ht="22.5">
      <c r="A166" s="138" t="s">
        <v>282</v>
      </c>
      <c r="B166" s="133">
        <v>1401</v>
      </c>
      <c r="C166" s="234">
        <f>C177</f>
        <v>4440</v>
      </c>
      <c r="D166" s="234">
        <f>D177</f>
        <v>14647</v>
      </c>
      <c r="E166" s="234">
        <f>E177</f>
        <v>1652</v>
      </c>
      <c r="F166" s="234">
        <f>E166-D166</f>
        <v>-12995</v>
      </c>
      <c r="G166" s="129">
        <f>E166/D166*100</f>
        <v>11.278760155663276</v>
      </c>
      <c r="H166" s="134"/>
    </row>
    <row r="167" spans="1:9" s="116" customFormat="1" ht="39">
      <c r="A167" s="138" t="s">
        <v>283</v>
      </c>
      <c r="B167" s="133">
        <v>1402</v>
      </c>
      <c r="C167" s="234"/>
      <c r="D167" s="234"/>
      <c r="E167" s="234"/>
      <c r="F167" s="234"/>
      <c r="G167" s="129"/>
      <c r="H167" s="134"/>
    </row>
    <row r="168" spans="1:9" s="116" customFormat="1" ht="28.5" customHeight="1">
      <c r="A168" s="138" t="s">
        <v>284</v>
      </c>
      <c r="B168" s="133">
        <v>1403</v>
      </c>
      <c r="C168" s="234"/>
      <c r="D168" s="234"/>
      <c r="E168" s="234"/>
      <c r="F168" s="234"/>
      <c r="G168" s="129"/>
      <c r="H168" s="134"/>
    </row>
    <row r="169" spans="1:9" s="116" customFormat="1" ht="39">
      <c r="A169" s="138" t="s">
        <v>328</v>
      </c>
      <c r="B169" s="133">
        <v>1404</v>
      </c>
      <c r="C169" s="234"/>
      <c r="D169" s="234"/>
      <c r="E169" s="234"/>
      <c r="F169" s="234"/>
      <c r="G169" s="129"/>
      <c r="H169" s="134"/>
    </row>
    <row r="170" spans="1:9" s="118" customFormat="1" ht="21.75">
      <c r="A170" s="135" t="s">
        <v>144</v>
      </c>
      <c r="B170" s="136">
        <v>1410</v>
      </c>
      <c r="C170" s="260">
        <f>SUM(C165:C169)</f>
        <v>5881</v>
      </c>
      <c r="D170" s="260">
        <f>SUM(D165:D169)</f>
        <v>15822</v>
      </c>
      <c r="E170" s="260">
        <f>SUM(E165:E169)</f>
        <v>2991</v>
      </c>
      <c r="F170" s="260">
        <f>E170-D170</f>
        <v>-12831</v>
      </c>
      <c r="G170" s="131">
        <f>E170/D170*100</f>
        <v>18.904057641259005</v>
      </c>
      <c r="H170" s="137"/>
    </row>
    <row r="171" spans="1:9" s="116" customFormat="1" ht="22.5">
      <c r="A171" s="301" t="s">
        <v>236</v>
      </c>
      <c r="B171" s="302"/>
      <c r="C171" s="302"/>
      <c r="D171" s="302"/>
      <c r="E171" s="302"/>
      <c r="F171" s="302"/>
      <c r="G171" s="302"/>
      <c r="H171" s="303"/>
    </row>
    <row r="172" spans="1:9" s="116" customFormat="1" ht="22.5">
      <c r="A172" s="138" t="s">
        <v>285</v>
      </c>
      <c r="B172" s="133">
        <v>1500</v>
      </c>
      <c r="C172" s="234">
        <f>C173+C174</f>
        <v>12727</v>
      </c>
      <c r="D172" s="234">
        <v>15230</v>
      </c>
      <c r="E172" s="234">
        <f>E173+E174</f>
        <v>11710</v>
      </c>
      <c r="F172" s="234">
        <f>E172-D172</f>
        <v>-3520</v>
      </c>
      <c r="G172" s="129">
        <f>E172/D172*100</f>
        <v>76.887721602101109</v>
      </c>
      <c r="H172" s="134"/>
    </row>
    <row r="173" spans="1:9" s="116" customFormat="1" ht="22.5">
      <c r="A173" s="138" t="s">
        <v>286</v>
      </c>
      <c r="B173" s="148">
        <v>1501</v>
      </c>
      <c r="C173" s="259">
        <v>11002</v>
      </c>
      <c r="D173" s="259">
        <v>13422</v>
      </c>
      <c r="E173" s="259">
        <f>E14</f>
        <v>9929</v>
      </c>
      <c r="F173" s="234">
        <f t="shared" ref="F173:F179" si="11">E173-D173</f>
        <v>-3493</v>
      </c>
      <c r="G173" s="129">
        <f t="shared" ref="G173:G179" si="12">E173/D173*100</f>
        <v>73.975562509313065</v>
      </c>
      <c r="H173" s="140"/>
    </row>
    <row r="174" spans="1:9" s="116" customFormat="1" ht="22.5">
      <c r="A174" s="138" t="s">
        <v>28</v>
      </c>
      <c r="B174" s="148">
        <v>1502</v>
      </c>
      <c r="C174" s="259">
        <v>1725</v>
      </c>
      <c r="D174" s="259">
        <v>1808</v>
      </c>
      <c r="E174" s="259">
        <f>E15+69</f>
        <v>1781</v>
      </c>
      <c r="F174" s="234">
        <f t="shared" si="11"/>
        <v>-27</v>
      </c>
      <c r="G174" s="129">
        <f t="shared" si="12"/>
        <v>98.506637168141594</v>
      </c>
      <c r="H174" s="140"/>
    </row>
    <row r="175" spans="1:9" s="116" customFormat="1" ht="22.5">
      <c r="A175" s="138" t="s">
        <v>5</v>
      </c>
      <c r="B175" s="149">
        <v>1510</v>
      </c>
      <c r="C175" s="234">
        <v>9870</v>
      </c>
      <c r="D175" s="234">
        <v>12423</v>
      </c>
      <c r="E175" s="234">
        <f>E17+E77+284</f>
        <v>10312</v>
      </c>
      <c r="F175" s="234">
        <f t="shared" si="11"/>
        <v>-2111</v>
      </c>
      <c r="G175" s="129">
        <f t="shared" si="12"/>
        <v>83.007325122756185</v>
      </c>
      <c r="H175" s="134"/>
    </row>
    <row r="176" spans="1:9" s="116" customFormat="1" ht="22.5">
      <c r="A176" s="138" t="s">
        <v>6</v>
      </c>
      <c r="B176" s="149">
        <v>1520</v>
      </c>
      <c r="C176" s="234">
        <v>3211</v>
      </c>
      <c r="D176" s="234">
        <v>2635</v>
      </c>
      <c r="E176" s="234">
        <f>E18+E78+62</f>
        <v>2332</v>
      </c>
      <c r="F176" s="234">
        <f t="shared" si="11"/>
        <v>-303</v>
      </c>
      <c r="G176" s="129">
        <f t="shared" si="12"/>
        <v>88.500948766603415</v>
      </c>
      <c r="H176" s="134"/>
    </row>
    <row r="177" spans="1:8" s="116" customFormat="1" ht="22.5">
      <c r="A177" s="138" t="s">
        <v>7</v>
      </c>
      <c r="B177" s="149">
        <v>1530</v>
      </c>
      <c r="C177" s="234">
        <v>4440</v>
      </c>
      <c r="D177" s="234">
        <v>14647</v>
      </c>
      <c r="E177" s="234">
        <f>E20+E79+E126+20</f>
        <v>1652</v>
      </c>
      <c r="F177" s="234">
        <f t="shared" si="11"/>
        <v>-12995</v>
      </c>
      <c r="G177" s="129">
        <f t="shared" si="12"/>
        <v>11.278760155663276</v>
      </c>
      <c r="H177" s="134"/>
    </row>
    <row r="178" spans="1:8" s="116" customFormat="1" ht="22.5">
      <c r="A178" s="138" t="s">
        <v>29</v>
      </c>
      <c r="B178" s="149">
        <v>1540</v>
      </c>
      <c r="C178" s="234">
        <v>35034</v>
      </c>
      <c r="D178" s="234">
        <v>26923</v>
      </c>
      <c r="E178" s="234">
        <f>E163-E152-E172-E175-E176-E177</f>
        <v>48559</v>
      </c>
      <c r="F178" s="234">
        <f t="shared" si="11"/>
        <v>21636</v>
      </c>
      <c r="G178" s="129">
        <f t="shared" si="12"/>
        <v>180.36251532147233</v>
      </c>
      <c r="H178" s="134"/>
    </row>
    <row r="179" spans="1:8" s="118" customFormat="1" ht="21.75">
      <c r="A179" s="135" t="s">
        <v>58</v>
      </c>
      <c r="B179" s="150">
        <v>1550</v>
      </c>
      <c r="C179" s="260">
        <f>C172+C175+C176+C177+C178</f>
        <v>65282</v>
      </c>
      <c r="D179" s="260">
        <f>D172+D175+D176+D177+D178-1</f>
        <v>71857</v>
      </c>
      <c r="E179" s="260">
        <f>E172+E175+E176+E177+E178</f>
        <v>74565</v>
      </c>
      <c r="F179" s="260">
        <f t="shared" si="11"/>
        <v>2708</v>
      </c>
      <c r="G179" s="131">
        <f t="shared" si="12"/>
        <v>103.76859596142339</v>
      </c>
      <c r="H179" s="137"/>
    </row>
    <row r="180" spans="1:8" s="118" customFormat="1" ht="56.25" customHeight="1">
      <c r="A180" s="120"/>
      <c r="B180" s="121"/>
      <c r="C180" s="219"/>
      <c r="D180" s="160"/>
      <c r="E180" s="160"/>
      <c r="F180" s="160"/>
      <c r="G180" s="121"/>
      <c r="H180" s="121"/>
    </row>
    <row r="181" spans="1:8" ht="20.25" customHeight="1">
      <c r="A181" s="125" t="s">
        <v>614</v>
      </c>
      <c r="B181" s="123"/>
      <c r="C181" s="161"/>
      <c r="D181" s="161"/>
      <c r="E181" s="161"/>
      <c r="F181" s="161"/>
      <c r="G181" s="300" t="s">
        <v>615</v>
      </c>
      <c r="H181" s="300"/>
    </row>
    <row r="182" spans="1:8" s="38" customFormat="1">
      <c r="A182" s="30" t="s">
        <v>385</v>
      </c>
      <c r="B182" s="300" t="s">
        <v>78</v>
      </c>
      <c r="C182" s="300"/>
      <c r="D182" s="300"/>
      <c r="E182" s="300"/>
      <c r="F182" s="180"/>
      <c r="G182" s="38" t="s">
        <v>102</v>
      </c>
    </row>
    <row r="183" spans="1:8" ht="35.25" customHeight="1">
      <c r="A183" s="27"/>
      <c r="B183" s="227"/>
      <c r="C183" s="220"/>
      <c r="D183" s="220"/>
      <c r="E183" s="220"/>
      <c r="F183" s="220"/>
    </row>
    <row r="184" spans="1:8" s="43" customFormat="1" ht="102.75" customHeight="1">
      <c r="A184" s="275"/>
      <c r="B184" s="275"/>
      <c r="C184" s="275"/>
      <c r="D184" s="275"/>
      <c r="E184" s="275"/>
      <c r="F184" s="275"/>
      <c r="G184" s="275"/>
      <c r="H184" s="275"/>
    </row>
    <row r="185" spans="1:8">
      <c r="A185" s="27"/>
    </row>
    <row r="186" spans="1:8">
      <c r="A186" s="27"/>
    </row>
    <row r="187" spans="1:8">
      <c r="A187" s="27"/>
    </row>
    <row r="188" spans="1:8">
      <c r="A188" s="27"/>
    </row>
    <row r="189" spans="1:8">
      <c r="A189" s="27"/>
    </row>
    <row r="190" spans="1:8">
      <c r="A190" s="27"/>
    </row>
    <row r="191" spans="1:8">
      <c r="A191" s="27"/>
    </row>
    <row r="192" spans="1:8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</sheetData>
  <mergeCells count="12">
    <mergeCell ref="A158:H158"/>
    <mergeCell ref="A164:H164"/>
    <mergeCell ref="A3:H3"/>
    <mergeCell ref="G181:H181"/>
    <mergeCell ref="A184:H184"/>
    <mergeCell ref="A171:H171"/>
    <mergeCell ref="D5:H5"/>
    <mergeCell ref="B5:B6"/>
    <mergeCell ref="A5:A6"/>
    <mergeCell ref="C5:C6"/>
    <mergeCell ref="A8:H8"/>
    <mergeCell ref="B182:E182"/>
  </mergeCells>
  <phoneticPr fontId="0" type="noConversion"/>
  <pageMargins left="0.39370078740157483" right="0.39370078740157483" top="0.39370078740157483" bottom="0.39370078740157483" header="0.19685039370078741" footer="0.11811023622047245"/>
  <pageSetup paperSize="9" scale="41" orientation="portrait" r:id="rId1"/>
  <headerFooter alignWithMargins="0"/>
  <rowBreaks count="2" manualBreakCount="2">
    <brk id="68" max="7" man="1"/>
    <brk id="13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88"/>
  <sheetViews>
    <sheetView view="pageBreakPreview" topLeftCell="A29" zoomScale="75" zoomScaleNormal="75" zoomScaleSheetLayoutView="75" workbookViewId="0">
      <selection activeCell="C11" sqref="C11"/>
    </sheetView>
  </sheetViews>
  <sheetFormatPr defaultRowHeight="20.25" outlineLevelRow="1"/>
  <cols>
    <col min="1" max="1" width="64.140625" style="45" customWidth="1"/>
    <col min="2" max="2" width="15.28515625" style="46" customWidth="1"/>
    <col min="3" max="3" width="18.7109375" style="46" customWidth="1"/>
    <col min="4" max="4" width="14.5703125" style="46" customWidth="1"/>
    <col min="5" max="5" width="14" style="46" customWidth="1"/>
    <col min="6" max="6" width="18.7109375" style="46" customWidth="1"/>
    <col min="7" max="7" width="15.5703125" style="46" customWidth="1"/>
    <col min="8" max="8" width="10" style="45" customWidth="1"/>
    <col min="9" max="9" width="9.5703125" style="45" customWidth="1"/>
    <col min="10" max="16384" width="9.140625" style="45"/>
  </cols>
  <sheetData>
    <row r="1" spans="1:7" hidden="1" outlineLevel="1">
      <c r="G1" s="250" t="s">
        <v>241</v>
      </c>
    </row>
    <row r="2" spans="1:7" hidden="1" outlineLevel="1">
      <c r="G2" s="250" t="s">
        <v>226</v>
      </c>
    </row>
    <row r="3" spans="1:7" collapsed="1">
      <c r="A3" s="312" t="s">
        <v>374</v>
      </c>
      <c r="B3" s="312"/>
      <c r="C3" s="312"/>
      <c r="D3" s="312"/>
      <c r="E3" s="312"/>
      <c r="F3" s="312"/>
      <c r="G3" s="312"/>
    </row>
    <row r="4" spans="1:7" ht="38.25" customHeight="1">
      <c r="A4" s="313" t="s">
        <v>287</v>
      </c>
      <c r="B4" s="314" t="s">
        <v>18</v>
      </c>
      <c r="C4" s="315" t="s">
        <v>355</v>
      </c>
      <c r="D4" s="313" t="s">
        <v>353</v>
      </c>
      <c r="E4" s="313"/>
      <c r="F4" s="313"/>
      <c r="G4" s="313"/>
    </row>
    <row r="5" spans="1:7" ht="38.25" customHeight="1">
      <c r="A5" s="313"/>
      <c r="B5" s="314"/>
      <c r="C5" s="316"/>
      <c r="D5" s="246" t="s">
        <v>265</v>
      </c>
      <c r="E5" s="246" t="s">
        <v>248</v>
      </c>
      <c r="F5" s="245" t="s">
        <v>275</v>
      </c>
      <c r="G5" s="245" t="s">
        <v>276</v>
      </c>
    </row>
    <row r="6" spans="1:7">
      <c r="A6" s="241">
        <v>1</v>
      </c>
      <c r="B6" s="242">
        <v>2</v>
      </c>
      <c r="C6" s="241">
        <v>3</v>
      </c>
      <c r="D6" s="241">
        <v>4</v>
      </c>
      <c r="E6" s="242">
        <v>5</v>
      </c>
      <c r="F6" s="241">
        <v>6</v>
      </c>
      <c r="G6" s="242">
        <v>7</v>
      </c>
    </row>
    <row r="7" spans="1:7">
      <c r="A7" s="309" t="s">
        <v>153</v>
      </c>
      <c r="B7" s="310"/>
      <c r="C7" s="310"/>
      <c r="D7" s="310"/>
      <c r="E7" s="310"/>
      <c r="F7" s="310"/>
      <c r="G7" s="311"/>
    </row>
    <row r="8" spans="1:7" ht="45.75" customHeight="1">
      <c r="A8" s="122" t="s">
        <v>60</v>
      </c>
      <c r="B8" s="251">
        <v>2000</v>
      </c>
      <c r="C8" s="249">
        <v>353</v>
      </c>
      <c r="D8" s="249">
        <v>316</v>
      </c>
      <c r="E8" s="249">
        <v>316</v>
      </c>
      <c r="F8" s="249">
        <f>E8-D8</f>
        <v>0</v>
      </c>
      <c r="G8" s="248">
        <f>E8/D8*100</f>
        <v>100</v>
      </c>
    </row>
    <row r="9" spans="1:7" ht="40.5">
      <c r="A9" s="36" t="s">
        <v>208</v>
      </c>
      <c r="B9" s="251">
        <v>2010</v>
      </c>
      <c r="C9" s="249">
        <f>C10+C11</f>
        <v>456.06</v>
      </c>
      <c r="D9" s="249">
        <f>D10+D11</f>
        <v>499.7</v>
      </c>
      <c r="E9" s="249">
        <f>E10+E11</f>
        <v>21.779999999999998</v>
      </c>
      <c r="F9" s="249">
        <f>E9-D9</f>
        <v>-477.92</v>
      </c>
      <c r="G9" s="248">
        <f>E9/D9*100</f>
        <v>4.3586151691014603</v>
      </c>
    </row>
    <row r="10" spans="1:7" ht="40.5">
      <c r="A10" s="35" t="s">
        <v>359</v>
      </c>
      <c r="B10" s="251">
        <v>2011</v>
      </c>
      <c r="C10" s="249">
        <f>'1. Фін результат'!C154*0.15</f>
        <v>103.64999999999999</v>
      </c>
      <c r="D10" s="249">
        <f>'1. Фін результат'!D154*0.15</f>
        <v>113.7</v>
      </c>
      <c r="E10" s="249">
        <f>'1. Фін результат'!E154*0.15</f>
        <v>4.95</v>
      </c>
      <c r="F10" s="249">
        <f>E10-D10</f>
        <v>-108.75</v>
      </c>
      <c r="G10" s="248">
        <f>E10/D10*100</f>
        <v>4.3535620052770447</v>
      </c>
    </row>
    <row r="11" spans="1:7" ht="93.75">
      <c r="A11" s="5" t="s">
        <v>360</v>
      </c>
      <c r="B11" s="251">
        <v>2012</v>
      </c>
      <c r="C11" s="249">
        <f>('1. Фін результат'!C154-'2. Розрахунки з бюджетом'!C10)*0.6</f>
        <v>352.41</v>
      </c>
      <c r="D11" s="249">
        <v>386</v>
      </c>
      <c r="E11" s="249">
        <f>('1. Фін результат'!E154-'2. Розрахунки з бюджетом'!E10)*0.6</f>
        <v>16.829999999999998</v>
      </c>
      <c r="F11" s="249">
        <f>E11-D11</f>
        <v>-369.17</v>
      </c>
      <c r="G11" s="248">
        <f>E11/D11*100</f>
        <v>4.3601036269430047</v>
      </c>
    </row>
    <row r="12" spans="1:7">
      <c r="A12" s="35" t="s">
        <v>195</v>
      </c>
      <c r="B12" s="251">
        <v>2020</v>
      </c>
      <c r="C12" s="249"/>
      <c r="D12" s="249"/>
      <c r="E12" s="249"/>
      <c r="F12" s="249"/>
      <c r="G12" s="248"/>
    </row>
    <row r="13" spans="1:7" s="47" customFormat="1">
      <c r="A13" s="36" t="s">
        <v>71</v>
      </c>
      <c r="B13" s="251">
        <v>2030</v>
      </c>
      <c r="C13" s="249"/>
      <c r="D13" s="249"/>
      <c r="E13" s="249"/>
      <c r="F13" s="249"/>
      <c r="G13" s="248"/>
    </row>
    <row r="14" spans="1:7" ht="24" customHeight="1">
      <c r="A14" s="12" t="s">
        <v>132</v>
      </c>
      <c r="B14" s="251">
        <v>2031</v>
      </c>
      <c r="C14" s="249"/>
      <c r="D14" s="249"/>
      <c r="E14" s="249"/>
      <c r="F14" s="249"/>
      <c r="G14" s="248"/>
    </row>
    <row r="15" spans="1:7">
      <c r="A15" s="36" t="s">
        <v>26</v>
      </c>
      <c r="B15" s="251">
        <v>2040</v>
      </c>
      <c r="C15" s="249"/>
      <c r="D15" s="249"/>
      <c r="E15" s="249"/>
      <c r="F15" s="249"/>
      <c r="G15" s="248"/>
    </row>
    <row r="16" spans="1:7">
      <c r="A16" s="36" t="s">
        <v>114</v>
      </c>
      <c r="B16" s="251">
        <v>2050</v>
      </c>
      <c r="C16" s="249"/>
      <c r="D16" s="249"/>
      <c r="E16" s="249"/>
      <c r="F16" s="249"/>
      <c r="G16" s="248"/>
    </row>
    <row r="17" spans="1:10">
      <c r="A17" s="36" t="s">
        <v>115</v>
      </c>
      <c r="B17" s="251">
        <v>2060</v>
      </c>
      <c r="C17" s="249">
        <v>-161</v>
      </c>
      <c r="D17" s="249"/>
      <c r="E17" s="249">
        <v>-66</v>
      </c>
      <c r="F17" s="249"/>
      <c r="G17" s="248"/>
    </row>
    <row r="18" spans="1:10" ht="45" customHeight="1">
      <c r="A18" s="36" t="s">
        <v>61</v>
      </c>
      <c r="B18" s="251">
        <v>2070</v>
      </c>
      <c r="C18" s="62">
        <v>427</v>
      </c>
      <c r="D18" s="62">
        <f>D8+'1. Фін результат'!D154-'2. Розрахунки з бюджетом'!D9+'2. Розрахунки з бюджетом'!D12-'2. Розрахунки з бюджетом'!D13-'2. Розрахунки з бюджетом'!D15-'2. Розрахунки з бюджетом'!D16-'2. Розрахунки з бюджетом'!D17</f>
        <v>574.29999999999995</v>
      </c>
      <c r="E18" s="62">
        <f>E8+'1. Фін результат'!E154-'2.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393.22</v>
      </c>
      <c r="F18" s="62">
        <f>E18-D18</f>
        <v>-181.07999999999993</v>
      </c>
      <c r="G18" s="63">
        <f>E18/D18*100</f>
        <v>68.469441058680147</v>
      </c>
      <c r="H18" s="154"/>
      <c r="J18" s="154"/>
    </row>
    <row r="19" spans="1:10" ht="41.25" customHeight="1">
      <c r="A19" s="309" t="s">
        <v>154</v>
      </c>
      <c r="B19" s="310"/>
      <c r="C19" s="310"/>
      <c r="D19" s="310"/>
      <c r="E19" s="310"/>
      <c r="F19" s="310"/>
      <c r="G19" s="311"/>
    </row>
    <row r="20" spans="1:10" ht="40.5">
      <c r="A20" s="36" t="s">
        <v>208</v>
      </c>
      <c r="B20" s="251">
        <v>2100</v>
      </c>
      <c r="C20" s="249">
        <f>C21+C22</f>
        <v>456.06</v>
      </c>
      <c r="D20" s="249">
        <f>D21+D22</f>
        <v>499.7</v>
      </c>
      <c r="E20" s="249">
        <f>E21+E22</f>
        <v>21.779999999999998</v>
      </c>
      <c r="F20" s="249">
        <f>E20-D20</f>
        <v>-477.92</v>
      </c>
      <c r="G20" s="248">
        <f>E20/D20*100</f>
        <v>4.3586151691014603</v>
      </c>
    </row>
    <row r="21" spans="1:10" ht="40.5">
      <c r="A21" s="35" t="s">
        <v>359</v>
      </c>
      <c r="B21" s="251">
        <v>2101</v>
      </c>
      <c r="C21" s="249">
        <f t="shared" ref="C21:E22" si="0">C10</f>
        <v>103.64999999999999</v>
      </c>
      <c r="D21" s="249">
        <f t="shared" si="0"/>
        <v>113.7</v>
      </c>
      <c r="E21" s="249">
        <f t="shared" si="0"/>
        <v>4.95</v>
      </c>
      <c r="F21" s="249">
        <f>E21-D21</f>
        <v>-108.75</v>
      </c>
      <c r="G21" s="248">
        <f>E21/D21*100</f>
        <v>4.3535620052770447</v>
      </c>
    </row>
    <row r="22" spans="1:10" ht="93.75">
      <c r="A22" s="5" t="s">
        <v>360</v>
      </c>
      <c r="B22" s="251">
        <v>2102</v>
      </c>
      <c r="C22" s="249">
        <f t="shared" si="0"/>
        <v>352.41</v>
      </c>
      <c r="D22" s="249">
        <f>D11</f>
        <v>386</v>
      </c>
      <c r="E22" s="249">
        <f t="shared" si="0"/>
        <v>16.829999999999998</v>
      </c>
      <c r="F22" s="249">
        <f>E22-D22</f>
        <v>-369.17</v>
      </c>
      <c r="G22" s="248">
        <f>E22/D22*100</f>
        <v>4.3601036269430047</v>
      </c>
    </row>
    <row r="23" spans="1:10" s="47" customFormat="1">
      <c r="A23" s="36" t="s">
        <v>156</v>
      </c>
      <c r="B23" s="241">
        <v>2110</v>
      </c>
      <c r="C23" s="48">
        <f>'1. Фін результат'!C152</f>
        <v>152</v>
      </c>
      <c r="D23" s="48">
        <v>167</v>
      </c>
      <c r="E23" s="48">
        <f>'1. Фін результат'!E152</f>
        <v>7</v>
      </c>
      <c r="F23" s="249">
        <f>E23-D23</f>
        <v>-160</v>
      </c>
      <c r="G23" s="248"/>
    </row>
    <row r="24" spans="1:10" ht="60.75">
      <c r="A24" s="36" t="s">
        <v>338</v>
      </c>
      <c r="B24" s="241">
        <v>2120</v>
      </c>
      <c r="C24" s="48">
        <v>2991</v>
      </c>
      <c r="D24" s="48">
        <v>2300</v>
      </c>
      <c r="E24" s="48">
        <v>815</v>
      </c>
      <c r="F24" s="249">
        <f>E24-D24</f>
        <v>-1485</v>
      </c>
      <c r="G24" s="248">
        <f>E24/D24*100</f>
        <v>35.434782608695656</v>
      </c>
    </row>
    <row r="25" spans="1:10" ht="61.5" customHeight="1">
      <c r="A25" s="36" t="s">
        <v>339</v>
      </c>
      <c r="B25" s="241">
        <v>2130</v>
      </c>
      <c r="C25" s="48"/>
      <c r="D25" s="48"/>
      <c r="E25" s="48"/>
      <c r="F25" s="48"/>
      <c r="G25" s="49"/>
    </row>
    <row r="26" spans="1:10" s="240" customFormat="1" ht="39.75" customHeight="1">
      <c r="A26" s="16" t="s">
        <v>257</v>
      </c>
      <c r="B26" s="50">
        <v>2140</v>
      </c>
      <c r="C26" s="262">
        <f>C30+C29+C35</f>
        <v>2239</v>
      </c>
      <c r="D26" s="262">
        <f>D30+D29+D35</f>
        <v>2568</v>
      </c>
      <c r="E26" s="262">
        <f>E30+E29+E35</f>
        <v>2498</v>
      </c>
      <c r="F26" s="62">
        <f>E26-D26</f>
        <v>-70</v>
      </c>
      <c r="G26" s="63">
        <f>E26/D26*100</f>
        <v>97.274143302180676</v>
      </c>
    </row>
    <row r="27" spans="1:10">
      <c r="A27" s="36" t="s">
        <v>84</v>
      </c>
      <c r="B27" s="241">
        <v>2141</v>
      </c>
      <c r="C27" s="48"/>
      <c r="D27" s="48"/>
      <c r="E27" s="48"/>
      <c r="F27" s="48"/>
      <c r="G27" s="49"/>
    </row>
    <row r="28" spans="1:10">
      <c r="A28" s="36" t="s">
        <v>104</v>
      </c>
      <c r="B28" s="241">
        <v>2142</v>
      </c>
      <c r="C28" s="48"/>
      <c r="D28" s="48"/>
      <c r="E28" s="48"/>
      <c r="F28" s="48"/>
      <c r="G28" s="49"/>
    </row>
    <row r="29" spans="1:10">
      <c r="A29" s="36" t="s">
        <v>99</v>
      </c>
      <c r="B29" s="241">
        <v>2143</v>
      </c>
      <c r="C29" s="48">
        <f>'1. Фін результат'!C94</f>
        <v>131</v>
      </c>
      <c r="D29" s="48">
        <v>146</v>
      </c>
      <c r="E29" s="48">
        <f>'1. Фін результат'!E94</f>
        <v>145</v>
      </c>
      <c r="F29" s="249">
        <f>E29-D29</f>
        <v>-1</v>
      </c>
      <c r="G29" s="248">
        <f>E29/D29*100</f>
        <v>99.315068493150676</v>
      </c>
    </row>
    <row r="30" spans="1:10">
      <c r="A30" s="36" t="s">
        <v>82</v>
      </c>
      <c r="B30" s="241">
        <v>2144</v>
      </c>
      <c r="C30" s="48">
        <v>1946</v>
      </c>
      <c r="D30" s="48">
        <v>2236</v>
      </c>
      <c r="E30" s="48">
        <v>2154</v>
      </c>
      <c r="F30" s="249">
        <f>E30-D30</f>
        <v>-82</v>
      </c>
      <c r="G30" s="248">
        <f>E30/D30*100</f>
        <v>96.332737030411451</v>
      </c>
    </row>
    <row r="31" spans="1:10" s="47" customFormat="1">
      <c r="A31" s="36" t="s">
        <v>175</v>
      </c>
      <c r="B31" s="241">
        <v>2145</v>
      </c>
      <c r="C31" s="48"/>
      <c r="D31" s="48"/>
      <c r="E31" s="48"/>
      <c r="F31" s="48"/>
      <c r="G31" s="49"/>
    </row>
    <row r="32" spans="1:10" ht="60.75">
      <c r="A32" s="36" t="s">
        <v>133</v>
      </c>
      <c r="B32" s="241" t="s">
        <v>222</v>
      </c>
      <c r="C32" s="48"/>
      <c r="D32" s="48"/>
      <c r="E32" s="48"/>
      <c r="F32" s="48"/>
      <c r="G32" s="49"/>
    </row>
    <row r="33" spans="1:9">
      <c r="A33" s="36" t="s">
        <v>27</v>
      </c>
      <c r="B33" s="241" t="s">
        <v>223</v>
      </c>
      <c r="C33" s="48"/>
      <c r="D33" s="48"/>
      <c r="E33" s="48"/>
      <c r="F33" s="48"/>
      <c r="G33" s="49"/>
    </row>
    <row r="34" spans="1:9" s="47" customFormat="1">
      <c r="A34" s="36" t="s">
        <v>116</v>
      </c>
      <c r="B34" s="241">
        <v>2146</v>
      </c>
      <c r="C34" s="48"/>
      <c r="D34" s="48"/>
      <c r="E34" s="48"/>
      <c r="F34" s="48"/>
      <c r="G34" s="49"/>
    </row>
    <row r="35" spans="1:9">
      <c r="A35" s="36" t="s">
        <v>88</v>
      </c>
      <c r="B35" s="241">
        <v>2147</v>
      </c>
      <c r="C35" s="48">
        <f>C36</f>
        <v>162</v>
      </c>
      <c r="D35" s="48">
        <f>D36</f>
        <v>186</v>
      </c>
      <c r="E35" s="48">
        <f>E36</f>
        <v>199</v>
      </c>
      <c r="F35" s="249">
        <f>E35-D35</f>
        <v>13</v>
      </c>
      <c r="G35" s="248">
        <f>E35/D35*100</f>
        <v>106.98924731182795</v>
      </c>
    </row>
    <row r="36" spans="1:9">
      <c r="A36" s="36" t="s">
        <v>483</v>
      </c>
      <c r="B36" s="241" t="s">
        <v>482</v>
      </c>
      <c r="C36" s="48">
        <v>162</v>
      </c>
      <c r="D36" s="48">
        <v>186</v>
      </c>
      <c r="E36" s="48">
        <v>199</v>
      </c>
      <c r="F36" s="249">
        <f>E36-D36</f>
        <v>13</v>
      </c>
      <c r="G36" s="248">
        <f>E36/D36*100</f>
        <v>106.98924731182795</v>
      </c>
    </row>
    <row r="37" spans="1:9" s="47" customFormat="1" ht="40.5">
      <c r="A37" s="36" t="s">
        <v>83</v>
      </c>
      <c r="B37" s="241">
        <v>2150</v>
      </c>
      <c r="C37" s="48">
        <v>2442</v>
      </c>
      <c r="D37" s="48">
        <v>2635</v>
      </c>
      <c r="E37" s="48">
        <v>2606</v>
      </c>
      <c r="F37" s="249">
        <f>E37-D37</f>
        <v>-29</v>
      </c>
      <c r="G37" s="248">
        <f>E37/D37*100</f>
        <v>98.899430740037957</v>
      </c>
    </row>
    <row r="38" spans="1:9" s="47" customFormat="1" ht="25.5" customHeight="1">
      <c r="A38" s="44" t="s">
        <v>358</v>
      </c>
      <c r="B38" s="50">
        <v>2200</v>
      </c>
      <c r="C38" s="262">
        <f>C20+C24+C26+C37+C23</f>
        <v>8280.06</v>
      </c>
      <c r="D38" s="262">
        <f>D20+D24+D26+D37+D23</f>
        <v>8169.7</v>
      </c>
      <c r="E38" s="262">
        <f>E20+E24+E26+E37+E23</f>
        <v>5947.78</v>
      </c>
      <c r="F38" s="62">
        <f>E38-D38</f>
        <v>-2221.92</v>
      </c>
      <c r="G38" s="63">
        <f>E38/D38*100</f>
        <v>72.802918099807826</v>
      </c>
    </row>
    <row r="39" spans="1:9" s="47" customFormat="1" ht="82.5" customHeight="1">
      <c r="A39" s="51"/>
      <c r="B39" s="46"/>
      <c r="C39" s="46"/>
      <c r="D39" s="46"/>
      <c r="E39" s="46"/>
      <c r="F39" s="46"/>
      <c r="G39" s="46"/>
    </row>
    <row r="40" spans="1:9" s="247" customFormat="1" ht="20.100000000000001" customHeight="1">
      <c r="A40" s="126" t="s">
        <v>614</v>
      </c>
      <c r="B40" s="123"/>
      <c r="F40" s="300" t="s">
        <v>615</v>
      </c>
      <c r="G40" s="300"/>
    </row>
    <row r="41" spans="1:9" s="38" customFormat="1" ht="20.100000000000001" customHeight="1">
      <c r="A41" s="237" t="s">
        <v>77</v>
      </c>
      <c r="C41" s="300" t="s">
        <v>78</v>
      </c>
      <c r="D41" s="300"/>
      <c r="E41" s="247"/>
      <c r="F41" s="317" t="s">
        <v>102</v>
      </c>
      <c r="G41" s="317"/>
    </row>
    <row r="42" spans="1:9" s="46" customFormat="1" ht="29.25" customHeight="1">
      <c r="A42" s="52"/>
      <c r="H42" s="45"/>
      <c r="I42" s="45"/>
    </row>
    <row r="43" spans="1:9" s="116" customFormat="1" ht="80.25" customHeight="1">
      <c r="A43" s="308"/>
      <c r="B43" s="308"/>
      <c r="C43" s="308"/>
      <c r="D43" s="308"/>
      <c r="E43" s="308"/>
      <c r="F43" s="308"/>
      <c r="G43" s="308"/>
      <c r="H43" s="308"/>
    </row>
    <row r="44" spans="1:9" s="46" customFormat="1">
      <c r="A44" s="52"/>
      <c r="H44" s="45"/>
      <c r="I44" s="45"/>
    </row>
    <row r="45" spans="1:9" s="46" customFormat="1">
      <c r="A45" s="52"/>
      <c r="H45" s="45"/>
      <c r="I45" s="45"/>
    </row>
    <row r="46" spans="1:9" s="46" customFormat="1">
      <c r="A46" s="52"/>
      <c r="H46" s="45"/>
      <c r="I46" s="45"/>
    </row>
    <row r="47" spans="1:9" s="46" customFormat="1">
      <c r="A47" s="52"/>
      <c r="H47" s="45"/>
      <c r="I47" s="45"/>
    </row>
    <row r="48" spans="1:9" s="46" customFormat="1">
      <c r="A48" s="52"/>
      <c r="H48" s="45"/>
      <c r="I48" s="45"/>
    </row>
    <row r="49" spans="1:9" s="46" customFormat="1">
      <c r="A49" s="52"/>
      <c r="H49" s="45"/>
      <c r="I49" s="45"/>
    </row>
    <row r="50" spans="1:9" s="46" customFormat="1">
      <c r="A50" s="52"/>
      <c r="H50" s="45"/>
      <c r="I50" s="45"/>
    </row>
    <row r="51" spans="1:9" s="46" customFormat="1">
      <c r="A51" s="52"/>
      <c r="H51" s="45"/>
      <c r="I51" s="45"/>
    </row>
    <row r="52" spans="1:9" s="46" customFormat="1">
      <c r="A52" s="52"/>
      <c r="H52" s="45"/>
      <c r="I52" s="45"/>
    </row>
    <row r="53" spans="1:9" s="46" customFormat="1">
      <c r="A53" s="52"/>
      <c r="H53" s="45"/>
      <c r="I53" s="45"/>
    </row>
    <row r="54" spans="1:9" s="46" customFormat="1">
      <c r="A54" s="52"/>
      <c r="H54" s="45"/>
      <c r="I54" s="45"/>
    </row>
    <row r="55" spans="1:9" s="46" customFormat="1">
      <c r="A55" s="52"/>
      <c r="H55" s="45"/>
      <c r="I55" s="45"/>
    </row>
    <row r="56" spans="1:9" s="46" customFormat="1">
      <c r="A56" s="52"/>
      <c r="H56" s="45"/>
      <c r="I56" s="45"/>
    </row>
    <row r="57" spans="1:9" s="46" customFormat="1">
      <c r="A57" s="52"/>
      <c r="H57" s="45"/>
      <c r="I57" s="45"/>
    </row>
    <row r="58" spans="1:9" s="46" customFormat="1">
      <c r="A58" s="52"/>
      <c r="H58" s="45"/>
      <c r="I58" s="45"/>
    </row>
    <row r="59" spans="1:9" s="46" customFormat="1">
      <c r="A59" s="52"/>
      <c r="H59" s="45"/>
      <c r="I59" s="45"/>
    </row>
    <row r="60" spans="1:9" s="46" customFormat="1">
      <c r="A60" s="52"/>
      <c r="H60" s="45"/>
      <c r="I60" s="45"/>
    </row>
    <row r="61" spans="1:9" s="46" customFormat="1">
      <c r="A61" s="52"/>
      <c r="H61" s="45"/>
      <c r="I61" s="45"/>
    </row>
    <row r="62" spans="1:9" s="46" customFormat="1">
      <c r="A62" s="52"/>
      <c r="H62" s="45"/>
      <c r="I62" s="45"/>
    </row>
    <row r="63" spans="1:9" s="46" customFormat="1">
      <c r="A63" s="52"/>
      <c r="H63" s="45"/>
      <c r="I63" s="45"/>
    </row>
    <row r="64" spans="1:9" s="46" customFormat="1">
      <c r="A64" s="52"/>
      <c r="H64" s="45"/>
      <c r="I64" s="45"/>
    </row>
    <row r="65" spans="1:9" s="46" customFormat="1">
      <c r="A65" s="52"/>
      <c r="H65" s="45"/>
      <c r="I65" s="45"/>
    </row>
    <row r="66" spans="1:9" s="46" customFormat="1">
      <c r="A66" s="52"/>
      <c r="H66" s="45"/>
      <c r="I66" s="45"/>
    </row>
    <row r="67" spans="1:9" s="46" customFormat="1">
      <c r="A67" s="52"/>
      <c r="H67" s="45"/>
      <c r="I67" s="45"/>
    </row>
    <row r="68" spans="1:9" s="46" customFormat="1">
      <c r="A68" s="52"/>
      <c r="H68" s="45"/>
      <c r="I68" s="45"/>
    </row>
    <row r="69" spans="1:9" s="46" customFormat="1">
      <c r="A69" s="52"/>
      <c r="H69" s="45"/>
      <c r="I69" s="45"/>
    </row>
    <row r="70" spans="1:9" s="46" customFormat="1">
      <c r="A70" s="52"/>
      <c r="H70" s="45"/>
      <c r="I70" s="45"/>
    </row>
    <row r="71" spans="1:9" s="46" customFormat="1">
      <c r="A71" s="52"/>
      <c r="H71" s="45"/>
      <c r="I71" s="45"/>
    </row>
    <row r="72" spans="1:9" s="46" customFormat="1">
      <c r="A72" s="52"/>
      <c r="H72" s="45"/>
      <c r="I72" s="45"/>
    </row>
    <row r="73" spans="1:9" s="46" customFormat="1">
      <c r="A73" s="52"/>
      <c r="H73" s="45"/>
      <c r="I73" s="45"/>
    </row>
    <row r="74" spans="1:9" s="46" customFormat="1">
      <c r="A74" s="52"/>
      <c r="H74" s="45"/>
      <c r="I74" s="45"/>
    </row>
    <row r="75" spans="1:9" s="46" customFormat="1">
      <c r="A75" s="52"/>
      <c r="H75" s="45"/>
      <c r="I75" s="45"/>
    </row>
    <row r="76" spans="1:9" s="46" customFormat="1">
      <c r="A76" s="52"/>
      <c r="H76" s="45"/>
      <c r="I76" s="45"/>
    </row>
    <row r="77" spans="1:9" s="46" customFormat="1">
      <c r="A77" s="52"/>
      <c r="H77" s="45"/>
      <c r="I77" s="45"/>
    </row>
    <row r="78" spans="1:9" s="46" customFormat="1">
      <c r="A78" s="52"/>
      <c r="H78" s="45"/>
      <c r="I78" s="45"/>
    </row>
    <row r="79" spans="1:9" s="46" customFormat="1">
      <c r="A79" s="52"/>
      <c r="H79" s="45"/>
      <c r="I79" s="45"/>
    </row>
    <row r="80" spans="1:9" s="46" customFormat="1">
      <c r="A80" s="52"/>
      <c r="H80" s="45"/>
      <c r="I80" s="45"/>
    </row>
    <row r="81" spans="1:9" s="46" customFormat="1">
      <c r="A81" s="52"/>
      <c r="H81" s="45"/>
      <c r="I81" s="45"/>
    </row>
    <row r="82" spans="1:9" s="46" customFormat="1">
      <c r="A82" s="52"/>
      <c r="H82" s="45"/>
      <c r="I82" s="45"/>
    </row>
    <row r="83" spans="1:9" s="46" customFormat="1">
      <c r="A83" s="52"/>
      <c r="H83" s="45"/>
      <c r="I83" s="45"/>
    </row>
    <row r="84" spans="1:9" s="46" customFormat="1">
      <c r="A84" s="52"/>
      <c r="H84" s="45"/>
      <c r="I84" s="45"/>
    </row>
    <row r="85" spans="1:9" s="46" customFormat="1">
      <c r="A85" s="52"/>
      <c r="H85" s="45"/>
      <c r="I85" s="45"/>
    </row>
    <row r="86" spans="1:9" s="46" customFormat="1">
      <c r="A86" s="52"/>
      <c r="H86" s="45"/>
      <c r="I86" s="45"/>
    </row>
    <row r="87" spans="1:9" s="46" customFormat="1">
      <c r="A87" s="52"/>
      <c r="H87" s="45"/>
      <c r="I87" s="45"/>
    </row>
    <row r="88" spans="1:9" s="46" customFormat="1">
      <c r="A88" s="52"/>
      <c r="H88" s="45"/>
      <c r="I88" s="45"/>
    </row>
    <row r="89" spans="1:9" s="46" customFormat="1">
      <c r="A89" s="52"/>
      <c r="H89" s="45"/>
      <c r="I89" s="45"/>
    </row>
    <row r="90" spans="1:9" s="46" customFormat="1">
      <c r="A90" s="52"/>
      <c r="H90" s="45"/>
      <c r="I90" s="45"/>
    </row>
    <row r="91" spans="1:9" s="46" customFormat="1">
      <c r="A91" s="52"/>
      <c r="H91" s="45"/>
      <c r="I91" s="45"/>
    </row>
    <row r="92" spans="1:9" s="46" customFormat="1">
      <c r="A92" s="52"/>
      <c r="H92" s="45"/>
      <c r="I92" s="45"/>
    </row>
    <row r="93" spans="1:9" s="46" customFormat="1">
      <c r="A93" s="52"/>
      <c r="H93" s="45"/>
      <c r="I93" s="45"/>
    </row>
    <row r="94" spans="1:9" s="46" customFormat="1">
      <c r="A94" s="52"/>
      <c r="H94" s="45"/>
      <c r="I94" s="45"/>
    </row>
    <row r="95" spans="1:9" s="46" customFormat="1">
      <c r="A95" s="52"/>
      <c r="H95" s="45"/>
      <c r="I95" s="45"/>
    </row>
    <row r="96" spans="1:9" s="46" customFormat="1">
      <c r="A96" s="52"/>
      <c r="H96" s="45"/>
      <c r="I96" s="45"/>
    </row>
    <row r="97" spans="1:9" s="46" customFormat="1">
      <c r="A97" s="52"/>
      <c r="H97" s="45"/>
      <c r="I97" s="45"/>
    </row>
    <row r="98" spans="1:9" s="46" customFormat="1">
      <c r="A98" s="52"/>
      <c r="H98" s="45"/>
      <c r="I98" s="45"/>
    </row>
    <row r="99" spans="1:9" s="46" customFormat="1">
      <c r="A99" s="52"/>
      <c r="H99" s="45"/>
      <c r="I99" s="45"/>
    </row>
    <row r="100" spans="1:9" s="46" customFormat="1">
      <c r="A100" s="52"/>
      <c r="H100" s="45"/>
      <c r="I100" s="45"/>
    </row>
    <row r="101" spans="1:9" s="46" customFormat="1">
      <c r="A101" s="52"/>
      <c r="H101" s="45"/>
      <c r="I101" s="45"/>
    </row>
    <row r="102" spans="1:9" s="46" customFormat="1">
      <c r="A102" s="52"/>
      <c r="H102" s="45"/>
      <c r="I102" s="45"/>
    </row>
    <row r="103" spans="1:9" s="46" customFormat="1">
      <c r="A103" s="52"/>
      <c r="H103" s="45"/>
      <c r="I103" s="45"/>
    </row>
    <row r="104" spans="1:9" s="46" customFormat="1">
      <c r="A104" s="52"/>
      <c r="H104" s="45"/>
      <c r="I104" s="45"/>
    </row>
    <row r="105" spans="1:9" s="46" customFormat="1">
      <c r="A105" s="52"/>
      <c r="H105" s="45"/>
      <c r="I105" s="45"/>
    </row>
    <row r="106" spans="1:9" s="46" customFormat="1">
      <c r="A106" s="52"/>
      <c r="H106" s="45"/>
      <c r="I106" s="45"/>
    </row>
    <row r="107" spans="1:9" s="46" customFormat="1">
      <c r="A107" s="52"/>
      <c r="H107" s="45"/>
      <c r="I107" s="45"/>
    </row>
    <row r="108" spans="1:9" s="46" customFormat="1">
      <c r="A108" s="52"/>
      <c r="H108" s="45"/>
      <c r="I108" s="45"/>
    </row>
    <row r="109" spans="1:9" s="46" customFormat="1">
      <c r="A109" s="52"/>
      <c r="H109" s="45"/>
      <c r="I109" s="45"/>
    </row>
    <row r="110" spans="1:9" s="46" customFormat="1">
      <c r="A110" s="52"/>
      <c r="H110" s="45"/>
      <c r="I110" s="45"/>
    </row>
    <row r="111" spans="1:9" s="46" customFormat="1">
      <c r="A111" s="52"/>
      <c r="H111" s="45"/>
      <c r="I111" s="45"/>
    </row>
    <row r="112" spans="1:9" s="46" customFormat="1">
      <c r="A112" s="52"/>
      <c r="H112" s="45"/>
      <c r="I112" s="45"/>
    </row>
    <row r="113" spans="1:9" s="46" customFormat="1">
      <c r="A113" s="52"/>
      <c r="H113" s="45"/>
      <c r="I113" s="45"/>
    </row>
    <row r="114" spans="1:9" s="46" customFormat="1">
      <c r="A114" s="52"/>
      <c r="H114" s="45"/>
      <c r="I114" s="45"/>
    </row>
    <row r="115" spans="1:9" s="46" customFormat="1">
      <c r="A115" s="52"/>
      <c r="H115" s="45"/>
      <c r="I115" s="45"/>
    </row>
    <row r="116" spans="1:9" s="46" customFormat="1">
      <c r="A116" s="52"/>
      <c r="H116" s="45"/>
      <c r="I116" s="45"/>
    </row>
    <row r="117" spans="1:9" s="46" customFormat="1">
      <c r="A117" s="52"/>
      <c r="H117" s="45"/>
      <c r="I117" s="45"/>
    </row>
    <row r="118" spans="1:9" s="46" customFormat="1">
      <c r="A118" s="52"/>
      <c r="H118" s="45"/>
      <c r="I118" s="45"/>
    </row>
    <row r="119" spans="1:9" s="46" customFormat="1">
      <c r="A119" s="52"/>
      <c r="H119" s="45"/>
      <c r="I119" s="45"/>
    </row>
    <row r="120" spans="1:9" s="46" customFormat="1">
      <c r="A120" s="52"/>
      <c r="H120" s="45"/>
      <c r="I120" s="45"/>
    </row>
    <row r="121" spans="1:9" s="46" customFormat="1">
      <c r="A121" s="52"/>
      <c r="H121" s="45"/>
      <c r="I121" s="45"/>
    </row>
    <row r="122" spans="1:9" s="46" customFormat="1">
      <c r="A122" s="52"/>
      <c r="H122" s="45"/>
      <c r="I122" s="45"/>
    </row>
    <row r="123" spans="1:9" s="46" customFormat="1">
      <c r="A123" s="52"/>
      <c r="H123" s="45"/>
      <c r="I123" s="45"/>
    </row>
    <row r="124" spans="1:9" s="46" customFormat="1">
      <c r="A124" s="52"/>
      <c r="H124" s="45"/>
      <c r="I124" s="45"/>
    </row>
    <row r="125" spans="1:9" s="46" customFormat="1">
      <c r="A125" s="52"/>
      <c r="H125" s="45"/>
      <c r="I125" s="45"/>
    </row>
    <row r="126" spans="1:9" s="46" customFormat="1">
      <c r="A126" s="52"/>
      <c r="H126" s="45"/>
      <c r="I126" s="45"/>
    </row>
    <row r="127" spans="1:9" s="46" customFormat="1">
      <c r="A127" s="52"/>
      <c r="H127" s="45"/>
      <c r="I127" s="45"/>
    </row>
    <row r="128" spans="1:9" s="46" customFormat="1">
      <c r="A128" s="52"/>
      <c r="H128" s="45"/>
      <c r="I128" s="45"/>
    </row>
    <row r="129" spans="1:9" s="46" customFormat="1">
      <c r="A129" s="52"/>
      <c r="H129" s="45"/>
      <c r="I129" s="45"/>
    </row>
    <row r="130" spans="1:9" s="46" customFormat="1">
      <c r="A130" s="52"/>
      <c r="H130" s="45"/>
      <c r="I130" s="45"/>
    </row>
    <row r="131" spans="1:9" s="46" customFormat="1">
      <c r="A131" s="52"/>
      <c r="H131" s="45"/>
      <c r="I131" s="45"/>
    </row>
    <row r="132" spans="1:9" s="46" customFormat="1">
      <c r="A132" s="52"/>
      <c r="H132" s="45"/>
      <c r="I132" s="45"/>
    </row>
    <row r="133" spans="1:9" s="46" customFormat="1">
      <c r="A133" s="52"/>
      <c r="H133" s="45"/>
      <c r="I133" s="45"/>
    </row>
    <row r="134" spans="1:9" s="46" customFormat="1">
      <c r="A134" s="52"/>
      <c r="H134" s="45"/>
      <c r="I134" s="45"/>
    </row>
    <row r="135" spans="1:9" s="46" customFormat="1">
      <c r="A135" s="52"/>
      <c r="H135" s="45"/>
      <c r="I135" s="45"/>
    </row>
    <row r="136" spans="1:9" s="46" customFormat="1">
      <c r="A136" s="52"/>
      <c r="H136" s="45"/>
      <c r="I136" s="45"/>
    </row>
    <row r="137" spans="1:9" s="46" customFormat="1">
      <c r="A137" s="52"/>
      <c r="H137" s="45"/>
      <c r="I137" s="45"/>
    </row>
    <row r="138" spans="1:9" s="46" customFormat="1">
      <c r="A138" s="52"/>
      <c r="H138" s="45"/>
      <c r="I138" s="45"/>
    </row>
    <row r="139" spans="1:9" s="46" customFormat="1">
      <c r="A139" s="52"/>
      <c r="H139" s="45"/>
      <c r="I139" s="45"/>
    </row>
    <row r="140" spans="1:9" s="46" customFormat="1">
      <c r="A140" s="52"/>
      <c r="H140" s="45"/>
      <c r="I140" s="45"/>
    </row>
    <row r="141" spans="1:9" s="46" customFormat="1">
      <c r="A141" s="52"/>
      <c r="H141" s="45"/>
      <c r="I141" s="45"/>
    </row>
    <row r="142" spans="1:9" s="46" customFormat="1">
      <c r="A142" s="52"/>
      <c r="H142" s="45"/>
      <c r="I142" s="45"/>
    </row>
    <row r="143" spans="1:9" s="46" customFormat="1">
      <c r="A143" s="52"/>
      <c r="H143" s="45"/>
      <c r="I143" s="45"/>
    </row>
    <row r="144" spans="1:9" s="46" customFormat="1">
      <c r="A144" s="52"/>
      <c r="H144" s="45"/>
      <c r="I144" s="45"/>
    </row>
    <row r="145" spans="1:9" s="46" customFormat="1">
      <c r="A145" s="52"/>
      <c r="H145" s="45"/>
      <c r="I145" s="45"/>
    </row>
    <row r="146" spans="1:9" s="46" customFormat="1">
      <c r="A146" s="52"/>
      <c r="H146" s="45"/>
      <c r="I146" s="45"/>
    </row>
    <row r="147" spans="1:9" s="46" customFormat="1">
      <c r="A147" s="52"/>
      <c r="H147" s="45"/>
      <c r="I147" s="45"/>
    </row>
    <row r="148" spans="1:9" s="46" customFormat="1">
      <c r="A148" s="52"/>
      <c r="H148" s="45"/>
      <c r="I148" s="45"/>
    </row>
    <row r="149" spans="1:9" s="46" customFormat="1">
      <c r="A149" s="52"/>
      <c r="H149" s="45"/>
      <c r="I149" s="45"/>
    </row>
    <row r="150" spans="1:9" s="46" customFormat="1">
      <c r="A150" s="52"/>
      <c r="H150" s="45"/>
      <c r="I150" s="45"/>
    </row>
    <row r="151" spans="1:9" s="46" customFormat="1">
      <c r="A151" s="52"/>
      <c r="H151" s="45"/>
      <c r="I151" s="45"/>
    </row>
    <row r="152" spans="1:9" s="46" customFormat="1">
      <c r="A152" s="52"/>
      <c r="H152" s="45"/>
      <c r="I152" s="45"/>
    </row>
    <row r="153" spans="1:9" s="46" customFormat="1">
      <c r="A153" s="52"/>
      <c r="H153" s="45"/>
      <c r="I153" s="45"/>
    </row>
    <row r="154" spans="1:9" s="46" customFormat="1">
      <c r="A154" s="52"/>
      <c r="H154" s="45"/>
      <c r="I154" s="45"/>
    </row>
    <row r="155" spans="1:9" s="46" customFormat="1">
      <c r="A155" s="52"/>
      <c r="H155" s="45"/>
      <c r="I155" s="45"/>
    </row>
    <row r="156" spans="1:9" s="46" customFormat="1">
      <c r="A156" s="52"/>
      <c r="H156" s="45"/>
      <c r="I156" s="45"/>
    </row>
    <row r="157" spans="1:9" s="46" customFormat="1">
      <c r="A157" s="52"/>
      <c r="H157" s="45"/>
      <c r="I157" s="45"/>
    </row>
    <row r="158" spans="1:9" s="46" customFormat="1">
      <c r="A158" s="52"/>
      <c r="H158" s="45"/>
      <c r="I158" s="45"/>
    </row>
    <row r="159" spans="1:9" s="46" customFormat="1">
      <c r="A159" s="52"/>
      <c r="H159" s="45"/>
      <c r="I159" s="45"/>
    </row>
    <row r="160" spans="1:9" s="46" customFormat="1">
      <c r="A160" s="52"/>
      <c r="H160" s="45"/>
      <c r="I160" s="45"/>
    </row>
    <row r="161" spans="1:9" s="46" customFormat="1">
      <c r="A161" s="52"/>
      <c r="H161" s="45"/>
      <c r="I161" s="45"/>
    </row>
    <row r="162" spans="1:9" s="46" customFormat="1">
      <c r="A162" s="52"/>
      <c r="H162" s="45"/>
      <c r="I162" s="45"/>
    </row>
    <row r="163" spans="1:9" s="46" customFormat="1">
      <c r="A163" s="52"/>
      <c r="H163" s="45"/>
      <c r="I163" s="45"/>
    </row>
    <row r="164" spans="1:9" s="46" customFormat="1">
      <c r="A164" s="52"/>
      <c r="H164" s="45"/>
      <c r="I164" s="45"/>
    </row>
    <row r="165" spans="1:9" s="46" customFormat="1">
      <c r="A165" s="52"/>
      <c r="H165" s="45"/>
      <c r="I165" s="45"/>
    </row>
    <row r="166" spans="1:9" s="46" customFormat="1">
      <c r="A166" s="52"/>
      <c r="H166" s="45"/>
      <c r="I166" s="45"/>
    </row>
    <row r="167" spans="1:9" s="46" customFormat="1">
      <c r="A167" s="52"/>
      <c r="H167" s="45"/>
      <c r="I167" s="45"/>
    </row>
    <row r="168" spans="1:9" s="46" customFormat="1">
      <c r="A168" s="52"/>
      <c r="H168" s="45"/>
      <c r="I168" s="45"/>
    </row>
    <row r="169" spans="1:9" s="46" customFormat="1">
      <c r="A169" s="52"/>
      <c r="H169" s="45"/>
      <c r="I169" s="45"/>
    </row>
    <row r="170" spans="1:9" s="46" customFormat="1">
      <c r="A170" s="52"/>
      <c r="H170" s="45"/>
      <c r="I170" s="45"/>
    </row>
    <row r="171" spans="1:9" s="46" customFormat="1">
      <c r="A171" s="52"/>
      <c r="H171" s="45"/>
      <c r="I171" s="45"/>
    </row>
    <row r="172" spans="1:9" s="46" customFormat="1">
      <c r="A172" s="52"/>
      <c r="H172" s="45"/>
      <c r="I172" s="45"/>
    </row>
    <row r="173" spans="1:9" s="46" customFormat="1">
      <c r="A173" s="52"/>
      <c r="H173" s="45"/>
      <c r="I173" s="45"/>
    </row>
    <row r="174" spans="1:9" s="46" customFormat="1">
      <c r="A174" s="52"/>
      <c r="H174" s="45"/>
      <c r="I174" s="45"/>
    </row>
    <row r="175" spans="1:9" s="46" customFormat="1">
      <c r="A175" s="52"/>
      <c r="H175" s="45"/>
      <c r="I175" s="45"/>
    </row>
    <row r="176" spans="1:9" s="46" customFormat="1">
      <c r="A176" s="52"/>
      <c r="H176" s="45"/>
      <c r="I176" s="45"/>
    </row>
    <row r="177" spans="1:9" s="46" customFormat="1">
      <c r="A177" s="52"/>
      <c r="H177" s="45"/>
      <c r="I177" s="45"/>
    </row>
    <row r="178" spans="1:9" s="46" customFormat="1">
      <c r="A178" s="52"/>
      <c r="H178" s="45"/>
      <c r="I178" s="45"/>
    </row>
    <row r="179" spans="1:9" s="46" customFormat="1">
      <c r="A179" s="52"/>
      <c r="H179" s="45"/>
      <c r="I179" s="45"/>
    </row>
    <row r="180" spans="1:9" s="46" customFormat="1">
      <c r="A180" s="52"/>
      <c r="H180" s="45"/>
      <c r="I180" s="45"/>
    </row>
    <row r="181" spans="1:9" s="46" customFormat="1">
      <c r="A181" s="52"/>
      <c r="H181" s="45"/>
      <c r="I181" s="45"/>
    </row>
    <row r="182" spans="1:9" s="46" customFormat="1">
      <c r="A182" s="52"/>
      <c r="H182" s="45"/>
      <c r="I182" s="45"/>
    </row>
    <row r="183" spans="1:9" s="46" customFormat="1">
      <c r="A183" s="52"/>
      <c r="H183" s="45"/>
      <c r="I183" s="45"/>
    </row>
    <row r="184" spans="1:9" s="46" customFormat="1">
      <c r="A184" s="52"/>
      <c r="H184" s="45"/>
      <c r="I184" s="45"/>
    </row>
    <row r="185" spans="1:9" s="46" customFormat="1">
      <c r="A185" s="52"/>
      <c r="H185" s="45"/>
      <c r="I185" s="45"/>
    </row>
    <row r="186" spans="1:9" s="46" customFormat="1">
      <c r="A186" s="52"/>
      <c r="H186" s="45"/>
      <c r="I186" s="45"/>
    </row>
    <row r="187" spans="1:9" s="46" customFormat="1">
      <c r="A187" s="52"/>
      <c r="H187" s="45"/>
      <c r="I187" s="45"/>
    </row>
    <row r="188" spans="1:9" s="46" customFormat="1">
      <c r="A188" s="52"/>
      <c r="H188" s="45"/>
      <c r="I188" s="45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39370078740157483" right="0.39370078740157483" top="0.39370078740157483" bottom="0.31496062992125984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94"/>
  <sheetViews>
    <sheetView view="pageBreakPreview" topLeftCell="A75" zoomScale="75" zoomScaleNormal="75" zoomScaleSheetLayoutView="75" workbookViewId="0">
      <selection activeCell="E4" sqref="E4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174" customWidth="1"/>
    <col min="4" max="4" width="11" style="174" customWidth="1"/>
    <col min="5" max="5" width="10.7109375" style="174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1" t="s">
        <v>241</v>
      </c>
    </row>
    <row r="2" spans="1:7" hidden="1" outlineLevel="1">
      <c r="G2" s="11" t="s">
        <v>227</v>
      </c>
    </row>
    <row r="3" spans="1:7" collapsed="1">
      <c r="A3" s="318" t="s">
        <v>375</v>
      </c>
      <c r="B3" s="318"/>
      <c r="C3" s="318"/>
      <c r="D3" s="318"/>
      <c r="E3" s="318"/>
      <c r="F3" s="318"/>
      <c r="G3" s="318"/>
    </row>
    <row r="4" spans="1:7">
      <c r="A4" s="10"/>
      <c r="B4" s="10"/>
      <c r="C4" s="10"/>
      <c r="D4" s="10"/>
      <c r="E4" s="10"/>
      <c r="F4" s="10"/>
      <c r="G4" s="10"/>
    </row>
    <row r="5" spans="1:7" ht="39" customHeight="1">
      <c r="A5" s="319" t="s">
        <v>287</v>
      </c>
      <c r="B5" s="320" t="s">
        <v>0</v>
      </c>
      <c r="C5" s="315" t="s">
        <v>355</v>
      </c>
      <c r="D5" s="321" t="s">
        <v>353</v>
      </c>
      <c r="E5" s="321"/>
      <c r="F5" s="321"/>
      <c r="G5" s="321"/>
    </row>
    <row r="6" spans="1:7" ht="38.25" customHeight="1">
      <c r="A6" s="319"/>
      <c r="B6" s="320"/>
      <c r="C6" s="316"/>
      <c r="D6" s="243" t="s">
        <v>265</v>
      </c>
      <c r="E6" s="243" t="s">
        <v>248</v>
      </c>
      <c r="F6" s="15" t="s">
        <v>275</v>
      </c>
      <c r="G6" s="15" t="s">
        <v>276</v>
      </c>
    </row>
    <row r="7" spans="1:7">
      <c r="A7" s="243">
        <v>1</v>
      </c>
      <c r="B7" s="244">
        <v>2</v>
      </c>
      <c r="C7" s="243">
        <v>3</v>
      </c>
      <c r="D7" s="243">
        <v>4</v>
      </c>
      <c r="E7" s="244">
        <v>5</v>
      </c>
      <c r="F7" s="243">
        <v>6</v>
      </c>
      <c r="G7" s="244">
        <v>7</v>
      </c>
    </row>
    <row r="8" spans="1:7" s="14" customFormat="1">
      <c r="A8" s="323" t="s">
        <v>159</v>
      </c>
      <c r="B8" s="324"/>
      <c r="C8" s="324"/>
      <c r="D8" s="324"/>
      <c r="E8" s="324"/>
      <c r="F8" s="324"/>
      <c r="G8" s="325"/>
    </row>
    <row r="9" spans="1:7" ht="37.5">
      <c r="A9" s="12" t="s">
        <v>178</v>
      </c>
      <c r="B9" s="6">
        <v>1170</v>
      </c>
      <c r="C9" s="20">
        <f>'1. Фін результат'!C151</f>
        <v>843</v>
      </c>
      <c r="D9" s="20">
        <f>'1. Фін результат'!D151</f>
        <v>925</v>
      </c>
      <c r="E9" s="20">
        <f>'1. Фін результат'!E151</f>
        <v>40</v>
      </c>
      <c r="F9" s="20">
        <f>E9-D9</f>
        <v>-885</v>
      </c>
      <c r="G9" s="21">
        <f>E9/D9*100</f>
        <v>4.3243243243243246</v>
      </c>
    </row>
    <row r="10" spans="1:7">
      <c r="A10" s="12" t="s">
        <v>179</v>
      </c>
      <c r="B10" s="8"/>
      <c r="C10" s="19"/>
      <c r="D10" s="19"/>
      <c r="E10" s="19"/>
      <c r="F10" s="20"/>
      <c r="G10" s="21"/>
    </row>
    <row r="11" spans="1:7">
      <c r="A11" s="12" t="s">
        <v>182</v>
      </c>
      <c r="B11" s="4">
        <v>3000</v>
      </c>
      <c r="C11" s="19">
        <f>'1. Фін результат'!C177</f>
        <v>4440</v>
      </c>
      <c r="D11" s="19">
        <f>'1. Фін результат'!D177</f>
        <v>14647</v>
      </c>
      <c r="E11" s="19">
        <f>'1. Фін результат'!E177</f>
        <v>1652</v>
      </c>
      <c r="F11" s="20">
        <f>E11-D11</f>
        <v>-12995</v>
      </c>
      <c r="G11" s="21">
        <f>E11/D11*100</f>
        <v>11.278760155663276</v>
      </c>
    </row>
    <row r="12" spans="1:7">
      <c r="A12" s="12" t="s">
        <v>183</v>
      </c>
      <c r="B12" s="4">
        <v>3010</v>
      </c>
      <c r="C12" s="19">
        <v>416</v>
      </c>
      <c r="D12" s="19"/>
      <c r="E12" s="19">
        <v>829</v>
      </c>
      <c r="F12" s="20"/>
      <c r="G12" s="21"/>
    </row>
    <row r="13" spans="1:7" ht="37.5">
      <c r="A13" s="12" t="s">
        <v>184</v>
      </c>
      <c r="B13" s="4">
        <v>3020</v>
      </c>
      <c r="C13" s="19"/>
      <c r="D13" s="19"/>
      <c r="E13" s="19"/>
      <c r="F13" s="20"/>
      <c r="G13" s="21"/>
    </row>
    <row r="14" spans="1:7" ht="37.5">
      <c r="A14" s="12" t="s">
        <v>185</v>
      </c>
      <c r="B14" s="4">
        <v>3030</v>
      </c>
      <c r="C14" s="19">
        <f>C15+C17+C18</f>
        <v>-45047</v>
      </c>
      <c r="D14" s="19">
        <f>D15</f>
        <v>-12500</v>
      </c>
      <c r="E14" s="19">
        <f>E15+E17+E18</f>
        <v>-40370</v>
      </c>
      <c r="F14" s="20">
        <f>E14-D14</f>
        <v>-27870</v>
      </c>
      <c r="G14" s="21">
        <f>E14/D14*100</f>
        <v>322.95999999999998</v>
      </c>
    </row>
    <row r="15" spans="1:7">
      <c r="A15" s="12" t="s">
        <v>531</v>
      </c>
      <c r="B15" s="4" t="s">
        <v>528</v>
      </c>
      <c r="C15" s="19">
        <v>-1747</v>
      </c>
      <c r="D15" s="19">
        <v>-12500</v>
      </c>
      <c r="E15" s="19">
        <f>17578-E11</f>
        <v>15926</v>
      </c>
      <c r="F15" s="20">
        <f>E15-D15</f>
        <v>28426</v>
      </c>
      <c r="G15" s="21">
        <f>E15/D15*100</f>
        <v>-127.40800000000002</v>
      </c>
    </row>
    <row r="16" spans="1:7">
      <c r="A16" s="12" t="s">
        <v>532</v>
      </c>
      <c r="B16" s="4" t="s">
        <v>529</v>
      </c>
      <c r="C16" s="19"/>
      <c r="D16" s="19"/>
      <c r="E16" s="19"/>
      <c r="F16" s="20"/>
      <c r="G16" s="21"/>
    </row>
    <row r="17" spans="1:10">
      <c r="A17" s="12" t="s">
        <v>533</v>
      </c>
      <c r="B17" s="4" t="s">
        <v>530</v>
      </c>
      <c r="C17" s="19">
        <v>-161</v>
      </c>
      <c r="D17" s="19">
        <f>-'2. Розрахунки з бюджетом'!D17</f>
        <v>0</v>
      </c>
      <c r="E17" s="19">
        <f>-'2. Розрахунки з бюджетом'!E17</f>
        <v>66</v>
      </c>
      <c r="F17" s="20"/>
      <c r="G17" s="21"/>
    </row>
    <row r="18" spans="1:10">
      <c r="A18" s="12" t="s">
        <v>602</v>
      </c>
      <c r="B18" s="4" t="s">
        <v>598</v>
      </c>
      <c r="C18" s="19">
        <v>-43139</v>
      </c>
      <c r="D18" s="19"/>
      <c r="E18" s="19">
        <f>-57797-E54</f>
        <v>-56362</v>
      </c>
      <c r="F18" s="20"/>
      <c r="G18" s="21"/>
      <c r="H18" s="222">
        <v>20733</v>
      </c>
      <c r="I18" s="222">
        <f>355525-413322</f>
        <v>-57797</v>
      </c>
      <c r="J18" s="2" t="s">
        <v>599</v>
      </c>
    </row>
    <row r="19" spans="1:10" ht="37.5">
      <c r="A19" s="16" t="s">
        <v>256</v>
      </c>
      <c r="B19" s="4">
        <v>3040</v>
      </c>
      <c r="C19" s="233">
        <f>C9+C11+C12+C14</f>
        <v>-39348</v>
      </c>
      <c r="D19" s="233">
        <f>SUM(D9:D14)</f>
        <v>3072</v>
      </c>
      <c r="E19" s="233">
        <f>SUM(E9:E14)</f>
        <v>-37849</v>
      </c>
      <c r="F19" s="20">
        <f>E19-D19</f>
        <v>-40921</v>
      </c>
      <c r="G19" s="21">
        <f>E19/D19*100</f>
        <v>-1232.0638020833335</v>
      </c>
    </row>
    <row r="20" spans="1:10" ht="37.5">
      <c r="A20" s="12" t="s">
        <v>186</v>
      </c>
      <c r="B20" s="4">
        <v>3050</v>
      </c>
      <c r="C20" s="19">
        <f>C21+C22+C23+C24</f>
        <v>-10002</v>
      </c>
      <c r="D20" s="19"/>
      <c r="E20" s="19">
        <f>E21+E22+E23+E24</f>
        <v>-2959</v>
      </c>
      <c r="F20" s="19"/>
      <c r="G20" s="18"/>
    </row>
    <row r="21" spans="1:10">
      <c r="A21" s="12" t="s">
        <v>517</v>
      </c>
      <c r="B21" s="4" t="s">
        <v>518</v>
      </c>
      <c r="C21" s="19">
        <v>1149</v>
      </c>
      <c r="D21" s="19"/>
      <c r="E21" s="19">
        <v>5413</v>
      </c>
      <c r="F21" s="19"/>
      <c r="G21" s="18"/>
      <c r="H21" s="221"/>
    </row>
    <row r="22" spans="1:10">
      <c r="A22" s="12" t="s">
        <v>521</v>
      </c>
      <c r="B22" s="4" t="s">
        <v>519</v>
      </c>
      <c r="C22" s="19">
        <v>-10410</v>
      </c>
      <c r="D22" s="19"/>
      <c r="E22" s="19">
        <v>-10191</v>
      </c>
      <c r="F22" s="19"/>
      <c r="G22" s="18"/>
    </row>
    <row r="23" spans="1:10">
      <c r="A23" s="12" t="s">
        <v>522</v>
      </c>
      <c r="B23" s="4" t="s">
        <v>520</v>
      </c>
      <c r="C23" s="19">
        <v>-17</v>
      </c>
      <c r="D23" s="19"/>
      <c r="E23" s="19">
        <f>260-255</f>
        <v>5</v>
      </c>
      <c r="F23" s="19"/>
      <c r="G23" s="18"/>
    </row>
    <row r="24" spans="1:10">
      <c r="A24" s="12" t="s">
        <v>535</v>
      </c>
      <c r="B24" s="4" t="s">
        <v>536</v>
      </c>
      <c r="C24" s="19">
        <v>-724</v>
      </c>
      <c r="D24" s="19"/>
      <c r="E24" s="19">
        <f>4148-2334</f>
        <v>1814</v>
      </c>
      <c r="F24" s="19"/>
      <c r="G24" s="18"/>
    </row>
    <row r="25" spans="1:10" ht="37.5">
      <c r="A25" s="12" t="s">
        <v>187</v>
      </c>
      <c r="B25" s="4">
        <v>3060</v>
      </c>
      <c r="C25" s="19">
        <f>C26+C27+C28</f>
        <v>-7324</v>
      </c>
      <c r="D25" s="19"/>
      <c r="E25" s="19">
        <f>E26+E28+E27</f>
        <v>13463</v>
      </c>
      <c r="F25" s="19"/>
      <c r="G25" s="18"/>
    </row>
    <row r="26" spans="1:10" ht="37.5">
      <c r="A26" s="12" t="s">
        <v>523</v>
      </c>
      <c r="B26" s="4" t="s">
        <v>537</v>
      </c>
      <c r="C26" s="19">
        <v>-9041</v>
      </c>
      <c r="D26" s="19"/>
      <c r="E26" s="19">
        <v>1111</v>
      </c>
      <c r="F26" s="19"/>
      <c r="G26" s="18"/>
    </row>
    <row r="27" spans="1:10">
      <c r="A27" s="12" t="s">
        <v>597</v>
      </c>
      <c r="B27" s="4" t="s">
        <v>538</v>
      </c>
      <c r="C27" s="19"/>
      <c r="D27" s="19"/>
      <c r="E27" s="19">
        <v>-15</v>
      </c>
      <c r="F27" s="19"/>
      <c r="G27" s="18"/>
    </row>
    <row r="28" spans="1:10">
      <c r="A28" s="12" t="s">
        <v>524</v>
      </c>
      <c r="B28" s="4" t="s">
        <v>596</v>
      </c>
      <c r="C28" s="19">
        <v>1717</v>
      </c>
      <c r="D28" s="19"/>
      <c r="E28" s="19">
        <f>1708+10659</f>
        <v>12367</v>
      </c>
      <c r="F28" s="19"/>
      <c r="G28" s="18"/>
    </row>
    <row r="29" spans="1:10">
      <c r="A29" s="16" t="s">
        <v>180</v>
      </c>
      <c r="B29" s="4">
        <v>3070</v>
      </c>
      <c r="C29" s="233">
        <f>C19+C20+C25</f>
        <v>-56674</v>
      </c>
      <c r="D29" s="233">
        <f>D19</f>
        <v>3072</v>
      </c>
      <c r="E29" s="233">
        <f>E19+E20+E25</f>
        <v>-27345</v>
      </c>
      <c r="F29" s="20">
        <f>E29-D29</f>
        <v>-30417</v>
      </c>
      <c r="G29" s="21">
        <f>E29/D29*100</f>
        <v>-890.13671875</v>
      </c>
    </row>
    <row r="30" spans="1:10">
      <c r="A30" s="12" t="s">
        <v>181</v>
      </c>
      <c r="B30" s="4">
        <v>3080</v>
      </c>
      <c r="C30" s="19">
        <v>152</v>
      </c>
      <c r="D30" s="19">
        <f>'1. Фін результат'!D152</f>
        <v>167</v>
      </c>
      <c r="E30" s="19">
        <f>'1. Фін результат'!E152</f>
        <v>7</v>
      </c>
      <c r="F30" s="20">
        <f>E30-D30</f>
        <v>-160</v>
      </c>
      <c r="G30" s="21">
        <f>E30/D30*100</f>
        <v>4.1916167664670656</v>
      </c>
    </row>
    <row r="31" spans="1:10" ht="37.5">
      <c r="A31" s="7" t="s">
        <v>158</v>
      </c>
      <c r="B31" s="4">
        <v>3090</v>
      </c>
      <c r="C31" s="233">
        <f>C29-C30</f>
        <v>-56826</v>
      </c>
      <c r="D31" s="233">
        <f>D29-D30</f>
        <v>2905</v>
      </c>
      <c r="E31" s="233">
        <f>E29-E30</f>
        <v>-27352</v>
      </c>
      <c r="F31" s="20">
        <f>E31-D31</f>
        <v>-30257</v>
      </c>
      <c r="G31" s="21">
        <f>E31/D31*100</f>
        <v>-941.54905335628223</v>
      </c>
    </row>
    <row r="32" spans="1:10">
      <c r="A32" s="323" t="s">
        <v>160</v>
      </c>
      <c r="B32" s="324"/>
      <c r="C32" s="324"/>
      <c r="D32" s="324"/>
      <c r="E32" s="324"/>
      <c r="F32" s="324"/>
      <c r="G32" s="325"/>
    </row>
    <row r="33" spans="1:9">
      <c r="A33" s="16" t="s">
        <v>288</v>
      </c>
      <c r="B33" s="6"/>
      <c r="C33" s="20"/>
      <c r="D33" s="20"/>
      <c r="E33" s="20"/>
      <c r="F33" s="20"/>
      <c r="G33" s="21"/>
    </row>
    <row r="34" spans="1:9">
      <c r="A34" s="5" t="s">
        <v>32</v>
      </c>
      <c r="B34" s="6">
        <v>3200</v>
      </c>
      <c r="C34" s="20"/>
      <c r="D34" s="20"/>
      <c r="E34" s="20"/>
      <c r="F34" s="20"/>
      <c r="G34" s="21"/>
    </row>
    <row r="35" spans="1:9">
      <c r="A35" s="5" t="s">
        <v>33</v>
      </c>
      <c r="B35" s="6">
        <v>3210</v>
      </c>
      <c r="C35" s="20"/>
      <c r="D35" s="20"/>
      <c r="E35" s="20"/>
      <c r="F35" s="20"/>
      <c r="G35" s="21"/>
    </row>
    <row r="36" spans="1:9">
      <c r="A36" s="5" t="s">
        <v>54</v>
      </c>
      <c r="B36" s="6">
        <v>3220</v>
      </c>
      <c r="C36" s="20"/>
      <c r="D36" s="20"/>
      <c r="E36" s="20"/>
      <c r="F36" s="20"/>
      <c r="G36" s="21"/>
    </row>
    <row r="37" spans="1:9">
      <c r="A37" s="12" t="s">
        <v>164</v>
      </c>
      <c r="B37" s="6"/>
      <c r="C37" s="20"/>
      <c r="D37" s="20"/>
      <c r="E37" s="20"/>
      <c r="F37" s="20"/>
      <c r="G37" s="21"/>
    </row>
    <row r="38" spans="1:9">
      <c r="A38" s="5" t="s">
        <v>165</v>
      </c>
      <c r="B38" s="6">
        <v>3230</v>
      </c>
      <c r="C38" s="20"/>
      <c r="D38" s="20"/>
      <c r="E38" s="20"/>
      <c r="F38" s="20"/>
      <c r="G38" s="21"/>
    </row>
    <row r="39" spans="1:9">
      <c r="A39" s="5" t="s">
        <v>166</v>
      </c>
      <c r="B39" s="6">
        <v>3240</v>
      </c>
      <c r="C39" s="20"/>
      <c r="D39" s="20"/>
      <c r="E39" s="20"/>
      <c r="F39" s="20"/>
      <c r="G39" s="21"/>
    </row>
    <row r="40" spans="1:9">
      <c r="A40" s="12" t="s">
        <v>167</v>
      </c>
      <c r="B40" s="6">
        <v>3250</v>
      </c>
      <c r="C40" s="20"/>
      <c r="D40" s="20"/>
      <c r="E40" s="20"/>
      <c r="F40" s="20"/>
      <c r="G40" s="21"/>
    </row>
    <row r="41" spans="1:9">
      <c r="A41" s="5" t="s">
        <v>118</v>
      </c>
      <c r="B41" s="6">
        <v>3260</v>
      </c>
      <c r="C41" s="20"/>
      <c r="D41" s="20"/>
      <c r="E41" s="20"/>
      <c r="F41" s="20"/>
      <c r="G41" s="21"/>
    </row>
    <row r="42" spans="1:9">
      <c r="A42" s="16" t="s">
        <v>289</v>
      </c>
      <c r="B42" s="6"/>
      <c r="C42" s="20"/>
      <c r="D42" s="20"/>
      <c r="E42" s="20"/>
      <c r="F42" s="20"/>
      <c r="G42" s="21"/>
    </row>
    <row r="43" spans="1:9" ht="37.5">
      <c r="A43" s="5" t="s">
        <v>119</v>
      </c>
      <c r="B43" s="6">
        <v>3270</v>
      </c>
      <c r="C43" s="20"/>
      <c r="D43" s="20"/>
      <c r="E43" s="20">
        <f>E45</f>
        <v>1435</v>
      </c>
      <c r="F43" s="20"/>
      <c r="G43" s="21"/>
      <c r="H43" s="222"/>
      <c r="I43" s="222"/>
    </row>
    <row r="44" spans="1:9">
      <c r="A44" s="5" t="s">
        <v>487</v>
      </c>
      <c r="B44" s="6" t="s">
        <v>484</v>
      </c>
      <c r="C44" s="20"/>
      <c r="D44" s="20"/>
      <c r="E44" s="20"/>
      <c r="F44" s="20"/>
      <c r="G44" s="21"/>
    </row>
    <row r="45" spans="1:9">
      <c r="A45" s="5" t="s">
        <v>486</v>
      </c>
      <c r="B45" s="6" t="s">
        <v>485</v>
      </c>
      <c r="C45" s="20"/>
      <c r="D45" s="20"/>
      <c r="E45" s="20">
        <f>1061+374</f>
        <v>1435</v>
      </c>
      <c r="F45" s="20"/>
      <c r="G45" s="21"/>
    </row>
    <row r="46" spans="1:9" ht="37.5">
      <c r="A46" s="5" t="s">
        <v>555</v>
      </c>
      <c r="B46" s="6" t="s">
        <v>539</v>
      </c>
      <c r="C46" s="20"/>
      <c r="D46" s="20"/>
      <c r="E46" s="20"/>
      <c r="F46" s="20"/>
      <c r="G46" s="21"/>
    </row>
    <row r="47" spans="1:9">
      <c r="A47" s="5" t="s">
        <v>120</v>
      </c>
      <c r="B47" s="6">
        <v>3280</v>
      </c>
      <c r="C47" s="20"/>
      <c r="D47" s="20"/>
      <c r="E47" s="20"/>
      <c r="F47" s="20"/>
      <c r="G47" s="21"/>
    </row>
    <row r="48" spans="1:9" ht="37.5">
      <c r="A48" s="5" t="s">
        <v>121</v>
      </c>
      <c r="B48" s="6">
        <v>3290</v>
      </c>
      <c r="C48" s="20"/>
      <c r="D48" s="20"/>
      <c r="E48" s="20"/>
      <c r="F48" s="20">
        <f>E48-D48</f>
        <v>0</v>
      </c>
      <c r="G48" s="21"/>
    </row>
    <row r="49" spans="1:7" hidden="1">
      <c r="A49" s="5" t="s">
        <v>489</v>
      </c>
      <c r="B49" s="6" t="s">
        <v>488</v>
      </c>
      <c r="C49" s="20"/>
      <c r="D49" s="20"/>
      <c r="E49" s="20"/>
      <c r="F49" s="20">
        <f>E49-D49</f>
        <v>0</v>
      </c>
      <c r="G49" s="21"/>
    </row>
    <row r="50" spans="1:7" ht="93.75">
      <c r="A50" s="5" t="s">
        <v>564</v>
      </c>
      <c r="B50" s="6" t="s">
        <v>488</v>
      </c>
      <c r="C50" s="20"/>
      <c r="D50" s="20"/>
      <c r="E50" s="20"/>
      <c r="F50" s="20">
        <f>E50-D50</f>
        <v>0</v>
      </c>
      <c r="G50" s="21"/>
    </row>
    <row r="51" spans="1:7" ht="37.5">
      <c r="A51" s="5" t="s">
        <v>568</v>
      </c>
      <c r="B51" s="6" t="s">
        <v>563</v>
      </c>
      <c r="C51" s="20"/>
      <c r="D51" s="20"/>
      <c r="E51" s="20"/>
      <c r="F51" s="20"/>
      <c r="G51" s="21"/>
    </row>
    <row r="52" spans="1:7">
      <c r="A52" s="5" t="s">
        <v>55</v>
      </c>
      <c r="B52" s="6">
        <v>3300</v>
      </c>
      <c r="C52" s="20"/>
      <c r="D52" s="20"/>
      <c r="E52" s="20"/>
      <c r="F52" s="20"/>
      <c r="G52" s="21"/>
    </row>
    <row r="53" spans="1:7">
      <c r="A53" s="5" t="s">
        <v>113</v>
      </c>
      <c r="B53" s="6">
        <v>3310</v>
      </c>
      <c r="C53" s="20"/>
      <c r="D53" s="20"/>
      <c r="E53" s="20"/>
      <c r="F53" s="20"/>
      <c r="G53" s="21"/>
    </row>
    <row r="54" spans="1:7" ht="37.5">
      <c r="A54" s="16" t="s">
        <v>161</v>
      </c>
      <c r="B54" s="6">
        <v>3320</v>
      </c>
      <c r="C54" s="20">
        <f>(C34+C35+C36+C38+C39+C40+C41)-(C43+C48+C80+C53)</f>
        <v>0</v>
      </c>
      <c r="D54" s="20">
        <f>(D34+D35+D36+D38+D39+D40+D41)-(D43+D48+D80)</f>
        <v>0</v>
      </c>
      <c r="E54" s="20">
        <f>(E34+E35+E36+E38+E39+E40+E41)-(E43+E48+E80)</f>
        <v>-1435</v>
      </c>
      <c r="F54" s="20">
        <f>E54-D54</f>
        <v>-1435</v>
      </c>
      <c r="G54" s="21"/>
    </row>
    <row r="55" spans="1:7">
      <c r="A55" s="323" t="s">
        <v>162</v>
      </c>
      <c r="B55" s="324"/>
      <c r="C55" s="324"/>
      <c r="D55" s="324"/>
      <c r="E55" s="324"/>
      <c r="F55" s="324"/>
      <c r="G55" s="325"/>
    </row>
    <row r="56" spans="1:7">
      <c r="A56" s="16" t="s">
        <v>288</v>
      </c>
      <c r="B56" s="6"/>
      <c r="C56" s="20"/>
      <c r="D56" s="20"/>
      <c r="E56" s="20"/>
      <c r="F56" s="20"/>
      <c r="G56" s="21"/>
    </row>
    <row r="57" spans="1:7">
      <c r="A57" s="12" t="s">
        <v>168</v>
      </c>
      <c r="B57" s="6">
        <v>3400</v>
      </c>
      <c r="C57" s="20">
        <v>42350</v>
      </c>
      <c r="D57" s="20"/>
      <c r="E57" s="20"/>
      <c r="F57" s="20"/>
      <c r="G57" s="21"/>
    </row>
    <row r="58" spans="1:7" ht="37.5">
      <c r="A58" s="5" t="s">
        <v>91</v>
      </c>
      <c r="B58" s="8"/>
      <c r="C58" s="23"/>
      <c r="D58" s="23"/>
      <c r="E58" s="23"/>
      <c r="F58" s="23"/>
      <c r="G58" s="8"/>
    </row>
    <row r="59" spans="1:7">
      <c r="A59" s="5" t="s">
        <v>90</v>
      </c>
      <c r="B59" s="6">
        <v>3410</v>
      </c>
      <c r="C59" s="20"/>
      <c r="D59" s="20"/>
      <c r="E59" s="20"/>
      <c r="F59" s="20"/>
      <c r="G59" s="21"/>
    </row>
    <row r="60" spans="1:7">
      <c r="A60" s="5" t="s">
        <v>95</v>
      </c>
      <c r="B60" s="4">
        <v>3420</v>
      </c>
      <c r="C60" s="19"/>
      <c r="D60" s="19"/>
      <c r="E60" s="19"/>
      <c r="F60" s="19"/>
      <c r="G60" s="18"/>
    </row>
    <row r="61" spans="1:7">
      <c r="A61" s="5" t="s">
        <v>122</v>
      </c>
      <c r="B61" s="6">
        <v>3430</v>
      </c>
      <c r="C61" s="20"/>
      <c r="D61" s="20"/>
      <c r="E61" s="20"/>
      <c r="F61" s="20"/>
      <c r="G61" s="21"/>
    </row>
    <row r="62" spans="1:7" ht="37.5">
      <c r="A62" s="5" t="s">
        <v>93</v>
      </c>
      <c r="B62" s="6"/>
      <c r="C62" s="20"/>
      <c r="D62" s="20"/>
      <c r="E62" s="20"/>
      <c r="F62" s="20"/>
      <c r="G62" s="21"/>
    </row>
    <row r="63" spans="1:7">
      <c r="A63" s="5" t="s">
        <v>90</v>
      </c>
      <c r="B63" s="4">
        <v>3440</v>
      </c>
      <c r="C63" s="19"/>
      <c r="D63" s="19"/>
      <c r="E63" s="19"/>
      <c r="F63" s="19"/>
      <c r="G63" s="18"/>
    </row>
    <row r="64" spans="1:7">
      <c r="A64" s="5" t="s">
        <v>95</v>
      </c>
      <c r="B64" s="4">
        <v>3450</v>
      </c>
      <c r="C64" s="19"/>
      <c r="D64" s="19"/>
      <c r="E64" s="19"/>
      <c r="F64" s="19"/>
      <c r="G64" s="18"/>
    </row>
    <row r="65" spans="1:10">
      <c r="A65" s="5" t="s">
        <v>122</v>
      </c>
      <c r="B65" s="4">
        <v>3460</v>
      </c>
      <c r="C65" s="19"/>
      <c r="D65" s="19"/>
      <c r="E65" s="19"/>
      <c r="F65" s="19"/>
      <c r="G65" s="18"/>
    </row>
    <row r="66" spans="1:10">
      <c r="A66" s="5" t="s">
        <v>117</v>
      </c>
      <c r="B66" s="4">
        <v>3470</v>
      </c>
      <c r="C66" s="19"/>
      <c r="D66" s="19"/>
      <c r="E66" s="19"/>
      <c r="F66" s="19"/>
      <c r="G66" s="18"/>
      <c r="H66" s="222"/>
      <c r="I66" s="222"/>
    </row>
    <row r="67" spans="1:10">
      <c r="A67" s="5" t="s">
        <v>118</v>
      </c>
      <c r="B67" s="4">
        <v>3480</v>
      </c>
      <c r="C67" s="19">
        <f>C68</f>
        <v>12755</v>
      </c>
      <c r="D67" s="19"/>
      <c r="E67" s="19">
        <f>E68</f>
        <v>33701</v>
      </c>
      <c r="F67" s="19"/>
      <c r="G67" s="18"/>
    </row>
    <row r="68" spans="1:10">
      <c r="A68" s="5" t="s">
        <v>601</v>
      </c>
      <c r="B68" s="4" t="s">
        <v>490</v>
      </c>
      <c r="C68" s="19">
        <v>12755</v>
      </c>
      <c r="D68" s="19"/>
      <c r="E68" s="19">
        <v>33701</v>
      </c>
      <c r="F68" s="19"/>
      <c r="G68" s="18"/>
      <c r="H68" s="222">
        <v>20344</v>
      </c>
      <c r="I68" s="222">
        <f>209751-176050</f>
        <v>33701</v>
      </c>
      <c r="J68" s="2" t="s">
        <v>600</v>
      </c>
    </row>
    <row r="69" spans="1:10">
      <c r="A69" s="16" t="s">
        <v>289</v>
      </c>
      <c r="B69" s="6"/>
      <c r="C69" s="20"/>
      <c r="D69" s="20"/>
      <c r="E69" s="20"/>
      <c r="F69" s="20"/>
      <c r="G69" s="21"/>
    </row>
    <row r="70" spans="1:10" ht="37.5">
      <c r="A70" s="5" t="s">
        <v>359</v>
      </c>
      <c r="B70" s="6">
        <v>3490</v>
      </c>
      <c r="C70" s="20">
        <f>'2. Розрахунки з бюджетом'!C21</f>
        <v>103.64999999999999</v>
      </c>
      <c r="D70" s="20">
        <f>'2. Розрахунки з бюджетом'!D21</f>
        <v>113.7</v>
      </c>
      <c r="E70" s="20">
        <f>'2. Розрахунки з бюджетом'!E10</f>
        <v>4.95</v>
      </c>
      <c r="F70" s="20">
        <f>E70-D70</f>
        <v>-108.75</v>
      </c>
      <c r="G70" s="21">
        <f>E70/D70*100</f>
        <v>4.3535620052770447</v>
      </c>
    </row>
    <row r="71" spans="1:10" ht="93.75">
      <c r="A71" s="5" t="s">
        <v>491</v>
      </c>
      <c r="B71" s="6">
        <v>3500</v>
      </c>
      <c r="C71" s="20">
        <f>'2. Розрахунки з бюджетом'!C22</f>
        <v>352.41</v>
      </c>
      <c r="D71" s="20">
        <f>'2. Розрахунки з бюджетом'!D22</f>
        <v>386</v>
      </c>
      <c r="E71" s="20">
        <f>'2. Розрахунки з бюджетом'!E11</f>
        <v>16.829999999999998</v>
      </c>
      <c r="F71" s="20">
        <f>E71-D71</f>
        <v>-369.17</v>
      </c>
      <c r="G71" s="21">
        <f>E71/D71*100</f>
        <v>4.3601036269430047</v>
      </c>
    </row>
    <row r="72" spans="1:10" ht="37.5">
      <c r="A72" s="5" t="s">
        <v>94</v>
      </c>
      <c r="B72" s="6"/>
      <c r="C72" s="20"/>
      <c r="D72" s="20"/>
      <c r="E72" s="20"/>
      <c r="F72" s="20"/>
      <c r="G72" s="21"/>
    </row>
    <row r="73" spans="1:10">
      <c r="A73" s="5" t="s">
        <v>90</v>
      </c>
      <c r="B73" s="4">
        <v>3510</v>
      </c>
      <c r="C73" s="19"/>
      <c r="D73" s="19"/>
      <c r="E73" s="19"/>
      <c r="F73" s="19"/>
      <c r="G73" s="18"/>
    </row>
    <row r="74" spans="1:10">
      <c r="A74" s="5" t="s">
        <v>95</v>
      </c>
      <c r="B74" s="4">
        <v>3520</v>
      </c>
      <c r="C74" s="19"/>
      <c r="D74" s="19"/>
      <c r="E74" s="19"/>
      <c r="F74" s="19"/>
      <c r="G74" s="18"/>
    </row>
    <row r="75" spans="1:10">
      <c r="A75" s="5" t="s">
        <v>122</v>
      </c>
      <c r="B75" s="4">
        <v>3530</v>
      </c>
      <c r="C75" s="19"/>
      <c r="D75" s="19"/>
      <c r="E75" s="19"/>
      <c r="F75" s="19"/>
      <c r="G75" s="18"/>
    </row>
    <row r="76" spans="1:10" ht="37.5">
      <c r="A76" s="5" t="s">
        <v>92</v>
      </c>
      <c r="B76" s="6"/>
      <c r="C76" s="20"/>
      <c r="D76" s="20"/>
      <c r="E76" s="20"/>
      <c r="F76" s="20"/>
      <c r="G76" s="21"/>
    </row>
    <row r="77" spans="1:10">
      <c r="A77" s="5" t="s">
        <v>90</v>
      </c>
      <c r="B77" s="4">
        <v>3540</v>
      </c>
      <c r="C77" s="19"/>
      <c r="D77" s="19"/>
      <c r="E77" s="19"/>
      <c r="F77" s="19"/>
      <c r="G77" s="18"/>
    </row>
    <row r="78" spans="1:10">
      <c r="A78" s="5" t="s">
        <v>95</v>
      </c>
      <c r="B78" s="4">
        <v>3550</v>
      </c>
      <c r="C78" s="19"/>
      <c r="D78" s="19"/>
      <c r="E78" s="19"/>
      <c r="F78" s="19"/>
      <c r="G78" s="18"/>
    </row>
    <row r="79" spans="1:10">
      <c r="A79" s="5" t="s">
        <v>122</v>
      </c>
      <c r="B79" s="4">
        <v>3560</v>
      </c>
      <c r="C79" s="19"/>
      <c r="D79" s="19"/>
      <c r="E79" s="19"/>
      <c r="F79" s="19"/>
      <c r="G79" s="18"/>
    </row>
    <row r="80" spans="1:10">
      <c r="A80" s="5" t="s">
        <v>113</v>
      </c>
      <c r="B80" s="4">
        <v>3570</v>
      </c>
      <c r="C80" s="19"/>
      <c r="D80" s="19"/>
      <c r="E80" s="19"/>
      <c r="F80" s="19"/>
      <c r="G80" s="18"/>
    </row>
    <row r="81" spans="1:9">
      <c r="A81" s="5" t="s">
        <v>494</v>
      </c>
      <c r="B81" s="4" t="s">
        <v>492</v>
      </c>
      <c r="C81" s="19"/>
      <c r="D81" s="19"/>
      <c r="E81" s="19"/>
      <c r="F81" s="19"/>
      <c r="G81" s="18"/>
    </row>
    <row r="82" spans="1:9">
      <c r="A82" s="5" t="s">
        <v>495</v>
      </c>
      <c r="B82" s="4" t="s">
        <v>493</v>
      </c>
      <c r="C82" s="19"/>
      <c r="D82" s="19"/>
      <c r="E82" s="19"/>
      <c r="F82" s="19"/>
      <c r="G82" s="18"/>
    </row>
    <row r="83" spans="1:9">
      <c r="A83" s="16" t="s">
        <v>163</v>
      </c>
      <c r="B83" s="4">
        <v>3580</v>
      </c>
      <c r="C83" s="233">
        <f>(C57+C59+C60+C61+C63+C64+C65+C66+C67)-(C70+C71+C80)</f>
        <v>54648.94</v>
      </c>
      <c r="D83" s="233">
        <f>(D57+D59+D60+D61+D63+D64+D65+D66+D67)-(D70+D71+D80)</f>
        <v>-499.7</v>
      </c>
      <c r="E83" s="233">
        <f>(E57+E59+E60+E61+E63+E64+E65+E66+E67)-(E70+E71+E80)</f>
        <v>33679.22</v>
      </c>
      <c r="F83" s="20">
        <f>E83-D83</f>
        <v>34178.92</v>
      </c>
      <c r="G83" s="21">
        <f>E83/D83*100</f>
        <v>-6739.887932759656</v>
      </c>
    </row>
    <row r="84" spans="1:9" s="9" customFormat="1">
      <c r="A84" s="5" t="s">
        <v>321</v>
      </c>
      <c r="B84" s="4"/>
      <c r="C84" s="19"/>
      <c r="D84" s="19"/>
      <c r="E84" s="19"/>
      <c r="F84" s="20"/>
      <c r="G84" s="21"/>
    </row>
    <row r="85" spans="1:9" s="9" customFormat="1">
      <c r="A85" s="7" t="s">
        <v>34</v>
      </c>
      <c r="B85" s="4">
        <v>3600</v>
      </c>
      <c r="C85" s="19">
        <v>25426</v>
      </c>
      <c r="D85" s="19">
        <v>12469</v>
      </c>
      <c r="E85" s="19">
        <v>12469</v>
      </c>
      <c r="F85" s="20">
        <f>E85-D85</f>
        <v>0</v>
      </c>
      <c r="G85" s="21">
        <f>E85/D85*100</f>
        <v>100</v>
      </c>
    </row>
    <row r="86" spans="1:9" s="9" customFormat="1">
      <c r="A86" s="17" t="s">
        <v>290</v>
      </c>
      <c r="B86" s="4">
        <v>3610</v>
      </c>
      <c r="C86" s="19"/>
      <c r="D86" s="19"/>
      <c r="E86" s="19"/>
      <c r="F86" s="20"/>
      <c r="G86" s="21"/>
    </row>
    <row r="87" spans="1:9" s="9" customFormat="1">
      <c r="A87" s="7" t="s">
        <v>56</v>
      </c>
      <c r="B87" s="4">
        <v>3620</v>
      </c>
      <c r="C87" s="233">
        <f>C85+C31+C54+C83</f>
        <v>23248.940000000002</v>
      </c>
      <c r="D87" s="233">
        <f>D85+D31+D54+D83</f>
        <v>14874.3</v>
      </c>
      <c r="E87" s="233">
        <f>E85+E31+E54+E83</f>
        <v>17361.22</v>
      </c>
      <c r="F87" s="20">
        <f>E87-D87</f>
        <v>2486.9200000000019</v>
      </c>
      <c r="G87" s="21">
        <f>E87/D87*100</f>
        <v>116.71957671957674</v>
      </c>
      <c r="I87" s="152"/>
    </row>
    <row r="88" spans="1:9" s="9" customFormat="1">
      <c r="A88" s="7" t="s">
        <v>35</v>
      </c>
      <c r="B88" s="4">
        <v>3630</v>
      </c>
      <c r="C88" s="233">
        <f>C31+C54+C83</f>
        <v>-2177.0599999999977</v>
      </c>
      <c r="D88" s="233">
        <f>D31+D54+D83</f>
        <v>2405.3000000000002</v>
      </c>
      <c r="E88" s="233">
        <f>E31+E54+E83</f>
        <v>4892.2200000000012</v>
      </c>
      <c r="F88" s="20">
        <f>E88-D88</f>
        <v>2486.920000000001</v>
      </c>
      <c r="G88" s="21">
        <f>E88/D88*100</f>
        <v>203.39333970814454</v>
      </c>
      <c r="H88" s="152"/>
    </row>
    <row r="89" spans="1:9" s="9" customFormat="1">
      <c r="A89" s="2"/>
      <c r="B89" s="155"/>
      <c r="C89" s="175"/>
      <c r="D89" s="175"/>
      <c r="E89" s="175"/>
      <c r="F89" s="155"/>
      <c r="G89" s="155"/>
    </row>
    <row r="90" spans="1:9" s="3" customFormat="1" ht="57" customHeight="1">
      <c r="A90" s="13"/>
      <c r="B90" s="1"/>
      <c r="C90" s="176"/>
      <c r="D90" s="177"/>
      <c r="E90" s="326"/>
      <c r="F90" s="326"/>
      <c r="G90" s="326"/>
    </row>
    <row r="91" spans="1:9" s="24" customFormat="1" ht="20.100000000000001" customHeight="1">
      <c r="A91" s="126" t="s">
        <v>614</v>
      </c>
      <c r="B91" s="123"/>
      <c r="C91" s="161"/>
      <c r="D91" s="161"/>
      <c r="E91" s="161"/>
      <c r="F91" s="300" t="s">
        <v>615</v>
      </c>
      <c r="G91" s="300"/>
    </row>
    <row r="92" spans="1:9" s="38" customFormat="1" ht="19.5" customHeight="1">
      <c r="A92" s="30" t="s">
        <v>387</v>
      </c>
      <c r="C92" s="322" t="s">
        <v>78</v>
      </c>
      <c r="D92" s="322"/>
      <c r="E92" s="161"/>
      <c r="F92" s="300" t="s">
        <v>361</v>
      </c>
      <c r="G92" s="300"/>
    </row>
    <row r="93" spans="1:9" ht="45.75" customHeight="1"/>
    <row r="94" spans="1:9" s="116" customFormat="1" ht="80.25" customHeight="1">
      <c r="A94" s="308"/>
      <c r="B94" s="308"/>
      <c r="C94" s="308"/>
      <c r="D94" s="308"/>
      <c r="E94" s="308"/>
      <c r="F94" s="308"/>
      <c r="G94" s="308"/>
      <c r="H94" s="308"/>
    </row>
  </sheetData>
  <mergeCells count="13">
    <mergeCell ref="A94:H94"/>
    <mergeCell ref="F92:G92"/>
    <mergeCell ref="C92:D92"/>
    <mergeCell ref="A8:G8"/>
    <mergeCell ref="A32:G32"/>
    <mergeCell ref="F91:G91"/>
    <mergeCell ref="A55:G55"/>
    <mergeCell ref="E90:G90"/>
    <mergeCell ref="A3:G3"/>
    <mergeCell ref="A5:A6"/>
    <mergeCell ref="B5:B6"/>
    <mergeCell ref="D5:G5"/>
    <mergeCell ref="C5:C6"/>
  </mergeCells>
  <phoneticPr fontId="3" type="noConversion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8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tabSelected="1" view="pageBreakPreview" zoomScale="55" zoomScaleNormal="75" zoomScaleSheetLayoutView="55" workbookViewId="0">
      <selection activeCell="F8" sqref="F8"/>
    </sheetView>
  </sheetViews>
  <sheetFormatPr defaultRowHeight="20.25"/>
  <cols>
    <col min="1" max="1" width="61" style="24" customWidth="1"/>
    <col min="2" max="2" width="9.85546875" style="26" customWidth="1"/>
    <col min="3" max="3" width="19.42578125" style="162" customWidth="1"/>
    <col min="4" max="4" width="14.5703125" style="162" customWidth="1"/>
    <col min="5" max="5" width="16.5703125" style="162" customWidth="1"/>
    <col min="6" max="6" width="17.5703125" style="26" customWidth="1"/>
    <col min="7" max="7" width="18.5703125" style="26" customWidth="1"/>
    <col min="8" max="8" width="9.5703125" style="24" customWidth="1"/>
    <col min="9" max="9" width="9.85546875" style="24" customWidth="1"/>
    <col min="10" max="16384" width="9.140625" style="24"/>
  </cols>
  <sheetData>
    <row r="1" spans="1:14">
      <c r="A1" s="330" t="s">
        <v>376</v>
      </c>
      <c r="B1" s="330"/>
      <c r="C1" s="330"/>
      <c r="D1" s="330"/>
      <c r="E1" s="330"/>
      <c r="F1" s="330"/>
      <c r="G1" s="330"/>
    </row>
    <row r="2" spans="1:14">
      <c r="A2" s="332"/>
      <c r="B2" s="332"/>
      <c r="C2" s="332"/>
      <c r="D2" s="332"/>
      <c r="E2" s="332"/>
      <c r="F2" s="332"/>
      <c r="G2" s="332"/>
    </row>
    <row r="3" spans="1:14" ht="43.5" customHeight="1">
      <c r="A3" s="328" t="s">
        <v>287</v>
      </c>
      <c r="B3" s="331" t="s">
        <v>18</v>
      </c>
      <c r="C3" s="333" t="s">
        <v>355</v>
      </c>
      <c r="D3" s="313" t="s">
        <v>353</v>
      </c>
      <c r="E3" s="313"/>
      <c r="F3" s="313"/>
      <c r="G3" s="313"/>
    </row>
    <row r="4" spans="1:14" ht="56.25" customHeight="1">
      <c r="A4" s="329"/>
      <c r="B4" s="331"/>
      <c r="C4" s="334"/>
      <c r="D4" s="171" t="s">
        <v>265</v>
      </c>
      <c r="E4" s="171" t="s">
        <v>248</v>
      </c>
      <c r="F4" s="33" t="s">
        <v>275</v>
      </c>
      <c r="G4" s="33" t="s">
        <v>276</v>
      </c>
    </row>
    <row r="5" spans="1:14" ht="15.75" customHeight="1">
      <c r="A5" s="29">
        <v>1</v>
      </c>
      <c r="B5" s="32">
        <v>2</v>
      </c>
      <c r="C5" s="178">
        <v>3</v>
      </c>
      <c r="D5" s="178">
        <v>4</v>
      </c>
      <c r="E5" s="171">
        <v>5</v>
      </c>
      <c r="F5" s="29">
        <v>6</v>
      </c>
      <c r="G5" s="32">
        <v>7</v>
      </c>
    </row>
    <row r="6" spans="1:14" s="37" customFormat="1" ht="56.25" customHeight="1">
      <c r="A6" s="35" t="s">
        <v>81</v>
      </c>
      <c r="B6" s="53">
        <v>4000</v>
      </c>
      <c r="C6" s="41">
        <f>C8+C10</f>
        <v>0</v>
      </c>
      <c r="D6" s="41">
        <f>D10</f>
        <v>0</v>
      </c>
      <c r="E6" s="41">
        <f>E8</f>
        <v>1195.8333333333335</v>
      </c>
      <c r="F6" s="41">
        <f>E6-D6</f>
        <v>1195.8333333333335</v>
      </c>
      <c r="G6" s="42"/>
    </row>
    <row r="7" spans="1:14" ht="56.25" customHeight="1">
      <c r="A7" s="35" t="s">
        <v>1</v>
      </c>
      <c r="B7" s="54" t="s">
        <v>224</v>
      </c>
      <c r="C7" s="249"/>
      <c r="D7" s="249"/>
      <c r="E7" s="249"/>
      <c r="F7" s="249"/>
      <c r="G7" s="248"/>
    </row>
    <row r="8" spans="1:14" ht="56.25" customHeight="1">
      <c r="A8" s="35" t="s">
        <v>2</v>
      </c>
      <c r="B8" s="53">
        <v>4020</v>
      </c>
      <c r="C8" s="41"/>
      <c r="D8" s="41"/>
      <c r="E8" s="41">
        <f>'3. Рух грошових коштів'!E43/1.2</f>
        <v>1195.8333333333335</v>
      </c>
      <c r="F8" s="41"/>
      <c r="G8" s="42"/>
      <c r="N8" s="25"/>
    </row>
    <row r="9" spans="1:14" ht="56.25" customHeight="1">
      <c r="A9" s="35" t="s">
        <v>30</v>
      </c>
      <c r="B9" s="54">
        <v>4030</v>
      </c>
      <c r="C9" s="249"/>
      <c r="D9" s="249"/>
      <c r="E9" s="249">
        <f>'3. Рух грошових коштів'!E51/1.2</f>
        <v>0</v>
      </c>
      <c r="F9" s="249"/>
      <c r="G9" s="248"/>
      <c r="M9" s="25"/>
    </row>
    <row r="10" spans="1:14" ht="56.25" customHeight="1">
      <c r="A10" s="35" t="s">
        <v>3</v>
      </c>
      <c r="B10" s="53">
        <v>4040</v>
      </c>
      <c r="C10" s="41">
        <f>'3. Рух грошових коштів'!C50</f>
        <v>0</v>
      </c>
      <c r="D10" s="41"/>
      <c r="E10" s="41">
        <f>'3. Рух грошових коштів'!E50/1.2</f>
        <v>0</v>
      </c>
      <c r="F10" s="41">
        <f>E10-D10</f>
        <v>0</v>
      </c>
      <c r="G10" s="42"/>
    </row>
    <row r="11" spans="1:14" ht="72.75" customHeight="1">
      <c r="A11" s="35" t="s">
        <v>70</v>
      </c>
      <c r="B11" s="54">
        <v>4050</v>
      </c>
      <c r="C11" s="249"/>
      <c r="D11" s="249"/>
      <c r="E11" s="249"/>
      <c r="F11" s="249"/>
      <c r="G11" s="248"/>
    </row>
    <row r="12" spans="1:14">
      <c r="B12" s="24"/>
      <c r="C12" s="161"/>
      <c r="D12" s="161"/>
      <c r="E12" s="161"/>
      <c r="F12" s="24"/>
      <c r="G12" s="24"/>
    </row>
    <row r="13" spans="1:14" ht="99" customHeight="1">
      <c r="B13" s="24"/>
      <c r="C13" s="161"/>
      <c r="D13" s="161"/>
      <c r="E13" s="161"/>
      <c r="F13" s="24"/>
      <c r="G13" s="24"/>
    </row>
    <row r="14" spans="1:14" ht="19.5" customHeight="1">
      <c r="A14" s="26"/>
      <c r="B14" s="24"/>
      <c r="C14" s="161"/>
      <c r="D14" s="161"/>
      <c r="E14" s="161"/>
      <c r="F14" s="24"/>
      <c r="G14" s="24"/>
    </row>
    <row r="15" spans="1:14" ht="20.100000000000001" customHeight="1">
      <c r="A15" s="126" t="s">
        <v>616</v>
      </c>
      <c r="B15" s="123"/>
      <c r="C15" s="161"/>
      <c r="D15" s="161"/>
      <c r="E15" s="161"/>
      <c r="F15" s="300" t="s">
        <v>615</v>
      </c>
      <c r="G15" s="300"/>
    </row>
    <row r="16" spans="1:14" s="38" customFormat="1" ht="19.5" customHeight="1">
      <c r="A16" s="30" t="s">
        <v>387</v>
      </c>
      <c r="C16" s="322" t="s">
        <v>78</v>
      </c>
      <c r="D16" s="322"/>
      <c r="E16" s="161"/>
      <c r="F16" s="300" t="s">
        <v>361</v>
      </c>
      <c r="G16" s="300"/>
    </row>
    <row r="17" spans="1:8">
      <c r="A17" s="39"/>
    </row>
    <row r="18" spans="1:8" ht="35.25" customHeight="1">
      <c r="A18" s="39"/>
    </row>
    <row r="19" spans="1:8" s="116" customFormat="1" ht="102" customHeight="1">
      <c r="A19" s="327"/>
      <c r="B19" s="327"/>
      <c r="C19" s="327"/>
      <c r="D19" s="327"/>
      <c r="E19" s="327"/>
      <c r="F19" s="327"/>
      <c r="G19" s="327"/>
      <c r="H19" s="327"/>
    </row>
    <row r="20" spans="1:8">
      <c r="A20" s="39"/>
    </row>
    <row r="21" spans="1:8">
      <c r="A21" s="39"/>
    </row>
    <row r="22" spans="1:8">
      <c r="A22" s="39"/>
    </row>
    <row r="23" spans="1:8">
      <c r="A23" s="39"/>
    </row>
    <row r="24" spans="1:8">
      <c r="A24" s="39"/>
    </row>
    <row r="25" spans="1:8">
      <c r="A25" s="39"/>
    </row>
    <row r="26" spans="1:8">
      <c r="A26" s="39"/>
    </row>
    <row r="27" spans="1:8">
      <c r="A27" s="39"/>
    </row>
    <row r="28" spans="1:8">
      <c r="A28" s="39"/>
    </row>
    <row r="29" spans="1:8">
      <c r="A29" s="39"/>
    </row>
    <row r="30" spans="1:8">
      <c r="A30" s="39"/>
    </row>
    <row r="31" spans="1:8">
      <c r="A31" s="39"/>
    </row>
    <row r="32" spans="1:8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  <row r="159" spans="1:1">
      <c r="A159" s="39"/>
    </row>
    <row r="160" spans="1:1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I28"/>
  <sheetViews>
    <sheetView view="pageBreakPreview" zoomScale="75" zoomScaleNormal="75" zoomScaleSheetLayoutView="70" workbookViewId="0">
      <selection activeCell="E2" sqref="E2"/>
    </sheetView>
  </sheetViews>
  <sheetFormatPr defaultRowHeight="20.25"/>
  <cols>
    <col min="1" max="1" width="87.28515625" style="55" customWidth="1"/>
    <col min="2" max="2" width="16.5703125" style="55" customWidth="1"/>
    <col min="3" max="3" width="19.7109375" style="55" customWidth="1"/>
    <col min="4" max="4" width="20" style="179" customWidth="1"/>
    <col min="5" max="5" width="19.7109375" style="179" customWidth="1"/>
    <col min="6" max="6" width="39" style="55" customWidth="1"/>
    <col min="7" max="7" width="9.5703125" style="55" customWidth="1"/>
    <col min="8" max="8" width="9.140625" style="55"/>
    <col min="9" max="9" width="27.140625" style="55" customWidth="1"/>
    <col min="10" max="16384" width="9.140625" style="55"/>
  </cols>
  <sheetData>
    <row r="1" spans="1:6" ht="19.5" customHeight="1">
      <c r="A1" s="335" t="s">
        <v>377</v>
      </c>
      <c r="B1" s="335"/>
      <c r="C1" s="335"/>
      <c r="D1" s="335"/>
      <c r="E1" s="335"/>
      <c r="F1" s="335"/>
    </row>
    <row r="2" spans="1:6" ht="24" customHeight="1"/>
    <row r="3" spans="1:6" ht="36" customHeight="1">
      <c r="A3" s="336" t="s">
        <v>287</v>
      </c>
      <c r="B3" s="336" t="s">
        <v>0</v>
      </c>
      <c r="C3" s="336" t="s">
        <v>100</v>
      </c>
      <c r="D3" s="331" t="s">
        <v>355</v>
      </c>
      <c r="E3" s="338" t="s">
        <v>353</v>
      </c>
      <c r="F3" s="336" t="s">
        <v>322</v>
      </c>
    </row>
    <row r="4" spans="1:6" ht="36" customHeight="1">
      <c r="A4" s="337"/>
      <c r="B4" s="337"/>
      <c r="C4" s="337"/>
      <c r="D4" s="331"/>
      <c r="E4" s="339"/>
      <c r="F4" s="337"/>
    </row>
    <row r="5" spans="1:6" ht="20.25" customHeight="1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</row>
    <row r="6" spans="1:6">
      <c r="A6" s="340" t="s">
        <v>190</v>
      </c>
      <c r="B6" s="341"/>
      <c r="C6" s="341"/>
      <c r="D6" s="341"/>
      <c r="E6" s="341"/>
      <c r="F6" s="342"/>
    </row>
    <row r="7" spans="1:6" ht="63.75" customHeight="1">
      <c r="A7" s="35" t="s">
        <v>349</v>
      </c>
      <c r="B7" s="246">
        <v>5000</v>
      </c>
      <c r="C7" s="57" t="s">
        <v>340</v>
      </c>
      <c r="D7" s="263">
        <f>'1. Фін результат'!C57/'1. Фін результат'!C9</f>
        <v>6.0223141926448141E-2</v>
      </c>
      <c r="E7" s="263">
        <f>'1. Фін результат'!E57/'1. Фін результат'!E9</f>
        <v>7.4113797491365208E-2</v>
      </c>
      <c r="F7" s="58"/>
    </row>
    <row r="8" spans="1:6" ht="63.75" customHeight="1">
      <c r="A8" s="35" t="s">
        <v>350</v>
      </c>
      <c r="B8" s="246">
        <v>5010</v>
      </c>
      <c r="C8" s="57" t="s">
        <v>340</v>
      </c>
      <c r="D8" s="263">
        <f>'1. Фін результат'!C170/'1. Фін результат'!C9</f>
        <v>9.2545674854831853E-2</v>
      </c>
      <c r="E8" s="263">
        <f>'1. Фін результат'!E170/'1. Фін результат'!E9</f>
        <v>5.4371932375931652E-2</v>
      </c>
      <c r="F8" s="58"/>
    </row>
    <row r="9" spans="1:6" ht="60.75" customHeight="1">
      <c r="A9" s="59" t="s">
        <v>501</v>
      </c>
      <c r="B9" s="246">
        <v>5020</v>
      </c>
      <c r="C9" s="57" t="s">
        <v>340</v>
      </c>
      <c r="D9" s="264">
        <f>'1. Фін результат'!C154/'фінплан - зведені показники'!C70</f>
        <v>2.9598852027157268E-3</v>
      </c>
      <c r="E9" s="265">
        <f>'1. Фін результат'!E154/'фінплан - зведені показники'!E70</f>
        <v>9.2949629750641494E-5</v>
      </c>
      <c r="F9" s="58" t="s">
        <v>341</v>
      </c>
    </row>
    <row r="10" spans="1:6" ht="63.75" customHeight="1">
      <c r="A10" s="59" t="s">
        <v>502</v>
      </c>
      <c r="B10" s="246">
        <v>5030</v>
      </c>
      <c r="C10" s="57" t="s">
        <v>340</v>
      </c>
      <c r="D10" s="264">
        <f>'1. Фін результат'!C154/'фінплан - зведені показники'!C76</f>
        <v>3.1335878901112856E-3</v>
      </c>
      <c r="E10" s="265">
        <f>'1. Фін результат'!E154/'фінплан - зведені показники'!E76</f>
        <v>1.0820594542485589E-4</v>
      </c>
      <c r="F10" s="58"/>
    </row>
    <row r="11" spans="1:6" ht="68.25" customHeight="1">
      <c r="A11" s="59" t="s">
        <v>503</v>
      </c>
      <c r="B11" s="246">
        <v>5040</v>
      </c>
      <c r="C11" s="57" t="s">
        <v>101</v>
      </c>
      <c r="D11" s="264">
        <f>'1. Фін результат'!C154/'1. Фін результат'!C9</f>
        <v>1.0873841408721104E-2</v>
      </c>
      <c r="E11" s="265">
        <f>'1. Фін результат'!E154/'1. Фін результат'!E9</f>
        <v>5.9989092892201413E-4</v>
      </c>
      <c r="F11" s="58" t="s">
        <v>342</v>
      </c>
    </row>
    <row r="12" spans="1:6" ht="42.75" customHeight="1">
      <c r="A12" s="340" t="s">
        <v>192</v>
      </c>
      <c r="B12" s="341"/>
      <c r="C12" s="341"/>
      <c r="D12" s="341"/>
      <c r="E12" s="341"/>
      <c r="F12" s="342"/>
    </row>
    <row r="13" spans="1:6" ht="82.5" customHeight="1">
      <c r="A13" s="58" t="s">
        <v>333</v>
      </c>
      <c r="B13" s="246">
        <v>5100</v>
      </c>
      <c r="C13" s="57"/>
      <c r="D13" s="266">
        <f>'фінплан - зведені показники'!C71+'фінплан - зведені показники'!C72/'фінплан - зведені показники'!C38</f>
        <v>1088.0158136371365</v>
      </c>
      <c r="E13" s="266">
        <f>'фінплан - зведені показники'!E71+'фінплан - зведені показники'!E72/'фінплан - зведені показники'!E38</f>
        <v>1174.0802407221665</v>
      </c>
      <c r="F13" s="58"/>
    </row>
    <row r="14" spans="1:6" ht="128.25" customHeight="1">
      <c r="A14" s="58" t="s">
        <v>329</v>
      </c>
      <c r="B14" s="246">
        <v>5110</v>
      </c>
      <c r="C14" s="57" t="s">
        <v>177</v>
      </c>
      <c r="D14" s="266">
        <f>'фінплан - зведені показники'!C76/'фінплан - зведені показники'!C72</f>
        <v>18.600927878532264</v>
      </c>
      <c r="E14" s="266">
        <f>'фінплан - зведені показники'!E76/'фінплан - зведені показники'!E72</f>
        <v>33.10257245197004</v>
      </c>
      <c r="F14" s="58" t="s">
        <v>343</v>
      </c>
    </row>
    <row r="15" spans="1:6" ht="171.75" customHeight="1">
      <c r="A15" s="58" t="s">
        <v>330</v>
      </c>
      <c r="B15" s="246">
        <v>5120</v>
      </c>
      <c r="C15" s="57" t="s">
        <v>177</v>
      </c>
      <c r="D15" s="266">
        <f>'фінплан - зведені показники'!C68/'фінплан - зведені показники'!C72</f>
        <v>3.5878532264867147</v>
      </c>
      <c r="E15" s="266">
        <f>'фінплан - зведені показники'!E68/'фінплан - зведені показники'!E72</f>
        <v>4.3061977640290889</v>
      </c>
      <c r="F15" s="58" t="s">
        <v>345</v>
      </c>
    </row>
    <row r="16" spans="1:6" ht="36.75" customHeight="1">
      <c r="A16" s="340" t="s">
        <v>191</v>
      </c>
      <c r="B16" s="341"/>
      <c r="C16" s="341"/>
      <c r="D16" s="341"/>
      <c r="E16" s="341"/>
      <c r="F16" s="342"/>
    </row>
    <row r="17" spans="1:9" ht="48" customHeight="1">
      <c r="A17" s="58" t="s">
        <v>331</v>
      </c>
      <c r="B17" s="246">
        <v>5200</v>
      </c>
      <c r="C17" s="57"/>
      <c r="D17" s="266">
        <f>'4. Кап. інвестиції'!C6/'1. Фін результат'!C177</f>
        <v>0</v>
      </c>
      <c r="E17" s="266">
        <f>'4. Кап. інвестиції'!E6/'1. Фін результат'!E177</f>
        <v>0.72387005649717528</v>
      </c>
      <c r="F17" s="58"/>
    </row>
    <row r="18" spans="1:9" ht="81" customHeight="1">
      <c r="A18" s="58" t="s">
        <v>362</v>
      </c>
      <c r="B18" s="246">
        <v>5210</v>
      </c>
      <c r="C18" s="57"/>
      <c r="D18" s="266">
        <f>'4. Кап. інвестиції'!C6/'фінплан - зведені показники'!C31</f>
        <v>0</v>
      </c>
      <c r="E18" s="266">
        <f>'4. Кап. інвестиції'!E6/'фінплан - зведені показники'!E31</f>
        <v>2.1738471793007336E-2</v>
      </c>
      <c r="F18" s="58"/>
    </row>
    <row r="19" spans="1:9" ht="65.25" customHeight="1">
      <c r="A19" s="58" t="s">
        <v>351</v>
      </c>
      <c r="B19" s="246">
        <v>5220</v>
      </c>
      <c r="C19" s="57" t="s">
        <v>340</v>
      </c>
      <c r="D19" s="266">
        <f>106422/297363</f>
        <v>0.35788581632550115</v>
      </c>
      <c r="E19" s="266">
        <f>137637/413322</f>
        <v>0.33300187263199155</v>
      </c>
      <c r="F19" s="58" t="s">
        <v>344</v>
      </c>
    </row>
    <row r="20" spans="1:9" ht="35.25" customHeight="1">
      <c r="A20" s="340" t="s">
        <v>332</v>
      </c>
      <c r="B20" s="341"/>
      <c r="C20" s="341"/>
      <c r="D20" s="341"/>
      <c r="E20" s="341"/>
      <c r="F20" s="342"/>
    </row>
    <row r="21" spans="1:9" ht="110.25" customHeight="1">
      <c r="A21" s="59" t="s">
        <v>352</v>
      </c>
      <c r="B21" s="246">
        <v>5300</v>
      </c>
      <c r="C21" s="57"/>
      <c r="D21" s="267"/>
      <c r="E21" s="267"/>
      <c r="F21" s="60"/>
    </row>
    <row r="22" spans="1:9" ht="124.5" customHeight="1"/>
    <row r="23" spans="1:9" s="24" customFormat="1" ht="20.100000000000001" customHeight="1">
      <c r="A23" s="126" t="s">
        <v>614</v>
      </c>
      <c r="B23" s="123"/>
      <c r="D23" s="161"/>
      <c r="E23" s="300" t="s">
        <v>615</v>
      </c>
      <c r="F23" s="300"/>
    </row>
    <row r="24" spans="1:9" s="38" customFormat="1" ht="20.100000000000001" customHeight="1">
      <c r="A24" s="30" t="s">
        <v>388</v>
      </c>
      <c r="B24" s="300" t="s">
        <v>78</v>
      </c>
      <c r="C24" s="300"/>
      <c r="D24" s="300"/>
      <c r="E24" s="300" t="s">
        <v>326</v>
      </c>
      <c r="F24" s="300"/>
      <c r="G24" s="24"/>
    </row>
    <row r="26" spans="1:9">
      <c r="I26" s="22"/>
    </row>
    <row r="27" spans="1:9" s="116" customFormat="1" ht="24">
      <c r="A27" s="327"/>
      <c r="B27" s="327"/>
      <c r="C27" s="327"/>
      <c r="D27" s="327"/>
      <c r="E27" s="327"/>
      <c r="F27" s="327"/>
      <c r="G27" s="327"/>
      <c r="H27" s="327"/>
    </row>
    <row r="28" spans="1:9" s="38" customFormat="1">
      <c r="A28" s="30"/>
      <c r="B28" s="24"/>
      <c r="C28" s="300"/>
      <c r="D28" s="300"/>
      <c r="E28" s="161"/>
      <c r="F28" s="28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O92"/>
  <sheetViews>
    <sheetView view="pageBreakPreview" topLeftCell="A3" zoomScale="55" zoomScaleNormal="75" zoomScaleSheetLayoutView="55" workbookViewId="0">
      <selection activeCell="A6" sqref="A6:O6"/>
    </sheetView>
  </sheetViews>
  <sheetFormatPr defaultRowHeight="20.25" outlineLevelRow="1"/>
  <cols>
    <col min="1" max="1" width="44.85546875" style="180" customWidth="1"/>
    <col min="2" max="2" width="13.5703125" style="225" customWidth="1"/>
    <col min="3" max="3" width="18.5703125" style="180" customWidth="1"/>
    <col min="4" max="4" width="16.140625" style="180" customWidth="1"/>
    <col min="5" max="5" width="15.42578125" style="180" customWidth="1"/>
    <col min="6" max="6" width="16.5703125" style="180" customWidth="1"/>
    <col min="7" max="7" width="15.28515625" style="180" customWidth="1"/>
    <col min="8" max="8" width="16.5703125" style="180" customWidth="1"/>
    <col min="9" max="9" width="16.140625" style="180" customWidth="1"/>
    <col min="10" max="10" width="16.42578125" style="180" customWidth="1"/>
    <col min="11" max="11" width="16.5703125" style="180" customWidth="1"/>
    <col min="12" max="12" width="16.85546875" style="180" customWidth="1"/>
    <col min="13" max="13" width="14.85546875" style="180" customWidth="1"/>
    <col min="14" max="14" width="16.7109375" style="180" customWidth="1"/>
    <col min="15" max="15" width="14.42578125" style="180" customWidth="1"/>
    <col min="16" max="16384" width="9.140625" style="38"/>
  </cols>
  <sheetData>
    <row r="1" spans="1:15" ht="18.75" hidden="1" customHeight="1" outlineLevel="1">
      <c r="N1" s="344" t="s">
        <v>241</v>
      </c>
      <c r="O1" s="344"/>
    </row>
    <row r="2" spans="1:15" hidden="1" outlineLevel="1">
      <c r="N2" s="344" t="s">
        <v>261</v>
      </c>
      <c r="O2" s="344"/>
    </row>
    <row r="3" spans="1:15" collapsed="1">
      <c r="A3" s="345" t="s">
        <v>604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5" ht="3.75" customHeight="1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15">
      <c r="A5" s="346" t="s">
        <v>540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6" spans="1:15" ht="17.25" customHeight="1">
      <c r="A6" s="322" t="s">
        <v>134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</row>
    <row r="7" spans="1:15" ht="24.95" customHeight="1">
      <c r="A7" s="346" t="s">
        <v>378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</row>
    <row r="8" spans="1:15" ht="84.75" customHeight="1">
      <c r="A8" s="347" t="s">
        <v>613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</row>
    <row r="9" spans="1:15" ht="42.75" customHeight="1">
      <c r="B9" s="180"/>
    </row>
    <row r="10" spans="1:15" s="24" customFormat="1" ht="40.5" customHeight="1">
      <c r="A10" s="246" t="s">
        <v>287</v>
      </c>
      <c r="B10" s="331" t="s">
        <v>136</v>
      </c>
      <c r="C10" s="331"/>
      <c r="D10" s="331" t="s">
        <v>31</v>
      </c>
      <c r="E10" s="331"/>
      <c r="F10" s="331" t="s">
        <v>323</v>
      </c>
      <c r="G10" s="331"/>
      <c r="H10" s="331" t="s">
        <v>324</v>
      </c>
      <c r="I10" s="331"/>
      <c r="J10" s="331" t="s">
        <v>325</v>
      </c>
      <c r="K10" s="331"/>
      <c r="L10" s="331" t="s">
        <v>292</v>
      </c>
      <c r="M10" s="331"/>
      <c r="N10" s="331" t="s">
        <v>293</v>
      </c>
      <c r="O10" s="331"/>
    </row>
    <row r="11" spans="1:15" s="24" customFormat="1" ht="17.25" customHeight="1">
      <c r="A11" s="246">
        <v>1</v>
      </c>
      <c r="B11" s="349">
        <v>2</v>
      </c>
      <c r="C11" s="350"/>
      <c r="D11" s="349">
        <v>3</v>
      </c>
      <c r="E11" s="350"/>
      <c r="F11" s="349">
        <v>4</v>
      </c>
      <c r="G11" s="350"/>
      <c r="H11" s="349">
        <v>5</v>
      </c>
      <c r="I11" s="350"/>
      <c r="J11" s="349">
        <v>6</v>
      </c>
      <c r="K11" s="350"/>
      <c r="L11" s="349">
        <v>7</v>
      </c>
      <c r="M11" s="350"/>
      <c r="N11" s="331">
        <v>8</v>
      </c>
      <c r="O11" s="331"/>
    </row>
    <row r="12" spans="1:15" s="24" customFormat="1">
      <c r="A12" s="360" t="s">
        <v>135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2"/>
    </row>
    <row r="13" spans="1:15" s="24" customFormat="1" ht="20.100000000000001" customHeight="1">
      <c r="A13" s="35" t="s">
        <v>294</v>
      </c>
      <c r="B13" s="343">
        <v>18</v>
      </c>
      <c r="C13" s="343"/>
      <c r="D13" s="343">
        <v>16</v>
      </c>
      <c r="E13" s="343"/>
      <c r="F13" s="343">
        <v>18</v>
      </c>
      <c r="G13" s="343"/>
      <c r="H13" s="343">
        <v>18</v>
      </c>
      <c r="I13" s="343"/>
      <c r="J13" s="343">
        <v>16</v>
      </c>
      <c r="K13" s="343"/>
      <c r="L13" s="343">
        <f t="shared" ref="L13:L18" si="0">J13-H13</f>
        <v>-2</v>
      </c>
      <c r="M13" s="343"/>
      <c r="N13" s="351">
        <f t="shared" ref="N13:N18" si="1">J13/H13*100</f>
        <v>88.888888888888886</v>
      </c>
      <c r="O13" s="351"/>
    </row>
    <row r="14" spans="1:15" s="24" customFormat="1" ht="20.100000000000001" customHeight="1">
      <c r="A14" s="35" t="s">
        <v>295</v>
      </c>
      <c r="B14" s="343">
        <v>17</v>
      </c>
      <c r="C14" s="343"/>
      <c r="D14" s="343">
        <v>18</v>
      </c>
      <c r="E14" s="343"/>
      <c r="F14" s="343">
        <v>17</v>
      </c>
      <c r="G14" s="343"/>
      <c r="H14" s="343">
        <v>17</v>
      </c>
      <c r="I14" s="343"/>
      <c r="J14" s="343">
        <v>17</v>
      </c>
      <c r="K14" s="343"/>
      <c r="L14" s="343">
        <f t="shared" si="0"/>
        <v>0</v>
      </c>
      <c r="M14" s="343"/>
      <c r="N14" s="351">
        <f t="shared" si="1"/>
        <v>100</v>
      </c>
      <c r="O14" s="351"/>
    </row>
    <row r="15" spans="1:15" s="24" customFormat="1" ht="20.100000000000001" customHeight="1">
      <c r="A15" s="35" t="s">
        <v>296</v>
      </c>
      <c r="B15" s="343">
        <v>2</v>
      </c>
      <c r="C15" s="343"/>
      <c r="D15" s="343">
        <v>2</v>
      </c>
      <c r="E15" s="343"/>
      <c r="F15" s="343">
        <v>2</v>
      </c>
      <c r="G15" s="343"/>
      <c r="H15" s="343">
        <v>2</v>
      </c>
      <c r="I15" s="343"/>
      <c r="J15" s="343">
        <v>2</v>
      </c>
      <c r="K15" s="343"/>
      <c r="L15" s="343">
        <f t="shared" si="0"/>
        <v>0</v>
      </c>
      <c r="M15" s="343"/>
      <c r="N15" s="351">
        <f t="shared" si="1"/>
        <v>100</v>
      </c>
      <c r="O15" s="351"/>
    </row>
    <row r="16" spans="1:15" s="24" customFormat="1" ht="20.100000000000001" customHeight="1">
      <c r="A16" s="35" t="s">
        <v>297</v>
      </c>
      <c r="B16" s="343">
        <v>3</v>
      </c>
      <c r="C16" s="343"/>
      <c r="D16" s="343">
        <v>2</v>
      </c>
      <c r="E16" s="343"/>
      <c r="F16" s="343">
        <v>3</v>
      </c>
      <c r="G16" s="343"/>
      <c r="H16" s="343">
        <v>3</v>
      </c>
      <c r="I16" s="343"/>
      <c r="J16" s="343">
        <v>2</v>
      </c>
      <c r="K16" s="343"/>
      <c r="L16" s="343">
        <f t="shared" si="0"/>
        <v>-1</v>
      </c>
      <c r="M16" s="343"/>
      <c r="N16" s="351">
        <f t="shared" si="1"/>
        <v>66.666666666666657</v>
      </c>
      <c r="O16" s="351"/>
    </row>
    <row r="17" spans="1:15" s="24" customFormat="1" ht="20.100000000000001" customHeight="1">
      <c r="A17" s="35" t="s">
        <v>298</v>
      </c>
      <c r="B17" s="343">
        <v>100</v>
      </c>
      <c r="C17" s="343"/>
      <c r="D17" s="343">
        <v>71</v>
      </c>
      <c r="E17" s="343"/>
      <c r="F17" s="343">
        <v>101</v>
      </c>
      <c r="G17" s="343"/>
      <c r="H17" s="343">
        <v>101</v>
      </c>
      <c r="I17" s="343"/>
      <c r="J17" s="343">
        <v>74</v>
      </c>
      <c r="K17" s="343"/>
      <c r="L17" s="343">
        <f t="shared" si="0"/>
        <v>-27</v>
      </c>
      <c r="M17" s="343"/>
      <c r="N17" s="351">
        <f t="shared" si="1"/>
        <v>73.267326732673268</v>
      </c>
      <c r="O17" s="351"/>
    </row>
    <row r="18" spans="1:15" s="24" customFormat="1" ht="20.100000000000001" customHeight="1">
      <c r="A18" s="35" t="s">
        <v>299</v>
      </c>
      <c r="B18" s="343">
        <v>17</v>
      </c>
      <c r="C18" s="343"/>
      <c r="D18" s="343">
        <v>18</v>
      </c>
      <c r="E18" s="343"/>
      <c r="F18" s="343">
        <v>17</v>
      </c>
      <c r="G18" s="343"/>
      <c r="H18" s="343">
        <v>17</v>
      </c>
      <c r="I18" s="343"/>
      <c r="J18" s="343">
        <v>18</v>
      </c>
      <c r="K18" s="343"/>
      <c r="L18" s="343">
        <f t="shared" si="0"/>
        <v>1</v>
      </c>
      <c r="M18" s="343"/>
      <c r="N18" s="351">
        <f t="shared" si="1"/>
        <v>105.88235294117648</v>
      </c>
      <c r="O18" s="351"/>
    </row>
    <row r="19" spans="1:15" s="24" customFormat="1">
      <c r="A19" s="360" t="s">
        <v>364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2"/>
    </row>
    <row r="20" spans="1:15" s="24" customFormat="1" ht="20.100000000000001" customHeight="1">
      <c r="A20" s="35" t="s">
        <v>617</v>
      </c>
      <c r="B20" s="349">
        <v>356</v>
      </c>
      <c r="C20" s="350"/>
      <c r="D20" s="358"/>
      <c r="E20" s="359"/>
      <c r="F20" s="343">
        <v>404</v>
      </c>
      <c r="G20" s="343"/>
      <c r="H20" s="343">
        <f>F20/12*6</f>
        <v>202</v>
      </c>
      <c r="I20" s="343"/>
      <c r="J20" s="343">
        <v>221</v>
      </c>
      <c r="K20" s="343"/>
      <c r="L20" s="343">
        <f>J20-H20</f>
        <v>19</v>
      </c>
      <c r="M20" s="343"/>
      <c r="N20" s="351">
        <f>J20/H20*100</f>
        <v>109.40594059405942</v>
      </c>
      <c r="O20" s="351"/>
    </row>
    <row r="21" spans="1:15" s="24" customFormat="1" ht="40.5" customHeight="1">
      <c r="A21" s="35" t="s">
        <v>300</v>
      </c>
      <c r="B21" s="349">
        <v>4370</v>
      </c>
      <c r="C21" s="350"/>
      <c r="D21" s="358">
        <v>2022</v>
      </c>
      <c r="E21" s="359"/>
      <c r="F21" s="343">
        <v>4642</v>
      </c>
      <c r="G21" s="343"/>
      <c r="H21" s="343">
        <f>F21/12*6</f>
        <v>2321</v>
      </c>
      <c r="I21" s="343"/>
      <c r="J21" s="343">
        <f>'1. Фін результат'!E77-'6.1. Інша інфо_1'!J20:K20</f>
        <v>2141</v>
      </c>
      <c r="K21" s="343"/>
      <c r="L21" s="343">
        <f>J21-H21</f>
        <v>-180</v>
      </c>
      <c r="M21" s="343"/>
      <c r="N21" s="351">
        <f>J21/H21*100</f>
        <v>92.244722102542013</v>
      </c>
      <c r="O21" s="351"/>
    </row>
    <row r="22" spans="1:15" s="24" customFormat="1" ht="20.100000000000001" customHeight="1">
      <c r="A22" s="35" t="s">
        <v>301</v>
      </c>
      <c r="B22" s="349">
        <v>19345</v>
      </c>
      <c r="C22" s="350"/>
      <c r="D22" s="358">
        <v>7848</v>
      </c>
      <c r="E22" s="359"/>
      <c r="F22" s="343">
        <v>19800</v>
      </c>
      <c r="G22" s="343"/>
      <c r="H22" s="343">
        <f>F22/12*6</f>
        <v>9900</v>
      </c>
      <c r="I22" s="343"/>
      <c r="J22" s="343">
        <f>'1. Фін результат'!E17</f>
        <v>7666</v>
      </c>
      <c r="K22" s="343"/>
      <c r="L22" s="343">
        <f>J22-H22</f>
        <v>-2234</v>
      </c>
      <c r="M22" s="343"/>
      <c r="N22" s="351">
        <f>J22/H22*100</f>
        <v>77.434343434343432</v>
      </c>
      <c r="O22" s="351"/>
    </row>
    <row r="23" spans="1:15" s="24" customFormat="1">
      <c r="A23" s="360" t="s">
        <v>334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2"/>
    </row>
    <row r="24" spans="1:15" s="24" customFormat="1" ht="20.100000000000001" customHeight="1">
      <c r="A24" s="35" t="s">
        <v>617</v>
      </c>
      <c r="B24" s="387">
        <f>B20*1.22</f>
        <v>434.32</v>
      </c>
      <c r="C24" s="387"/>
      <c r="D24" s="343">
        <f>D20*1.22</f>
        <v>0</v>
      </c>
      <c r="E24" s="343"/>
      <c r="F24" s="343">
        <v>492</v>
      </c>
      <c r="G24" s="343"/>
      <c r="H24" s="343">
        <f>H20*1.22</f>
        <v>246.44</v>
      </c>
      <c r="I24" s="343"/>
      <c r="J24" s="343">
        <f>J20*1.22</f>
        <v>269.62</v>
      </c>
      <c r="K24" s="343"/>
      <c r="L24" s="343">
        <f>J24-H24</f>
        <v>23.180000000000007</v>
      </c>
      <c r="M24" s="343"/>
      <c r="N24" s="351">
        <f>J24/H24*100</f>
        <v>109.40594059405942</v>
      </c>
      <c r="O24" s="351"/>
    </row>
    <row r="25" spans="1:15" s="24" customFormat="1" ht="42.75" customHeight="1">
      <c r="A25" s="35" t="s">
        <v>300</v>
      </c>
      <c r="B25" s="387">
        <v>5250</v>
      </c>
      <c r="C25" s="387"/>
      <c r="D25" s="343">
        <v>2669</v>
      </c>
      <c r="E25" s="343"/>
      <c r="F25" s="343">
        <v>5598</v>
      </c>
      <c r="G25" s="343"/>
      <c r="H25" s="343">
        <f>H21*1.22</f>
        <v>2831.62</v>
      </c>
      <c r="I25" s="343"/>
      <c r="J25" s="343">
        <f>'1. Фін результат'!E77-'6.1. Інша інфо_1'!J24:K24+'1. Фін результат'!E78</f>
        <v>2545.38</v>
      </c>
      <c r="K25" s="343"/>
      <c r="L25" s="343">
        <f>J25-H25</f>
        <v>-286.23999999999978</v>
      </c>
      <c r="M25" s="343"/>
      <c r="N25" s="351">
        <f>J25/H25*100</f>
        <v>89.891298973732361</v>
      </c>
      <c r="O25" s="351"/>
    </row>
    <row r="26" spans="1:15" s="24" customFormat="1" ht="20.100000000000001" customHeight="1">
      <c r="A26" s="35" t="s">
        <v>301</v>
      </c>
      <c r="B26" s="387">
        <v>23520</v>
      </c>
      <c r="C26" s="387"/>
      <c r="D26" s="343">
        <v>10412</v>
      </c>
      <c r="E26" s="343"/>
      <c r="F26" s="343">
        <v>24024</v>
      </c>
      <c r="G26" s="343"/>
      <c r="H26" s="343">
        <f>F26/12*6-32</f>
        <v>11980</v>
      </c>
      <c r="I26" s="343"/>
      <c r="J26" s="343">
        <f>'1. Фін результат'!E17+'1. Фін результат'!E18</f>
        <v>9483</v>
      </c>
      <c r="K26" s="343"/>
      <c r="L26" s="343">
        <f>J26-H26</f>
        <v>-2497</v>
      </c>
      <c r="M26" s="343"/>
      <c r="N26" s="351">
        <f>J26/H26*100</f>
        <v>79.156928213689483</v>
      </c>
      <c r="O26" s="351"/>
    </row>
    <row r="27" spans="1:15" s="24" customFormat="1">
      <c r="A27" s="360" t="s">
        <v>302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2"/>
    </row>
    <row r="28" spans="1:15" s="24" customFormat="1" ht="20.100000000000001" customHeight="1">
      <c r="A28" s="35" t="s">
        <v>617</v>
      </c>
      <c r="B28" s="331">
        <v>29698</v>
      </c>
      <c r="C28" s="331"/>
      <c r="D28" s="343">
        <f>D20/12*1000</f>
        <v>0</v>
      </c>
      <c r="E28" s="343"/>
      <c r="F28" s="343">
        <v>33640</v>
      </c>
      <c r="G28" s="343"/>
      <c r="H28" s="343">
        <f>H20/6*1000</f>
        <v>33666.666666666664</v>
      </c>
      <c r="I28" s="343"/>
      <c r="J28" s="343">
        <f>J20/6*1000</f>
        <v>36833.333333333336</v>
      </c>
      <c r="K28" s="343"/>
      <c r="L28" s="343">
        <f>J28-H28</f>
        <v>3166.6666666666715</v>
      </c>
      <c r="M28" s="343"/>
      <c r="N28" s="351">
        <f>J28/H28*100</f>
        <v>109.40594059405942</v>
      </c>
      <c r="O28" s="351"/>
    </row>
    <row r="29" spans="1:15" s="24" customFormat="1" ht="45" customHeight="1">
      <c r="A29" s="35" t="s">
        <v>300</v>
      </c>
      <c r="B29" s="331">
        <v>17717</v>
      </c>
      <c r="C29" s="331"/>
      <c r="D29" s="343">
        <v>21063</v>
      </c>
      <c r="E29" s="343"/>
      <c r="F29" s="343">
        <v>18175</v>
      </c>
      <c r="G29" s="343"/>
      <c r="H29" s="343">
        <f>H21/21/6*1000</f>
        <v>18420.634920634922</v>
      </c>
      <c r="I29" s="343"/>
      <c r="J29" s="343">
        <f>J21/21/6*1000</f>
        <v>16992.063492063491</v>
      </c>
      <c r="K29" s="343"/>
      <c r="L29" s="343">
        <f>J29-H29</f>
        <v>-1428.5714285714312</v>
      </c>
      <c r="M29" s="343"/>
      <c r="N29" s="351">
        <f>J29/H29*100</f>
        <v>92.244722102541999</v>
      </c>
      <c r="O29" s="351"/>
    </row>
    <row r="30" spans="1:15" s="24" customFormat="1" ht="20.100000000000001" customHeight="1">
      <c r="A30" s="35" t="s">
        <v>301</v>
      </c>
      <c r="B30" s="331">
        <v>8469</v>
      </c>
      <c r="C30" s="331"/>
      <c r="D30" s="343">
        <v>11784</v>
      </c>
      <c r="E30" s="343"/>
      <c r="F30" s="343">
        <v>10748</v>
      </c>
      <c r="G30" s="343"/>
      <c r="H30" s="343">
        <f>H22/136/6*1000</f>
        <v>12132.35294117647</v>
      </c>
      <c r="I30" s="343"/>
      <c r="J30" s="343">
        <f>J22/107/6*1000</f>
        <v>11940.809968847352</v>
      </c>
      <c r="K30" s="343"/>
      <c r="L30" s="343">
        <f>J30-H30</f>
        <v>-191.54297232911813</v>
      </c>
      <c r="M30" s="343"/>
      <c r="N30" s="351">
        <f>J30/H30*100</f>
        <v>98.421221561408473</v>
      </c>
      <c r="O30" s="351"/>
    </row>
    <row r="31" spans="1:15" s="24" customFormat="1" ht="42.75" customHeight="1">
      <c r="A31" s="360" t="s">
        <v>303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2"/>
    </row>
    <row r="32" spans="1:15" s="24" customFormat="1" ht="20.100000000000001" customHeight="1">
      <c r="A32" s="35" t="s">
        <v>617</v>
      </c>
      <c r="B32" s="387">
        <v>29698</v>
      </c>
      <c r="C32" s="387"/>
      <c r="D32" s="343">
        <f>D28</f>
        <v>0</v>
      </c>
      <c r="E32" s="343"/>
      <c r="F32" s="343">
        <v>33640</v>
      </c>
      <c r="G32" s="343"/>
      <c r="H32" s="343">
        <f>H28</f>
        <v>33666.666666666664</v>
      </c>
      <c r="I32" s="343"/>
      <c r="J32" s="343">
        <f>J28</f>
        <v>36833.333333333336</v>
      </c>
      <c r="K32" s="343"/>
      <c r="L32" s="343">
        <f>J32-H32</f>
        <v>3166.6666666666715</v>
      </c>
      <c r="M32" s="343"/>
      <c r="N32" s="351">
        <f>J32/H32*100</f>
        <v>109.40594059405942</v>
      </c>
      <c r="O32" s="351"/>
    </row>
    <row r="33" spans="1:15" s="24" customFormat="1" ht="35.25" customHeight="1">
      <c r="A33" s="35" t="s">
        <v>300</v>
      </c>
      <c r="B33" s="387">
        <v>24275</v>
      </c>
      <c r="C33" s="387"/>
      <c r="D33" s="343">
        <f>D29</f>
        <v>21063</v>
      </c>
      <c r="E33" s="343"/>
      <c r="F33" s="343">
        <v>18421</v>
      </c>
      <c r="G33" s="343"/>
      <c r="H33" s="343">
        <f>H29</f>
        <v>18420.634920634922</v>
      </c>
      <c r="I33" s="343"/>
      <c r="J33" s="343">
        <f>J29</f>
        <v>16992.063492063491</v>
      </c>
      <c r="K33" s="343"/>
      <c r="L33" s="343">
        <f>J33-H33</f>
        <v>-1428.5714285714312</v>
      </c>
      <c r="M33" s="343"/>
      <c r="N33" s="351">
        <f>J33/H33*100</f>
        <v>92.244722102541999</v>
      </c>
      <c r="O33" s="351"/>
    </row>
    <row r="34" spans="1:15" s="24" customFormat="1" ht="20.100000000000001" customHeight="1">
      <c r="A34" s="35" t="s">
        <v>301</v>
      </c>
      <c r="B34" s="387">
        <v>11433</v>
      </c>
      <c r="C34" s="387"/>
      <c r="D34" s="343">
        <f>D30</f>
        <v>11784</v>
      </c>
      <c r="E34" s="343"/>
      <c r="F34" s="343">
        <v>12222</v>
      </c>
      <c r="G34" s="343"/>
      <c r="H34" s="343">
        <f>H30</f>
        <v>12132.35294117647</v>
      </c>
      <c r="I34" s="343"/>
      <c r="J34" s="343">
        <f>J30</f>
        <v>11940.809968847352</v>
      </c>
      <c r="K34" s="343"/>
      <c r="L34" s="343">
        <f>J34-H34</f>
        <v>-191.54297232911813</v>
      </c>
      <c r="M34" s="343"/>
      <c r="N34" s="351">
        <f>J34/H34*100</f>
        <v>98.421221561408473</v>
      </c>
      <c r="O34" s="351"/>
    </row>
    <row r="35" spans="1:15" s="24" customFormat="1" ht="7.5" customHeight="1">
      <c r="A35" s="182"/>
      <c r="B35" s="182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4"/>
      <c r="O35" s="184"/>
    </row>
    <row r="36" spans="1:15" ht="22.5" customHeight="1">
      <c r="A36" s="356" t="s">
        <v>347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</row>
    <row r="37" spans="1:15" ht="11.25" customHeight="1">
      <c r="A37" s="185"/>
      <c r="B37" s="185"/>
      <c r="C37" s="185"/>
      <c r="D37" s="185"/>
      <c r="E37" s="185"/>
      <c r="F37" s="185"/>
      <c r="G37" s="185"/>
      <c r="H37" s="185"/>
      <c r="I37" s="185"/>
    </row>
    <row r="38" spans="1:15" ht="30.75" customHeight="1">
      <c r="A38" s="380" t="s">
        <v>370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ht="30.75" customHeight="1">
      <c r="A39" s="186" t="s">
        <v>137</v>
      </c>
      <c r="B39" s="389" t="s">
        <v>371</v>
      </c>
      <c r="C39" s="390"/>
      <c r="D39" s="390"/>
      <c r="E39" s="391"/>
      <c r="F39" s="357" t="s">
        <v>85</v>
      </c>
      <c r="G39" s="357"/>
      <c r="H39" s="357"/>
      <c r="I39" s="357"/>
      <c r="J39" s="357"/>
      <c r="K39" s="357"/>
      <c r="L39" s="357"/>
      <c r="M39" s="357"/>
      <c r="N39" s="357"/>
      <c r="O39" s="357"/>
    </row>
    <row r="40" spans="1:15" ht="17.25" customHeight="1">
      <c r="A40" s="186">
        <v>1</v>
      </c>
      <c r="B40" s="370">
        <v>2</v>
      </c>
      <c r="C40" s="384"/>
      <c r="D40" s="384"/>
      <c r="E40" s="384"/>
      <c r="F40" s="357">
        <v>3</v>
      </c>
      <c r="G40" s="357"/>
      <c r="H40" s="357"/>
      <c r="I40" s="357"/>
      <c r="J40" s="357"/>
      <c r="K40" s="357"/>
      <c r="L40" s="357"/>
      <c r="M40" s="357"/>
      <c r="N40" s="357"/>
      <c r="O40" s="357"/>
    </row>
    <row r="41" spans="1:15" ht="20.100000000000001" customHeight="1">
      <c r="A41" s="187"/>
      <c r="B41" s="382"/>
      <c r="C41" s="401"/>
      <c r="D41" s="401"/>
      <c r="E41" s="401"/>
      <c r="F41" s="379"/>
      <c r="G41" s="379"/>
      <c r="H41" s="379"/>
      <c r="I41" s="379"/>
      <c r="J41" s="379"/>
      <c r="K41" s="379"/>
      <c r="L41" s="379"/>
      <c r="M41" s="379"/>
      <c r="N41" s="379"/>
      <c r="O41" s="379"/>
    </row>
    <row r="42" spans="1:15" ht="20.100000000000001" hidden="1" customHeight="1" outlineLevel="1">
      <c r="A42" s="188"/>
      <c r="B42" s="189"/>
      <c r="C42" s="189"/>
      <c r="D42" s="189"/>
      <c r="E42" s="189"/>
      <c r="F42" s="190"/>
      <c r="G42" s="190"/>
      <c r="H42" s="190"/>
      <c r="I42" s="190"/>
      <c r="J42" s="190"/>
      <c r="K42" s="190"/>
      <c r="L42" s="190"/>
      <c r="M42" s="403" t="s">
        <v>241</v>
      </c>
      <c r="N42" s="403"/>
      <c r="O42" s="403"/>
    </row>
    <row r="43" spans="1:15" ht="20.100000000000001" hidden="1" customHeight="1" outlineLevel="1">
      <c r="A43" s="188"/>
      <c r="B43" s="189"/>
      <c r="C43" s="189"/>
      <c r="D43" s="189"/>
      <c r="E43" s="189"/>
      <c r="F43" s="190"/>
      <c r="G43" s="190"/>
      <c r="H43" s="190"/>
      <c r="I43" s="190"/>
      <c r="J43" s="190"/>
      <c r="K43" s="190"/>
      <c r="L43" s="190"/>
      <c r="M43" s="388" t="s">
        <v>291</v>
      </c>
      <c r="N43" s="388"/>
      <c r="O43" s="388"/>
    </row>
    <row r="44" spans="1:15" collapsed="1">
      <c r="A44" s="346" t="s">
        <v>251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</row>
    <row r="46" spans="1:15" ht="52.5" customHeight="1">
      <c r="A46" s="395" t="s">
        <v>287</v>
      </c>
      <c r="B46" s="396"/>
      <c r="C46" s="397"/>
      <c r="D46" s="355" t="s">
        <v>242</v>
      </c>
      <c r="E46" s="355"/>
      <c r="F46" s="355"/>
      <c r="G46" s="355" t="s">
        <v>238</v>
      </c>
      <c r="H46" s="355"/>
      <c r="I46" s="355"/>
      <c r="J46" s="355" t="s">
        <v>292</v>
      </c>
      <c r="K46" s="355"/>
      <c r="L46" s="355"/>
      <c r="M46" s="352" t="s">
        <v>293</v>
      </c>
      <c r="N46" s="354"/>
      <c r="O46" s="333" t="s">
        <v>316</v>
      </c>
    </row>
    <row r="47" spans="1:15" ht="189.75" customHeight="1">
      <c r="A47" s="398"/>
      <c r="B47" s="399"/>
      <c r="C47" s="400"/>
      <c r="D47" s="246" t="s">
        <v>319</v>
      </c>
      <c r="E47" s="246" t="s">
        <v>318</v>
      </c>
      <c r="F47" s="246" t="s">
        <v>317</v>
      </c>
      <c r="G47" s="246" t="s">
        <v>319</v>
      </c>
      <c r="H47" s="246" t="s">
        <v>318</v>
      </c>
      <c r="I47" s="246" t="s">
        <v>317</v>
      </c>
      <c r="J47" s="246" t="s">
        <v>319</v>
      </c>
      <c r="K47" s="246" t="s">
        <v>318</v>
      </c>
      <c r="L47" s="246" t="s">
        <v>317</v>
      </c>
      <c r="M47" s="171" t="s">
        <v>243</v>
      </c>
      <c r="N47" s="171" t="s">
        <v>244</v>
      </c>
      <c r="O47" s="402"/>
    </row>
    <row r="48" spans="1:15">
      <c r="A48" s="352">
        <v>1</v>
      </c>
      <c r="B48" s="353"/>
      <c r="C48" s="354"/>
      <c r="D48" s="246">
        <v>4</v>
      </c>
      <c r="E48" s="246">
        <v>5</v>
      </c>
      <c r="F48" s="246">
        <v>6</v>
      </c>
      <c r="G48" s="246">
        <v>7</v>
      </c>
      <c r="H48" s="251">
        <v>8</v>
      </c>
      <c r="I48" s="251">
        <v>9</v>
      </c>
      <c r="J48" s="251">
        <v>10</v>
      </c>
      <c r="K48" s="251">
        <v>11</v>
      </c>
      <c r="L48" s="251">
        <v>12</v>
      </c>
      <c r="M48" s="178">
        <v>13</v>
      </c>
      <c r="N48" s="178">
        <v>14</v>
      </c>
      <c r="O48" s="178">
        <v>15</v>
      </c>
    </row>
    <row r="49" spans="1:15" ht="45.75" customHeight="1">
      <c r="A49" s="392" t="s">
        <v>585</v>
      </c>
      <c r="B49" s="393"/>
      <c r="C49" s="394"/>
      <c r="D49" s="249">
        <f>'1. Фін результат'!D10</f>
        <v>30250</v>
      </c>
      <c r="E49" s="268">
        <f>7240/2</f>
        <v>3620</v>
      </c>
      <c r="F49" s="268">
        <f>D49/E49*1000</f>
        <v>8356.3535911602212</v>
      </c>
      <c r="G49" s="249">
        <f>'1. Фін результат'!E10</f>
        <v>32083</v>
      </c>
      <c r="H49" s="251">
        <v>3600</v>
      </c>
      <c r="I49" s="268">
        <f>G49/H49*1000</f>
        <v>8911.9444444444434</v>
      </c>
      <c r="J49" s="269">
        <f>G49-D49</f>
        <v>1833</v>
      </c>
      <c r="K49" s="251">
        <f t="shared" ref="J49:L50" si="2">H49-E49</f>
        <v>-20</v>
      </c>
      <c r="L49" s="270">
        <f t="shared" si="2"/>
        <v>555.59085328422225</v>
      </c>
      <c r="M49" s="191">
        <f>G49/D49*100</f>
        <v>106.0595041322314</v>
      </c>
      <c r="N49" s="191">
        <f>H49/E49*100</f>
        <v>99.447513812154696</v>
      </c>
      <c r="O49" s="178"/>
    </row>
    <row r="50" spans="1:15" ht="45.75" customHeight="1">
      <c r="A50" s="392" t="s">
        <v>584</v>
      </c>
      <c r="B50" s="393"/>
      <c r="C50" s="394"/>
      <c r="D50" s="249">
        <f>'1. Фін результат'!D11</f>
        <v>27542</v>
      </c>
      <c r="E50" s="268">
        <f>32453/2</f>
        <v>16226.5</v>
      </c>
      <c r="F50" s="268">
        <f>D50/E50*1000</f>
        <v>1697.3469324869811</v>
      </c>
      <c r="G50" s="249">
        <f>'1. Фін результат'!E11</f>
        <v>21417</v>
      </c>
      <c r="H50" s="251">
        <v>16000</v>
      </c>
      <c r="I50" s="268">
        <f>G50/H50*1000</f>
        <v>1338.5625</v>
      </c>
      <c r="J50" s="269">
        <f t="shared" si="2"/>
        <v>-6125</v>
      </c>
      <c r="K50" s="251">
        <f t="shared" si="2"/>
        <v>-226.5</v>
      </c>
      <c r="L50" s="270">
        <f t="shared" si="2"/>
        <v>-358.78443248698113</v>
      </c>
      <c r="M50" s="191">
        <f>G50/D50*100</f>
        <v>77.761237382906117</v>
      </c>
      <c r="N50" s="191">
        <f>H50/E50*100</f>
        <v>98.604135210920404</v>
      </c>
      <c r="O50" s="178"/>
    </row>
    <row r="51" spans="1:15" ht="48.75" customHeight="1">
      <c r="A51" s="392" t="s">
        <v>397</v>
      </c>
      <c r="B51" s="393"/>
      <c r="C51" s="394"/>
      <c r="D51" s="249">
        <f>'1. Фін результат'!D12</f>
        <v>1000</v>
      </c>
      <c r="E51" s="246"/>
      <c r="F51" s="246"/>
      <c r="G51" s="249">
        <f>'1. Фін результат'!E12</f>
        <v>1510</v>
      </c>
      <c r="H51" s="251"/>
      <c r="I51" s="268"/>
      <c r="J51" s="269">
        <f>G51-D51</f>
        <v>510</v>
      </c>
      <c r="K51" s="251"/>
      <c r="L51" s="270"/>
      <c r="M51" s="191">
        <f>G51/D51*100</f>
        <v>151</v>
      </c>
      <c r="N51" s="178"/>
      <c r="O51" s="178"/>
    </row>
    <row r="52" spans="1:15" ht="24.95" customHeight="1">
      <c r="A52" s="363" t="s">
        <v>58</v>
      </c>
      <c r="B52" s="364"/>
      <c r="C52" s="365"/>
      <c r="D52" s="249">
        <f>SUM(D49:D51)</f>
        <v>58792</v>
      </c>
      <c r="E52" s="249"/>
      <c r="F52" s="62">
        <f>SUM(F49:F51)</f>
        <v>10053.700523647203</v>
      </c>
      <c r="G52" s="62">
        <f>SUM(G49:G51)</f>
        <v>55010</v>
      </c>
      <c r="H52" s="62"/>
      <c r="I52" s="62">
        <f>SUM(I49:I51)</f>
        <v>10250.506944444443</v>
      </c>
      <c r="J52" s="62"/>
      <c r="K52" s="62"/>
      <c r="L52" s="62"/>
      <c r="M52" s="192"/>
      <c r="N52" s="192"/>
      <c r="O52" s="173"/>
    </row>
    <row r="53" spans="1:15">
      <c r="A53" s="193"/>
      <c r="B53" s="194"/>
      <c r="C53" s="194"/>
      <c r="D53" s="194"/>
      <c r="E53" s="194"/>
      <c r="F53" s="195"/>
      <c r="G53" s="195"/>
      <c r="H53" s="195"/>
      <c r="I53" s="196"/>
      <c r="J53" s="196"/>
      <c r="K53" s="196"/>
      <c r="L53" s="196"/>
      <c r="M53" s="196"/>
      <c r="N53" s="196"/>
      <c r="O53" s="196"/>
    </row>
    <row r="54" spans="1:15">
      <c r="A54" s="346" t="s">
        <v>74</v>
      </c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</row>
    <row r="56" spans="1:15" ht="56.25" customHeight="1">
      <c r="A56" s="171" t="s">
        <v>126</v>
      </c>
      <c r="B56" s="355" t="s">
        <v>73</v>
      </c>
      <c r="C56" s="355"/>
      <c r="D56" s="355" t="s">
        <v>68</v>
      </c>
      <c r="E56" s="355"/>
      <c r="F56" s="355" t="s">
        <v>69</v>
      </c>
      <c r="G56" s="355"/>
      <c r="H56" s="355" t="s">
        <v>89</v>
      </c>
      <c r="I56" s="355"/>
      <c r="J56" s="355"/>
      <c r="K56" s="352" t="s">
        <v>86</v>
      </c>
      <c r="L56" s="354"/>
      <c r="M56" s="352" t="s">
        <v>36</v>
      </c>
      <c r="N56" s="353"/>
      <c r="O56" s="354"/>
    </row>
    <row r="57" spans="1:15">
      <c r="A57" s="178">
        <v>1</v>
      </c>
      <c r="B57" s="357">
        <v>2</v>
      </c>
      <c r="C57" s="357"/>
      <c r="D57" s="357">
        <v>3</v>
      </c>
      <c r="E57" s="357"/>
      <c r="F57" s="357">
        <v>4</v>
      </c>
      <c r="G57" s="357"/>
      <c r="H57" s="357">
        <v>5</v>
      </c>
      <c r="I57" s="357"/>
      <c r="J57" s="357"/>
      <c r="K57" s="357">
        <v>6</v>
      </c>
      <c r="L57" s="357"/>
      <c r="M57" s="370">
        <v>7</v>
      </c>
      <c r="N57" s="384"/>
      <c r="O57" s="371"/>
    </row>
    <row r="58" spans="1:15">
      <c r="A58" s="197"/>
      <c r="B58" s="379"/>
      <c r="C58" s="379"/>
      <c r="D58" s="375"/>
      <c r="E58" s="375"/>
      <c r="F58" s="367" t="s">
        <v>259</v>
      </c>
      <c r="G58" s="367"/>
      <c r="H58" s="366"/>
      <c r="I58" s="366"/>
      <c r="J58" s="366"/>
      <c r="K58" s="368"/>
      <c r="L58" s="369"/>
      <c r="M58" s="375"/>
      <c r="N58" s="375"/>
      <c r="O58" s="375"/>
    </row>
    <row r="59" spans="1:15">
      <c r="A59" s="197"/>
      <c r="B59" s="385"/>
      <c r="C59" s="386"/>
      <c r="D59" s="368"/>
      <c r="E59" s="369"/>
      <c r="F59" s="372"/>
      <c r="G59" s="373"/>
      <c r="H59" s="376"/>
      <c r="I59" s="377"/>
      <c r="J59" s="378"/>
      <c r="K59" s="368"/>
      <c r="L59" s="369"/>
      <c r="M59" s="368"/>
      <c r="N59" s="381"/>
      <c r="O59" s="369"/>
    </row>
    <row r="60" spans="1:15">
      <c r="A60" s="197"/>
      <c r="B60" s="382"/>
      <c r="C60" s="383"/>
      <c r="D60" s="368"/>
      <c r="E60" s="369"/>
      <c r="F60" s="372"/>
      <c r="G60" s="373"/>
      <c r="H60" s="376"/>
      <c r="I60" s="377"/>
      <c r="J60" s="378"/>
      <c r="K60" s="368"/>
      <c r="L60" s="369"/>
      <c r="M60" s="368"/>
      <c r="N60" s="381"/>
      <c r="O60" s="369"/>
    </row>
    <row r="61" spans="1:15">
      <c r="A61" s="197"/>
      <c r="B61" s="379"/>
      <c r="C61" s="379"/>
      <c r="D61" s="375"/>
      <c r="E61" s="375"/>
      <c r="F61" s="367"/>
      <c r="G61" s="367"/>
      <c r="H61" s="366"/>
      <c r="I61" s="366"/>
      <c r="J61" s="366"/>
      <c r="K61" s="368"/>
      <c r="L61" s="369"/>
      <c r="M61" s="375"/>
      <c r="N61" s="375"/>
      <c r="O61" s="375"/>
    </row>
    <row r="62" spans="1:15">
      <c r="A62" s="198" t="s">
        <v>58</v>
      </c>
      <c r="B62" s="357" t="s">
        <v>37</v>
      </c>
      <c r="C62" s="357"/>
      <c r="D62" s="357" t="s">
        <v>37</v>
      </c>
      <c r="E62" s="357"/>
      <c r="F62" s="357" t="s">
        <v>37</v>
      </c>
      <c r="G62" s="357"/>
      <c r="H62" s="366"/>
      <c r="I62" s="366"/>
      <c r="J62" s="366"/>
      <c r="K62" s="368"/>
      <c r="L62" s="369"/>
      <c r="M62" s="375"/>
      <c r="N62" s="375"/>
      <c r="O62" s="375"/>
    </row>
    <row r="63" spans="1:15">
      <c r="A63" s="195"/>
      <c r="B63" s="224"/>
      <c r="C63" s="224"/>
      <c r="D63" s="224"/>
      <c r="E63" s="224"/>
      <c r="F63" s="162"/>
      <c r="G63" s="162"/>
      <c r="H63" s="162"/>
      <c r="I63" s="162"/>
      <c r="J63" s="162"/>
      <c r="K63" s="161"/>
      <c r="L63" s="161"/>
      <c r="M63" s="161"/>
      <c r="N63" s="161"/>
      <c r="O63" s="161"/>
    </row>
    <row r="64" spans="1:15">
      <c r="A64" s="346" t="s">
        <v>75</v>
      </c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</row>
    <row r="65" spans="1:15" ht="15" customHeight="1">
      <c r="A65" s="196"/>
      <c r="B65" s="196"/>
      <c r="C65" s="196"/>
      <c r="D65" s="196"/>
      <c r="E65" s="196"/>
      <c r="F65" s="196"/>
      <c r="G65" s="196"/>
      <c r="H65" s="196"/>
      <c r="I65" s="199"/>
    </row>
    <row r="66" spans="1:15" ht="42.75" customHeight="1">
      <c r="A66" s="355" t="s">
        <v>67</v>
      </c>
      <c r="B66" s="355"/>
      <c r="C66" s="355"/>
      <c r="D66" s="355" t="s">
        <v>245</v>
      </c>
      <c r="E66" s="355"/>
      <c r="F66" s="355" t="s">
        <v>246</v>
      </c>
      <c r="G66" s="355"/>
      <c r="H66" s="355"/>
      <c r="I66" s="355"/>
      <c r="J66" s="355" t="s">
        <v>249</v>
      </c>
      <c r="K66" s="355"/>
      <c r="L66" s="355"/>
      <c r="M66" s="355"/>
      <c r="N66" s="355" t="s">
        <v>250</v>
      </c>
      <c r="O66" s="355"/>
    </row>
    <row r="67" spans="1:15" ht="42.75" customHeight="1">
      <c r="A67" s="355"/>
      <c r="B67" s="355"/>
      <c r="C67" s="355"/>
      <c r="D67" s="355"/>
      <c r="E67" s="355"/>
      <c r="F67" s="357" t="s">
        <v>247</v>
      </c>
      <c r="G67" s="357"/>
      <c r="H67" s="355" t="s">
        <v>248</v>
      </c>
      <c r="I67" s="355"/>
      <c r="J67" s="357" t="s">
        <v>247</v>
      </c>
      <c r="K67" s="357"/>
      <c r="L67" s="355" t="s">
        <v>248</v>
      </c>
      <c r="M67" s="355"/>
      <c r="N67" s="355"/>
      <c r="O67" s="355"/>
    </row>
    <row r="68" spans="1:15">
      <c r="A68" s="355">
        <v>1</v>
      </c>
      <c r="B68" s="355"/>
      <c r="C68" s="355"/>
      <c r="D68" s="352">
        <v>2</v>
      </c>
      <c r="E68" s="354"/>
      <c r="F68" s="352">
        <v>3</v>
      </c>
      <c r="G68" s="354"/>
      <c r="H68" s="370">
        <v>4</v>
      </c>
      <c r="I68" s="371"/>
      <c r="J68" s="370">
        <v>5</v>
      </c>
      <c r="K68" s="371"/>
      <c r="L68" s="370">
        <v>6</v>
      </c>
      <c r="M68" s="371"/>
      <c r="N68" s="370">
        <v>7</v>
      </c>
      <c r="O68" s="371"/>
    </row>
    <row r="69" spans="1:15" ht="20.100000000000001" customHeight="1">
      <c r="A69" s="374" t="s">
        <v>313</v>
      </c>
      <c r="B69" s="374"/>
      <c r="C69" s="374"/>
      <c r="D69" s="368"/>
      <c r="E69" s="369"/>
      <c r="F69" s="368"/>
      <c r="G69" s="369"/>
      <c r="H69" s="368"/>
      <c r="I69" s="369"/>
      <c r="J69" s="368"/>
      <c r="K69" s="369"/>
      <c r="L69" s="368"/>
      <c r="M69" s="369"/>
      <c r="N69" s="368"/>
      <c r="O69" s="369"/>
    </row>
    <row r="70" spans="1:15" ht="20.100000000000001" customHeight="1">
      <c r="A70" s="374" t="s">
        <v>103</v>
      </c>
      <c r="B70" s="374"/>
      <c r="C70" s="374"/>
      <c r="D70" s="368"/>
      <c r="E70" s="369"/>
      <c r="F70" s="368"/>
      <c r="G70" s="369"/>
      <c r="H70" s="368"/>
      <c r="I70" s="369"/>
      <c r="J70" s="368"/>
      <c r="K70" s="369"/>
      <c r="L70" s="368"/>
      <c r="M70" s="369"/>
      <c r="N70" s="368"/>
      <c r="O70" s="369"/>
    </row>
    <row r="71" spans="1:15" ht="20.100000000000001" customHeight="1">
      <c r="A71" s="374"/>
      <c r="B71" s="374"/>
      <c r="C71" s="374"/>
      <c r="D71" s="368"/>
      <c r="E71" s="369"/>
      <c r="F71" s="368"/>
      <c r="G71" s="369"/>
      <c r="H71" s="368"/>
      <c r="I71" s="369"/>
      <c r="J71" s="368"/>
      <c r="K71" s="369"/>
      <c r="L71" s="368"/>
      <c r="M71" s="369"/>
      <c r="N71" s="368"/>
      <c r="O71" s="369"/>
    </row>
    <row r="72" spans="1:15" ht="20.100000000000001" customHeight="1">
      <c r="A72" s="374" t="s">
        <v>314</v>
      </c>
      <c r="B72" s="374"/>
      <c r="C72" s="374"/>
      <c r="D72" s="368"/>
      <c r="E72" s="369"/>
      <c r="F72" s="368"/>
      <c r="G72" s="369"/>
      <c r="H72" s="368"/>
      <c r="I72" s="369"/>
      <c r="J72" s="368"/>
      <c r="K72" s="369"/>
      <c r="L72" s="368"/>
      <c r="M72" s="369"/>
      <c r="N72" s="368"/>
      <c r="O72" s="369"/>
    </row>
    <row r="73" spans="1:15" ht="20.100000000000001" customHeight="1">
      <c r="A73" s="374" t="s">
        <v>363</v>
      </c>
      <c r="B73" s="374"/>
      <c r="C73" s="374"/>
      <c r="D73" s="368"/>
      <c r="E73" s="369"/>
      <c r="F73" s="368"/>
      <c r="G73" s="369"/>
      <c r="H73" s="368"/>
      <c r="I73" s="369"/>
      <c r="J73" s="368"/>
      <c r="K73" s="369"/>
      <c r="L73" s="368"/>
      <c r="M73" s="369"/>
      <c r="N73" s="368"/>
      <c r="O73" s="369"/>
    </row>
    <row r="74" spans="1:15" ht="20.100000000000001" customHeight="1">
      <c r="A74" s="374"/>
      <c r="B74" s="374"/>
      <c r="C74" s="374"/>
      <c r="D74" s="368"/>
      <c r="E74" s="369"/>
      <c r="F74" s="368"/>
      <c r="G74" s="369"/>
      <c r="H74" s="368"/>
      <c r="I74" s="369"/>
      <c r="J74" s="368"/>
      <c r="K74" s="369"/>
      <c r="L74" s="368"/>
      <c r="M74" s="369"/>
      <c r="N74" s="368"/>
      <c r="O74" s="369"/>
    </row>
    <row r="75" spans="1:15" ht="20.100000000000001" customHeight="1">
      <c r="A75" s="374" t="s">
        <v>315</v>
      </c>
      <c r="B75" s="374"/>
      <c r="C75" s="374"/>
      <c r="D75" s="368"/>
      <c r="E75" s="369"/>
      <c r="F75" s="368"/>
      <c r="G75" s="369"/>
      <c r="H75" s="368"/>
      <c r="I75" s="369"/>
      <c r="J75" s="368"/>
      <c r="K75" s="369"/>
      <c r="L75" s="368"/>
      <c r="M75" s="369"/>
      <c r="N75" s="368"/>
      <c r="O75" s="369"/>
    </row>
    <row r="76" spans="1:15" ht="20.100000000000001" customHeight="1">
      <c r="A76" s="374" t="s">
        <v>103</v>
      </c>
      <c r="B76" s="374"/>
      <c r="C76" s="374"/>
      <c r="D76" s="368"/>
      <c r="E76" s="369"/>
      <c r="F76" s="368"/>
      <c r="G76" s="369"/>
      <c r="H76" s="368"/>
      <c r="I76" s="369"/>
      <c r="J76" s="368"/>
      <c r="K76" s="369"/>
      <c r="L76" s="368"/>
      <c r="M76" s="369"/>
      <c r="N76" s="368"/>
      <c r="O76" s="369"/>
    </row>
    <row r="77" spans="1:15" ht="20.100000000000001" customHeight="1">
      <c r="A77" s="374"/>
      <c r="B77" s="374"/>
      <c r="C77" s="374"/>
      <c r="D77" s="368"/>
      <c r="E77" s="369"/>
      <c r="F77" s="368"/>
      <c r="G77" s="369"/>
      <c r="H77" s="368"/>
      <c r="I77" s="369"/>
      <c r="J77" s="368"/>
      <c r="K77" s="369"/>
      <c r="L77" s="368"/>
      <c r="M77" s="369"/>
      <c r="N77" s="368"/>
      <c r="O77" s="369"/>
    </row>
    <row r="78" spans="1:15" ht="24.95" customHeight="1">
      <c r="A78" s="374" t="s">
        <v>58</v>
      </c>
      <c r="B78" s="374"/>
      <c r="C78" s="374"/>
      <c r="D78" s="368"/>
      <c r="E78" s="369"/>
      <c r="F78" s="368"/>
      <c r="G78" s="369"/>
      <c r="H78" s="368"/>
      <c r="I78" s="369"/>
      <c r="J78" s="368"/>
      <c r="K78" s="369"/>
      <c r="L78" s="368"/>
      <c r="M78" s="369"/>
      <c r="N78" s="368"/>
      <c r="O78" s="369"/>
    </row>
    <row r="79" spans="1:15">
      <c r="C79" s="200"/>
      <c r="D79" s="200"/>
      <c r="E79" s="200"/>
    </row>
    <row r="80" spans="1:15">
      <c r="C80" s="200"/>
      <c r="D80" s="200"/>
      <c r="E80" s="200"/>
    </row>
    <row r="81" spans="3:5">
      <c r="C81" s="200"/>
      <c r="D81" s="200"/>
      <c r="E81" s="200"/>
    </row>
    <row r="82" spans="3:5">
      <c r="C82" s="200"/>
      <c r="D82" s="200"/>
      <c r="E82" s="200"/>
    </row>
    <row r="83" spans="3:5">
      <c r="C83" s="200"/>
      <c r="D83" s="200"/>
      <c r="E83" s="200"/>
    </row>
    <row r="84" spans="3:5">
      <c r="C84" s="200"/>
      <c r="D84" s="200"/>
      <c r="E84" s="200"/>
    </row>
    <row r="85" spans="3:5">
      <c r="C85" s="200"/>
      <c r="D85" s="200"/>
      <c r="E85" s="200"/>
    </row>
    <row r="86" spans="3:5">
      <c r="C86" s="200"/>
      <c r="D86" s="200"/>
      <c r="E86" s="200"/>
    </row>
    <row r="87" spans="3:5">
      <c r="C87" s="200"/>
      <c r="D87" s="200"/>
      <c r="E87" s="200"/>
    </row>
    <row r="88" spans="3:5">
      <c r="C88" s="200"/>
      <c r="D88" s="200"/>
      <c r="E88" s="200"/>
    </row>
    <row r="89" spans="3:5">
      <c r="C89" s="200"/>
      <c r="D89" s="200"/>
      <c r="E89" s="200"/>
    </row>
    <row r="90" spans="3:5">
      <c r="C90" s="200"/>
      <c r="D90" s="200"/>
      <c r="E90" s="200"/>
    </row>
    <row r="91" spans="3:5">
      <c r="C91" s="200"/>
      <c r="D91" s="200"/>
      <c r="E91" s="200"/>
    </row>
    <row r="92" spans="3:5">
      <c r="C92" s="200"/>
      <c r="D92" s="200"/>
      <c r="E92" s="200"/>
    </row>
  </sheetData>
  <mergeCells count="305"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L29:M29"/>
    <mergeCell ref="A19:O19"/>
    <mergeCell ref="H18:I18"/>
    <mergeCell ref="B20:C20"/>
    <mergeCell ref="F28:G28"/>
    <mergeCell ref="H20:I2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29:G29"/>
    <mergeCell ref="F30:G30"/>
    <mergeCell ref="B30:C30"/>
    <mergeCell ref="D34:E34"/>
    <mergeCell ref="D33:E33"/>
    <mergeCell ref="A38:O38"/>
    <mergeCell ref="N30:O30"/>
    <mergeCell ref="J29:K29"/>
    <mergeCell ref="B29:C29"/>
    <mergeCell ref="N29:O29"/>
    <mergeCell ref="D29:E29"/>
    <mergeCell ref="D30:E30"/>
    <mergeCell ref="H29:I29"/>
    <mergeCell ref="H30:I30"/>
    <mergeCell ref="L30:M30"/>
    <mergeCell ref="J30:K30"/>
    <mergeCell ref="F72:G72"/>
    <mergeCell ref="F71:G71"/>
    <mergeCell ref="J71:K71"/>
    <mergeCell ref="N76:O76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H78:I78"/>
    <mergeCell ref="J78:K78"/>
    <mergeCell ref="L78:M78"/>
    <mergeCell ref="H59:J59"/>
    <mergeCell ref="F59:G59"/>
    <mergeCell ref="N73:O73"/>
    <mergeCell ref="A72:C72"/>
    <mergeCell ref="H73:I73"/>
    <mergeCell ref="J73:K73"/>
    <mergeCell ref="A73:C73"/>
    <mergeCell ref="L73:M73"/>
    <mergeCell ref="N72:O72"/>
    <mergeCell ref="D72:E72"/>
    <mergeCell ref="J72:K72"/>
    <mergeCell ref="H72:I72"/>
    <mergeCell ref="F61:G61"/>
    <mergeCell ref="D68:E68"/>
    <mergeCell ref="J67:K67"/>
    <mergeCell ref="A70:C70"/>
    <mergeCell ref="N71:O71"/>
    <mergeCell ref="N66:O67"/>
    <mergeCell ref="L72:M72"/>
    <mergeCell ref="B61:C61"/>
    <mergeCell ref="H71:I71"/>
    <mergeCell ref="L71:M71"/>
    <mergeCell ref="F73:G73"/>
    <mergeCell ref="D71:E71"/>
    <mergeCell ref="M61:O61"/>
    <mergeCell ref="H61:J61"/>
    <mergeCell ref="D61:E61"/>
    <mergeCell ref="M62:O62"/>
    <mergeCell ref="L68:M68"/>
    <mergeCell ref="N68:O68"/>
    <mergeCell ref="A71:C71"/>
    <mergeCell ref="L69:M69"/>
    <mergeCell ref="K60:L60"/>
    <mergeCell ref="M60:O60"/>
    <mergeCell ref="B60:C60"/>
    <mergeCell ref="H60:J60"/>
    <mergeCell ref="H67:I67"/>
    <mergeCell ref="A69:C69"/>
    <mergeCell ref="A68:C68"/>
    <mergeCell ref="F69:G69"/>
    <mergeCell ref="D70:E70"/>
    <mergeCell ref="F70:G70"/>
    <mergeCell ref="A66:C67"/>
    <mergeCell ref="D66:E67"/>
    <mergeCell ref="F68:G68"/>
    <mergeCell ref="D69:E69"/>
    <mergeCell ref="L75:M75"/>
    <mergeCell ref="N75:O75"/>
    <mergeCell ref="L74:M74"/>
    <mergeCell ref="J74:K74"/>
    <mergeCell ref="H74:I74"/>
    <mergeCell ref="L76:M76"/>
    <mergeCell ref="H76:I76"/>
    <mergeCell ref="J76:K76"/>
    <mergeCell ref="N70:O70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AF71"/>
  <sheetViews>
    <sheetView view="pageBreakPreview" topLeftCell="D3" zoomScale="55" zoomScaleNormal="50" zoomScaleSheetLayoutView="55" workbookViewId="0">
      <selection activeCell="X36" sqref="V33:X36"/>
    </sheetView>
  </sheetViews>
  <sheetFormatPr defaultRowHeight="20.25" outlineLevelRow="1"/>
  <cols>
    <col min="1" max="2" width="4.42578125" style="38" customWidth="1"/>
    <col min="3" max="3" width="28.7109375" style="38" customWidth="1"/>
    <col min="4" max="6" width="8.42578125" style="38" customWidth="1"/>
    <col min="7" max="7" width="11.28515625" style="38" customWidth="1"/>
    <col min="8" max="8" width="6.5703125" style="38" customWidth="1"/>
    <col min="9" max="9" width="6.85546875" style="38" customWidth="1"/>
    <col min="10" max="10" width="8.7109375" style="38" customWidth="1"/>
    <col min="11" max="11" width="7" style="38" customWidth="1"/>
    <col min="12" max="12" width="6" style="38" customWidth="1"/>
    <col min="13" max="13" width="12.28515625" style="38" customWidth="1"/>
    <col min="14" max="14" width="12.5703125" style="180" customWidth="1"/>
    <col min="15" max="15" width="14.5703125" style="180" customWidth="1"/>
    <col min="16" max="16" width="14" style="180" customWidth="1"/>
    <col min="17" max="17" width="12.5703125" style="180" customWidth="1"/>
    <col min="18" max="18" width="12.28515625" style="180" customWidth="1"/>
    <col min="19" max="19" width="14.5703125" style="180" customWidth="1"/>
    <col min="20" max="20" width="14" style="180" customWidth="1"/>
    <col min="21" max="21" width="12.5703125" style="180" customWidth="1"/>
    <col min="22" max="22" width="12.28515625" style="180" customWidth="1"/>
    <col min="23" max="23" width="14.85546875" style="180" customWidth="1"/>
    <col min="24" max="24" width="14" style="180" customWidth="1"/>
    <col min="25" max="25" width="12.5703125" style="180" customWidth="1"/>
    <col min="26" max="26" width="12.28515625" style="180" customWidth="1"/>
    <col min="27" max="27" width="14.5703125" style="180" customWidth="1"/>
    <col min="28" max="28" width="13.7109375" style="180" customWidth="1"/>
    <col min="29" max="29" width="12.28515625" style="180" customWidth="1"/>
    <col min="30" max="30" width="12" style="180" customWidth="1"/>
    <col min="31" max="31" width="14.5703125" style="180" customWidth="1"/>
    <col min="32" max="32" width="14" style="180" customWidth="1"/>
    <col min="33" max="16384" width="9.140625" style="38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62"/>
      <c r="O1" s="162"/>
      <c r="P1" s="162"/>
      <c r="R1" s="201"/>
      <c r="S1" s="201"/>
      <c r="T1" s="201"/>
      <c r="U1" s="201"/>
      <c r="V1" s="201"/>
      <c r="AD1" s="344" t="s">
        <v>241</v>
      </c>
      <c r="AE1" s="344"/>
      <c r="AF1" s="344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2"/>
      <c r="O2" s="162"/>
      <c r="P2" s="162"/>
      <c r="R2" s="201"/>
      <c r="S2" s="201"/>
      <c r="T2" s="201"/>
      <c r="U2" s="201"/>
      <c r="V2" s="201"/>
      <c r="AD2" s="344"/>
      <c r="AE2" s="344"/>
      <c r="AF2" s="344"/>
    </row>
    <row r="3" spans="1:32" s="86" customFormat="1" ht="18.75" customHeight="1" collapsed="1">
      <c r="A3" s="283" t="s">
        <v>252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</row>
    <row r="4" spans="1:3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2" ht="27.75" customHeight="1">
      <c r="A5" s="429" t="s">
        <v>53</v>
      </c>
      <c r="B5" s="431" t="s">
        <v>196</v>
      </c>
      <c r="C5" s="432"/>
      <c r="D5" s="441" t="s">
        <v>197</v>
      </c>
      <c r="E5" s="442"/>
      <c r="F5" s="442"/>
      <c r="G5" s="282" t="s">
        <v>346</v>
      </c>
      <c r="H5" s="282"/>
      <c r="I5" s="282"/>
      <c r="J5" s="282"/>
      <c r="K5" s="282"/>
      <c r="L5" s="282"/>
      <c r="M5" s="282"/>
      <c r="N5" s="415" t="s">
        <v>198</v>
      </c>
      <c r="O5" s="488"/>
      <c r="P5" s="488"/>
      <c r="Q5" s="416"/>
      <c r="R5" s="423" t="s">
        <v>304</v>
      </c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5"/>
    </row>
    <row r="6" spans="1:32" ht="48.75" customHeight="1">
      <c r="A6" s="430"/>
      <c r="B6" s="433"/>
      <c r="C6" s="434"/>
      <c r="D6" s="443"/>
      <c r="E6" s="444"/>
      <c r="F6" s="444"/>
      <c r="G6" s="282"/>
      <c r="H6" s="282"/>
      <c r="I6" s="282"/>
      <c r="J6" s="282"/>
      <c r="K6" s="282"/>
      <c r="L6" s="282"/>
      <c r="M6" s="282"/>
      <c r="N6" s="417"/>
      <c r="O6" s="489"/>
      <c r="P6" s="489"/>
      <c r="Q6" s="418"/>
      <c r="R6" s="420" t="s">
        <v>199</v>
      </c>
      <c r="S6" s="421"/>
      <c r="T6" s="422"/>
      <c r="U6" s="420" t="s">
        <v>200</v>
      </c>
      <c r="V6" s="421"/>
      <c r="W6" s="422"/>
      <c r="X6" s="420" t="s">
        <v>41</v>
      </c>
      <c r="Y6" s="421"/>
      <c r="Z6" s="422"/>
      <c r="AA6" s="463" t="s">
        <v>201</v>
      </c>
      <c r="AB6" s="464"/>
      <c r="AC6" s="465"/>
      <c r="AD6" s="463" t="s">
        <v>202</v>
      </c>
      <c r="AE6" s="464"/>
      <c r="AF6" s="465"/>
    </row>
    <row r="7" spans="1:32" ht="18.75" customHeight="1">
      <c r="A7" s="67">
        <v>1</v>
      </c>
      <c r="B7" s="435">
        <v>2</v>
      </c>
      <c r="C7" s="436"/>
      <c r="D7" s="349">
        <v>3</v>
      </c>
      <c r="E7" s="471"/>
      <c r="F7" s="471"/>
      <c r="G7" s="331">
        <v>4</v>
      </c>
      <c r="H7" s="331"/>
      <c r="I7" s="331"/>
      <c r="J7" s="331"/>
      <c r="K7" s="331"/>
      <c r="L7" s="331"/>
      <c r="M7" s="331"/>
      <c r="N7" s="352">
        <v>5</v>
      </c>
      <c r="O7" s="353"/>
      <c r="P7" s="353"/>
      <c r="Q7" s="354"/>
      <c r="R7" s="349">
        <v>6</v>
      </c>
      <c r="S7" s="471"/>
      <c r="T7" s="350"/>
      <c r="U7" s="349">
        <v>7</v>
      </c>
      <c r="V7" s="471"/>
      <c r="W7" s="350"/>
      <c r="X7" s="460">
        <v>8</v>
      </c>
      <c r="Y7" s="461"/>
      <c r="Z7" s="462"/>
      <c r="AA7" s="460">
        <v>9</v>
      </c>
      <c r="AB7" s="461"/>
      <c r="AC7" s="462"/>
      <c r="AD7" s="460">
        <v>10</v>
      </c>
      <c r="AE7" s="461"/>
      <c r="AF7" s="462"/>
    </row>
    <row r="8" spans="1:32" ht="20.100000000000001" customHeight="1">
      <c r="A8" s="67">
        <v>1</v>
      </c>
      <c r="B8" s="437" t="s">
        <v>496</v>
      </c>
      <c r="C8" s="438"/>
      <c r="D8" s="448">
        <v>38687</v>
      </c>
      <c r="E8" s="449"/>
      <c r="F8" s="449"/>
      <c r="G8" s="409" t="s">
        <v>497</v>
      </c>
      <c r="H8" s="409"/>
      <c r="I8" s="409"/>
      <c r="J8" s="409"/>
      <c r="K8" s="409"/>
      <c r="L8" s="409"/>
      <c r="M8" s="409"/>
      <c r="N8" s="368">
        <f>R8+U8+X8+AA8</f>
        <v>304.52</v>
      </c>
      <c r="O8" s="381"/>
      <c r="P8" s="381"/>
      <c r="Q8" s="369"/>
      <c r="R8" s="358">
        <v>41</v>
      </c>
      <c r="S8" s="419"/>
      <c r="T8" s="359"/>
      <c r="U8" s="358">
        <v>216</v>
      </c>
      <c r="V8" s="419"/>
      <c r="W8" s="359"/>
      <c r="X8" s="358">
        <f>U8*0.22</f>
        <v>47.52</v>
      </c>
      <c r="Y8" s="419"/>
      <c r="Z8" s="359"/>
      <c r="AA8" s="358">
        <v>0</v>
      </c>
      <c r="AB8" s="419"/>
      <c r="AC8" s="359"/>
      <c r="AD8" s="358"/>
      <c r="AE8" s="419"/>
      <c r="AF8" s="359"/>
    </row>
    <row r="9" spans="1:32" ht="20.100000000000001" customHeight="1">
      <c r="A9" s="67">
        <v>2</v>
      </c>
      <c r="B9" s="437" t="s">
        <v>565</v>
      </c>
      <c r="C9" s="438"/>
      <c r="D9" s="448">
        <v>43061</v>
      </c>
      <c r="E9" s="449"/>
      <c r="F9" s="449"/>
      <c r="G9" s="409" t="s">
        <v>497</v>
      </c>
      <c r="H9" s="409"/>
      <c r="I9" s="409"/>
      <c r="J9" s="409"/>
      <c r="K9" s="409"/>
      <c r="L9" s="409"/>
      <c r="M9" s="409"/>
      <c r="N9" s="368">
        <f>R9+U9+X9+AA9</f>
        <v>130.96</v>
      </c>
      <c r="O9" s="381"/>
      <c r="P9" s="381"/>
      <c r="Q9" s="369"/>
      <c r="R9" s="358">
        <v>28</v>
      </c>
      <c r="S9" s="419"/>
      <c r="T9" s="359"/>
      <c r="U9" s="358">
        <v>68</v>
      </c>
      <c r="V9" s="419"/>
      <c r="W9" s="359"/>
      <c r="X9" s="358">
        <f>U9*0.22</f>
        <v>14.96</v>
      </c>
      <c r="Y9" s="419"/>
      <c r="Z9" s="359"/>
      <c r="AA9" s="358">
        <v>20</v>
      </c>
      <c r="AB9" s="419"/>
      <c r="AC9" s="359"/>
      <c r="AD9" s="358"/>
      <c r="AE9" s="419"/>
      <c r="AF9" s="359"/>
    </row>
    <row r="10" spans="1:32" ht="24.95" customHeight="1">
      <c r="A10" s="445" t="s">
        <v>58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7"/>
      <c r="N10" s="368">
        <f>SUM(N8:N9)</f>
        <v>435.48</v>
      </c>
      <c r="O10" s="381"/>
      <c r="P10" s="381"/>
      <c r="Q10" s="369"/>
      <c r="R10" s="358">
        <f>R8+R9</f>
        <v>69</v>
      </c>
      <c r="S10" s="419"/>
      <c r="T10" s="359"/>
      <c r="U10" s="358">
        <f>U8+U9</f>
        <v>284</v>
      </c>
      <c r="V10" s="419"/>
      <c r="W10" s="359"/>
      <c r="X10" s="358">
        <f>X8+X9</f>
        <v>62.480000000000004</v>
      </c>
      <c r="Y10" s="419"/>
      <c r="Z10" s="359"/>
      <c r="AA10" s="358">
        <f t="shared" ref="AA10" si="0">AA8+AA9</f>
        <v>20</v>
      </c>
      <c r="AB10" s="419"/>
      <c r="AC10" s="359"/>
      <c r="AD10" s="358"/>
      <c r="AE10" s="419"/>
      <c r="AF10" s="359"/>
    </row>
    <row r="11" spans="1:32" ht="11.2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217"/>
      <c r="AF11" s="217"/>
    </row>
    <row r="12" spans="1:32" ht="10.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212"/>
      <c r="O12" s="212"/>
      <c r="P12" s="212"/>
      <c r="Q12" s="212"/>
      <c r="R12" s="203"/>
      <c r="S12" s="203"/>
      <c r="T12" s="203"/>
      <c r="U12" s="203"/>
      <c r="V12" s="203"/>
      <c r="W12" s="203"/>
      <c r="X12" s="213"/>
      <c r="Y12" s="213"/>
      <c r="Z12" s="213"/>
      <c r="AA12" s="213"/>
      <c r="AB12" s="213"/>
      <c r="AC12" s="213"/>
      <c r="AD12" s="213"/>
      <c r="AE12" s="218"/>
      <c r="AF12" s="218"/>
    </row>
    <row r="13" spans="1:32" s="87" customFormat="1" ht="18.75" customHeight="1">
      <c r="A13" s="283" t="s">
        <v>253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</row>
    <row r="14" spans="1:32" s="65" customFormat="1" ht="18.75" customHeight="1"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</row>
    <row r="15" spans="1:32" ht="29.25" customHeight="1">
      <c r="A15" s="467" t="s">
        <v>53</v>
      </c>
      <c r="B15" s="431" t="s">
        <v>203</v>
      </c>
      <c r="C15" s="432"/>
      <c r="D15" s="282" t="s">
        <v>196</v>
      </c>
      <c r="E15" s="282"/>
      <c r="F15" s="282"/>
      <c r="G15" s="282"/>
      <c r="H15" s="282" t="s">
        <v>346</v>
      </c>
      <c r="I15" s="282"/>
      <c r="J15" s="282"/>
      <c r="K15" s="282"/>
      <c r="L15" s="282"/>
      <c r="M15" s="282"/>
      <c r="N15" s="282"/>
      <c r="O15" s="282"/>
      <c r="P15" s="282"/>
      <c r="Q15" s="282"/>
      <c r="R15" s="428" t="s">
        <v>204</v>
      </c>
      <c r="S15" s="428"/>
      <c r="T15" s="428"/>
      <c r="U15" s="428"/>
      <c r="V15" s="428"/>
      <c r="W15" s="286" t="s">
        <v>205</v>
      </c>
      <c r="X15" s="286"/>
      <c r="Y15" s="286"/>
      <c r="Z15" s="286"/>
      <c r="AA15" s="286"/>
      <c r="AB15" s="286"/>
      <c r="AC15" s="286"/>
      <c r="AD15" s="286"/>
      <c r="AE15" s="286"/>
      <c r="AF15" s="286"/>
    </row>
    <row r="16" spans="1:32" ht="24.95" customHeight="1">
      <c r="A16" s="467"/>
      <c r="B16" s="468"/>
      <c r="C16" s="469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428"/>
      <c r="S16" s="428"/>
      <c r="T16" s="428"/>
      <c r="U16" s="428"/>
      <c r="V16" s="428"/>
      <c r="W16" s="470" t="s">
        <v>309</v>
      </c>
      <c r="X16" s="470"/>
      <c r="Y16" s="415" t="s">
        <v>247</v>
      </c>
      <c r="Z16" s="416"/>
      <c r="AA16" s="415" t="s">
        <v>248</v>
      </c>
      <c r="AB16" s="416"/>
      <c r="AC16" s="415" t="s">
        <v>275</v>
      </c>
      <c r="AD16" s="416"/>
      <c r="AE16" s="415" t="s">
        <v>276</v>
      </c>
      <c r="AF16" s="416"/>
    </row>
    <row r="17" spans="1:32" ht="24.95" customHeight="1">
      <c r="A17" s="467"/>
      <c r="B17" s="433"/>
      <c r="C17" s="434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428"/>
      <c r="S17" s="428"/>
      <c r="T17" s="428"/>
      <c r="U17" s="428"/>
      <c r="V17" s="428"/>
      <c r="W17" s="470"/>
      <c r="X17" s="470"/>
      <c r="Y17" s="417"/>
      <c r="Z17" s="418"/>
      <c r="AA17" s="417"/>
      <c r="AB17" s="418"/>
      <c r="AC17" s="417"/>
      <c r="AD17" s="418"/>
      <c r="AE17" s="417"/>
      <c r="AF17" s="418"/>
    </row>
    <row r="18" spans="1:32" ht="18.75" customHeight="1">
      <c r="A18" s="69">
        <v>1</v>
      </c>
      <c r="B18" s="435">
        <v>2</v>
      </c>
      <c r="C18" s="436"/>
      <c r="D18" s="331">
        <v>3</v>
      </c>
      <c r="E18" s="331"/>
      <c r="F18" s="331"/>
      <c r="G18" s="331"/>
      <c r="H18" s="331">
        <v>4</v>
      </c>
      <c r="I18" s="331"/>
      <c r="J18" s="331"/>
      <c r="K18" s="331"/>
      <c r="L18" s="331"/>
      <c r="M18" s="331"/>
      <c r="N18" s="331"/>
      <c r="O18" s="331"/>
      <c r="P18" s="331"/>
      <c r="Q18" s="331"/>
      <c r="R18" s="355">
        <v>5</v>
      </c>
      <c r="S18" s="355"/>
      <c r="T18" s="355"/>
      <c r="U18" s="355"/>
      <c r="V18" s="355"/>
      <c r="W18" s="355">
        <v>6</v>
      </c>
      <c r="X18" s="355"/>
      <c r="Y18" s="357">
        <v>7</v>
      </c>
      <c r="Z18" s="357"/>
      <c r="AA18" s="357">
        <v>8</v>
      </c>
      <c r="AB18" s="357"/>
      <c r="AC18" s="357">
        <v>9</v>
      </c>
      <c r="AD18" s="357"/>
      <c r="AE18" s="357">
        <v>10</v>
      </c>
      <c r="AF18" s="357"/>
    </row>
    <row r="19" spans="1:32" ht="20.100000000000001" customHeight="1">
      <c r="A19" s="70"/>
      <c r="B19" s="439"/>
      <c r="C19" s="440"/>
      <c r="D19" s="409"/>
      <c r="E19" s="409"/>
      <c r="F19" s="409"/>
      <c r="G19" s="409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7"/>
      <c r="S19" s="427"/>
      <c r="T19" s="427"/>
      <c r="U19" s="427"/>
      <c r="V19" s="427"/>
      <c r="W19" s="375"/>
      <c r="X19" s="375"/>
      <c r="Y19" s="375"/>
      <c r="Z19" s="375"/>
      <c r="AA19" s="375"/>
      <c r="AB19" s="375"/>
      <c r="AC19" s="375"/>
      <c r="AD19" s="375"/>
      <c r="AE19" s="367"/>
      <c r="AF19" s="367"/>
    </row>
    <row r="20" spans="1:32" ht="20.100000000000001" customHeight="1">
      <c r="A20" s="70"/>
      <c r="B20" s="439"/>
      <c r="C20" s="440"/>
      <c r="D20" s="409"/>
      <c r="E20" s="409"/>
      <c r="F20" s="409"/>
      <c r="G20" s="409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7"/>
      <c r="S20" s="427"/>
      <c r="T20" s="427"/>
      <c r="U20" s="427"/>
      <c r="V20" s="427"/>
      <c r="W20" s="375"/>
      <c r="X20" s="375"/>
      <c r="Y20" s="375"/>
      <c r="Z20" s="375"/>
      <c r="AA20" s="375"/>
      <c r="AB20" s="375"/>
      <c r="AC20" s="375"/>
      <c r="AD20" s="375"/>
      <c r="AE20" s="367"/>
      <c r="AF20" s="367"/>
    </row>
    <row r="21" spans="1:32" ht="20.100000000000001" customHeight="1">
      <c r="A21" s="70"/>
      <c r="B21" s="439"/>
      <c r="C21" s="440"/>
      <c r="D21" s="409"/>
      <c r="E21" s="409"/>
      <c r="F21" s="409"/>
      <c r="G21" s="409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7"/>
      <c r="S21" s="427"/>
      <c r="T21" s="427"/>
      <c r="U21" s="427"/>
      <c r="V21" s="427"/>
      <c r="W21" s="375"/>
      <c r="X21" s="375"/>
      <c r="Y21" s="375"/>
      <c r="Z21" s="375"/>
      <c r="AA21" s="375"/>
      <c r="AB21" s="375"/>
      <c r="AC21" s="375"/>
      <c r="AD21" s="375"/>
      <c r="AE21" s="367"/>
      <c r="AF21" s="367"/>
    </row>
    <row r="22" spans="1:32" ht="20.100000000000001" customHeight="1">
      <c r="A22" s="70"/>
      <c r="B22" s="439"/>
      <c r="C22" s="440"/>
      <c r="D22" s="409"/>
      <c r="E22" s="409"/>
      <c r="F22" s="409"/>
      <c r="G22" s="409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7"/>
      <c r="S22" s="427"/>
      <c r="T22" s="427"/>
      <c r="U22" s="427"/>
      <c r="V22" s="427"/>
      <c r="W22" s="375"/>
      <c r="X22" s="375"/>
      <c r="Y22" s="375"/>
      <c r="Z22" s="375"/>
      <c r="AA22" s="375"/>
      <c r="AB22" s="375"/>
      <c r="AC22" s="375"/>
      <c r="AD22" s="375"/>
      <c r="AE22" s="367"/>
      <c r="AF22" s="367"/>
    </row>
    <row r="23" spans="1:32" ht="24.95" customHeight="1">
      <c r="A23" s="466" t="s">
        <v>58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375"/>
      <c r="X23" s="375"/>
      <c r="Y23" s="375"/>
      <c r="Z23" s="375"/>
      <c r="AA23" s="375"/>
      <c r="AB23" s="375"/>
      <c r="AC23" s="375"/>
      <c r="AD23" s="375"/>
      <c r="AE23" s="367"/>
      <c r="AF23" s="367"/>
    </row>
    <row r="24" spans="1:3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62"/>
      <c r="O24" s="162"/>
      <c r="P24" s="162"/>
      <c r="R24" s="201"/>
      <c r="S24" s="201"/>
      <c r="T24" s="201"/>
      <c r="U24" s="201"/>
      <c r="V24" s="201"/>
      <c r="AF24" s="201"/>
    </row>
    <row r="25" spans="1:32" ht="5.2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62"/>
      <c r="O25" s="162"/>
      <c r="P25" s="162"/>
      <c r="R25" s="201"/>
      <c r="S25" s="201"/>
      <c r="T25" s="201"/>
      <c r="U25" s="201"/>
      <c r="V25" s="201"/>
      <c r="AF25" s="201"/>
    </row>
    <row r="26" spans="1:32" s="87" customFormat="1" ht="18.75" customHeight="1">
      <c r="A26" s="283" t="s">
        <v>217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</row>
    <row r="27" spans="1:32">
      <c r="A27" s="71"/>
      <c r="B27" s="71"/>
      <c r="C27" s="71"/>
      <c r="D27" s="71"/>
      <c r="E27" s="71"/>
      <c r="F27" s="71"/>
      <c r="G27" s="71"/>
      <c r="H27" s="71"/>
      <c r="I27" s="72"/>
      <c r="J27" s="72"/>
      <c r="K27" s="72"/>
      <c r="L27" s="72"/>
      <c r="M27" s="72"/>
      <c r="N27" s="205"/>
      <c r="O27" s="205"/>
      <c r="P27" s="205"/>
      <c r="Q27" s="205"/>
      <c r="R27" s="205"/>
      <c r="S27" s="205"/>
      <c r="T27" s="205"/>
      <c r="U27" s="205"/>
      <c r="V27" s="205"/>
      <c r="W27" s="214"/>
      <c r="Z27" s="456"/>
      <c r="AA27" s="456"/>
      <c r="AB27" s="456"/>
      <c r="AD27" s="456" t="s">
        <v>237</v>
      </c>
      <c r="AE27" s="456"/>
      <c r="AF27" s="456"/>
    </row>
    <row r="28" spans="1:32" ht="24.95" customHeight="1">
      <c r="A28" s="429" t="s">
        <v>53</v>
      </c>
      <c r="B28" s="431" t="s">
        <v>254</v>
      </c>
      <c r="C28" s="481"/>
      <c r="D28" s="481"/>
      <c r="E28" s="481"/>
      <c r="F28" s="481"/>
      <c r="G28" s="481"/>
      <c r="H28" s="481"/>
      <c r="I28" s="481"/>
      <c r="J28" s="481"/>
      <c r="K28" s="481"/>
      <c r="L28" s="432"/>
      <c r="M28" s="453" t="s">
        <v>57</v>
      </c>
      <c r="N28" s="454"/>
      <c r="O28" s="454"/>
      <c r="P28" s="455"/>
      <c r="Q28" s="450" t="s">
        <v>87</v>
      </c>
      <c r="R28" s="451"/>
      <c r="S28" s="451"/>
      <c r="T28" s="452"/>
      <c r="U28" s="450" t="s">
        <v>312</v>
      </c>
      <c r="V28" s="451"/>
      <c r="W28" s="451"/>
      <c r="X28" s="452"/>
      <c r="Y28" s="450" t="s">
        <v>127</v>
      </c>
      <c r="Z28" s="451"/>
      <c r="AA28" s="451"/>
      <c r="AB28" s="452"/>
      <c r="AC28" s="450" t="s">
        <v>58</v>
      </c>
      <c r="AD28" s="451"/>
      <c r="AE28" s="451"/>
      <c r="AF28" s="452"/>
    </row>
    <row r="29" spans="1:32" ht="24.95" customHeight="1">
      <c r="A29" s="472"/>
      <c r="B29" s="468"/>
      <c r="C29" s="482"/>
      <c r="D29" s="482"/>
      <c r="E29" s="482"/>
      <c r="F29" s="482"/>
      <c r="G29" s="482"/>
      <c r="H29" s="482"/>
      <c r="I29" s="482"/>
      <c r="J29" s="482"/>
      <c r="K29" s="482"/>
      <c r="L29" s="469"/>
      <c r="M29" s="484" t="s">
        <v>247</v>
      </c>
      <c r="N29" s="413" t="s">
        <v>248</v>
      </c>
      <c r="O29" s="413" t="s">
        <v>366</v>
      </c>
      <c r="P29" s="413" t="s">
        <v>367</v>
      </c>
      <c r="Q29" s="413" t="s">
        <v>247</v>
      </c>
      <c r="R29" s="413" t="s">
        <v>248</v>
      </c>
      <c r="S29" s="413" t="s">
        <v>366</v>
      </c>
      <c r="T29" s="413" t="s">
        <v>367</v>
      </c>
      <c r="U29" s="413" t="s">
        <v>247</v>
      </c>
      <c r="V29" s="413" t="s">
        <v>248</v>
      </c>
      <c r="W29" s="413" t="s">
        <v>366</v>
      </c>
      <c r="X29" s="413" t="s">
        <v>367</v>
      </c>
      <c r="Y29" s="413" t="s">
        <v>247</v>
      </c>
      <c r="Z29" s="413" t="s">
        <v>248</v>
      </c>
      <c r="AA29" s="413" t="s">
        <v>366</v>
      </c>
      <c r="AB29" s="413" t="s">
        <v>367</v>
      </c>
      <c r="AC29" s="413" t="s">
        <v>247</v>
      </c>
      <c r="AD29" s="413" t="s">
        <v>248</v>
      </c>
      <c r="AE29" s="413" t="s">
        <v>366</v>
      </c>
      <c r="AF29" s="413" t="s">
        <v>367</v>
      </c>
    </row>
    <row r="30" spans="1:32" ht="36.75" customHeight="1">
      <c r="A30" s="430"/>
      <c r="B30" s="433"/>
      <c r="C30" s="483"/>
      <c r="D30" s="483"/>
      <c r="E30" s="483"/>
      <c r="F30" s="483"/>
      <c r="G30" s="483"/>
      <c r="H30" s="483"/>
      <c r="I30" s="483"/>
      <c r="J30" s="483"/>
      <c r="K30" s="483"/>
      <c r="L30" s="434"/>
      <c r="M30" s="485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</row>
    <row r="31" spans="1:32" ht="18.75" customHeight="1">
      <c r="A31" s="70">
        <v>1</v>
      </c>
      <c r="B31" s="487">
        <v>2</v>
      </c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34">
        <v>3</v>
      </c>
      <c r="N31" s="172">
        <v>4</v>
      </c>
      <c r="O31" s="172">
        <v>5</v>
      </c>
      <c r="P31" s="172">
        <v>6</v>
      </c>
      <c r="Q31" s="172">
        <v>7</v>
      </c>
      <c r="R31" s="172">
        <v>8</v>
      </c>
      <c r="S31" s="172">
        <v>9</v>
      </c>
      <c r="T31" s="172">
        <v>10</v>
      </c>
      <c r="U31" s="172">
        <v>11</v>
      </c>
      <c r="V31" s="172">
        <v>12</v>
      </c>
      <c r="W31" s="172">
        <v>13</v>
      </c>
      <c r="X31" s="172">
        <v>14</v>
      </c>
      <c r="Y31" s="172">
        <v>15</v>
      </c>
      <c r="Z31" s="172">
        <v>16</v>
      </c>
      <c r="AA31" s="172">
        <v>17</v>
      </c>
      <c r="AB31" s="172">
        <v>18</v>
      </c>
      <c r="AC31" s="172">
        <v>19</v>
      </c>
      <c r="AD31" s="172">
        <v>20</v>
      </c>
      <c r="AE31" s="172">
        <v>21</v>
      </c>
      <c r="AF31" s="172">
        <v>22</v>
      </c>
    </row>
    <row r="32" spans="1:32" ht="54.75" customHeight="1">
      <c r="A32" s="67">
        <v>1</v>
      </c>
      <c r="B32" s="476" t="s">
        <v>541</v>
      </c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34"/>
      <c r="N32" s="172"/>
      <c r="O32" s="172"/>
      <c r="P32" s="206"/>
      <c r="Q32" s="172"/>
      <c r="R32" s="172"/>
      <c r="S32" s="172"/>
      <c r="T32" s="206"/>
      <c r="U32" s="172"/>
      <c r="V32" s="172"/>
      <c r="W32" s="172"/>
      <c r="X32" s="206"/>
      <c r="Y32" s="172"/>
      <c r="Z32" s="172"/>
      <c r="AA32" s="172"/>
      <c r="AB32" s="206"/>
      <c r="AC32" s="172">
        <f>U32</f>
        <v>0</v>
      </c>
      <c r="AD32" s="172"/>
      <c r="AE32" s="172"/>
      <c r="AF32" s="206"/>
    </row>
    <row r="33" spans="1:32" ht="54.75" customHeight="1">
      <c r="A33" s="67">
        <v>2</v>
      </c>
      <c r="B33" s="476" t="s">
        <v>542</v>
      </c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34"/>
      <c r="N33" s="172"/>
      <c r="O33" s="172"/>
      <c r="P33" s="206"/>
      <c r="Q33" s="172"/>
      <c r="R33" s="172"/>
      <c r="S33" s="172"/>
      <c r="T33" s="206"/>
      <c r="U33" s="172"/>
      <c r="V33" s="249">
        <f>'4. Кап. інвестиції'!E8</f>
        <v>1195.8333333333335</v>
      </c>
      <c r="W33" s="249"/>
      <c r="X33" s="248"/>
      <c r="Y33" s="172"/>
      <c r="Z33" s="172"/>
      <c r="AA33" s="172"/>
      <c r="AB33" s="206"/>
      <c r="AC33" s="172">
        <f>U33</f>
        <v>0</v>
      </c>
      <c r="AD33" s="172">
        <f>V33</f>
        <v>1195.8333333333335</v>
      </c>
      <c r="AE33" s="172"/>
      <c r="AF33" s="206"/>
    </row>
    <row r="34" spans="1:32" ht="39" customHeight="1">
      <c r="A34" s="67">
        <v>3</v>
      </c>
      <c r="B34" s="476" t="s">
        <v>586</v>
      </c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34"/>
      <c r="N34" s="172"/>
      <c r="O34" s="172"/>
      <c r="P34" s="206"/>
      <c r="Q34" s="172"/>
      <c r="R34" s="172"/>
      <c r="S34" s="172"/>
      <c r="T34" s="206"/>
      <c r="U34" s="172"/>
      <c r="V34" s="249">
        <f>'4. Кап. інвестиції'!E10</f>
        <v>0</v>
      </c>
      <c r="W34" s="249">
        <f>V34-U34</f>
        <v>0</v>
      </c>
      <c r="X34" s="248"/>
      <c r="Y34" s="172"/>
      <c r="Z34" s="172"/>
      <c r="AA34" s="172"/>
      <c r="AB34" s="206"/>
      <c r="AC34" s="172"/>
      <c r="AD34" s="172"/>
      <c r="AE34" s="172"/>
      <c r="AF34" s="206"/>
    </row>
    <row r="35" spans="1:32" ht="38.25" customHeight="1">
      <c r="A35" s="67">
        <v>4</v>
      </c>
      <c r="B35" s="473" t="s">
        <v>588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5"/>
      <c r="M35" s="34"/>
      <c r="N35" s="172"/>
      <c r="O35" s="172"/>
      <c r="P35" s="206"/>
      <c r="Q35" s="172"/>
      <c r="R35" s="172"/>
      <c r="S35" s="172"/>
      <c r="T35" s="206"/>
      <c r="U35" s="172"/>
      <c r="V35" s="249">
        <f>'4. Кап. інвестиції'!E9</f>
        <v>0</v>
      </c>
      <c r="W35" s="249"/>
      <c r="X35" s="248"/>
      <c r="Y35" s="172"/>
      <c r="Z35" s="172"/>
      <c r="AA35" s="172"/>
      <c r="AB35" s="206"/>
      <c r="AC35" s="172"/>
      <c r="AD35" s="172"/>
      <c r="AE35" s="172"/>
      <c r="AF35" s="206"/>
    </row>
    <row r="36" spans="1:32" ht="24.95" customHeight="1">
      <c r="A36" s="473" t="s">
        <v>58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5"/>
      <c r="M36" s="34"/>
      <c r="N36" s="172"/>
      <c r="O36" s="172"/>
      <c r="P36" s="206"/>
      <c r="Q36" s="172"/>
      <c r="R36" s="172"/>
      <c r="S36" s="172"/>
      <c r="T36" s="206"/>
      <c r="U36" s="172">
        <f>U34</f>
        <v>0</v>
      </c>
      <c r="V36" s="249">
        <f>V33</f>
        <v>1195.8333333333335</v>
      </c>
      <c r="W36" s="249">
        <f>V36-U36</f>
        <v>1195.8333333333335</v>
      </c>
      <c r="X36" s="248"/>
      <c r="Y36" s="172"/>
      <c r="Z36" s="172"/>
      <c r="AA36" s="172"/>
      <c r="AB36" s="206"/>
      <c r="AC36" s="172">
        <f>SUM(AC32:AC33)</f>
        <v>0</v>
      </c>
      <c r="AD36" s="172">
        <f>AD33</f>
        <v>1195.8333333333335</v>
      </c>
      <c r="AE36" s="172"/>
      <c r="AF36" s="206"/>
    </row>
    <row r="37" spans="1:32" ht="24.95" customHeight="1">
      <c r="A37" s="473" t="s">
        <v>59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5"/>
      <c r="M37" s="73" t="e">
        <f>M36/AC36*100</f>
        <v>#DIV/0!</v>
      </c>
      <c r="N37" s="206"/>
      <c r="O37" s="206"/>
      <c r="P37" s="206"/>
      <c r="Q37" s="215" t="e">
        <f>Q36/AC36*100</f>
        <v>#DIV/0!</v>
      </c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</row>
    <row r="38" spans="1:32" ht="15" customHeight="1">
      <c r="A38" s="64"/>
      <c r="B38" s="64"/>
      <c r="C38" s="6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207"/>
      <c r="O38" s="207"/>
      <c r="P38" s="207"/>
      <c r="Q38" s="207"/>
      <c r="R38" s="207"/>
      <c r="S38" s="207"/>
      <c r="T38" s="207"/>
      <c r="U38" s="207"/>
      <c r="V38" s="207"/>
    </row>
    <row r="39" spans="1:32" ht="5.25" customHeight="1">
      <c r="A39" s="64"/>
      <c r="B39" s="64"/>
      <c r="C39" s="6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207"/>
      <c r="O39" s="207"/>
      <c r="P39" s="207"/>
      <c r="Q39" s="207"/>
      <c r="R39" s="207"/>
      <c r="S39" s="207"/>
      <c r="T39" s="207"/>
      <c r="U39" s="207"/>
      <c r="V39" s="207"/>
    </row>
    <row r="40" spans="1:32" s="87" customFormat="1" ht="31.5" customHeight="1">
      <c r="A40" s="283" t="s">
        <v>255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</row>
    <row r="41" spans="1:32" s="75" customFormat="1" ht="9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L41" s="3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457" t="s">
        <v>237</v>
      </c>
      <c r="AE41" s="457"/>
      <c r="AF41" s="457"/>
    </row>
    <row r="42" spans="1:32" s="76" customFormat="1" ht="34.5" customHeight="1">
      <c r="A42" s="486" t="s">
        <v>210</v>
      </c>
      <c r="B42" s="441" t="s">
        <v>335</v>
      </c>
      <c r="C42" s="477"/>
      <c r="D42" s="331" t="s">
        <v>368</v>
      </c>
      <c r="E42" s="331"/>
      <c r="F42" s="282" t="s">
        <v>211</v>
      </c>
      <c r="G42" s="282"/>
      <c r="H42" s="331" t="s">
        <v>212</v>
      </c>
      <c r="I42" s="331"/>
      <c r="J42" s="331" t="s">
        <v>369</v>
      </c>
      <c r="K42" s="331"/>
      <c r="L42" s="281" t="s">
        <v>365</v>
      </c>
      <c r="M42" s="281"/>
      <c r="N42" s="281"/>
      <c r="O42" s="281"/>
      <c r="P42" s="281"/>
      <c r="Q42" s="281"/>
      <c r="R42" s="281"/>
      <c r="S42" s="281"/>
      <c r="T42" s="281"/>
      <c r="U42" s="281"/>
      <c r="V42" s="428" t="s">
        <v>336</v>
      </c>
      <c r="W42" s="428"/>
      <c r="X42" s="428"/>
      <c r="Y42" s="428"/>
      <c r="Z42" s="428"/>
      <c r="AA42" s="428" t="s">
        <v>337</v>
      </c>
      <c r="AB42" s="428"/>
      <c r="AC42" s="428"/>
      <c r="AD42" s="428"/>
      <c r="AE42" s="428"/>
      <c r="AF42" s="428"/>
    </row>
    <row r="43" spans="1:32" s="76" customFormat="1" ht="52.5" customHeight="1">
      <c r="A43" s="486"/>
      <c r="B43" s="478"/>
      <c r="C43" s="479"/>
      <c r="D43" s="331"/>
      <c r="E43" s="331"/>
      <c r="F43" s="282"/>
      <c r="G43" s="282"/>
      <c r="H43" s="331"/>
      <c r="I43" s="331"/>
      <c r="J43" s="331"/>
      <c r="K43" s="331"/>
      <c r="L43" s="282" t="s">
        <v>305</v>
      </c>
      <c r="M43" s="282"/>
      <c r="N43" s="355" t="s">
        <v>310</v>
      </c>
      <c r="O43" s="355"/>
      <c r="P43" s="428" t="s">
        <v>311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</row>
    <row r="44" spans="1:32" s="77" customFormat="1" ht="82.5" customHeight="1">
      <c r="A44" s="486"/>
      <c r="B44" s="443"/>
      <c r="C44" s="480"/>
      <c r="D44" s="331"/>
      <c r="E44" s="331"/>
      <c r="F44" s="282"/>
      <c r="G44" s="282"/>
      <c r="H44" s="331"/>
      <c r="I44" s="331"/>
      <c r="J44" s="331"/>
      <c r="K44" s="331"/>
      <c r="L44" s="282"/>
      <c r="M44" s="282"/>
      <c r="N44" s="355"/>
      <c r="O44" s="355"/>
      <c r="P44" s="428" t="s">
        <v>306</v>
      </c>
      <c r="Q44" s="428"/>
      <c r="R44" s="428" t="s">
        <v>307</v>
      </c>
      <c r="S44" s="428"/>
      <c r="T44" s="428" t="s">
        <v>308</v>
      </c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</row>
    <row r="45" spans="1:32" s="76" customFormat="1" ht="18.75" customHeight="1">
      <c r="A45" s="54">
        <v>1</v>
      </c>
      <c r="B45" s="349">
        <v>2</v>
      </c>
      <c r="C45" s="350"/>
      <c r="D45" s="331">
        <v>3</v>
      </c>
      <c r="E45" s="331"/>
      <c r="F45" s="331">
        <v>4</v>
      </c>
      <c r="G45" s="331"/>
      <c r="H45" s="331">
        <v>5</v>
      </c>
      <c r="I45" s="331"/>
      <c r="J45" s="331">
        <v>6</v>
      </c>
      <c r="K45" s="331"/>
      <c r="L45" s="349">
        <v>7</v>
      </c>
      <c r="M45" s="350"/>
      <c r="N45" s="352">
        <v>8</v>
      </c>
      <c r="O45" s="354"/>
      <c r="P45" s="355">
        <v>9</v>
      </c>
      <c r="Q45" s="355"/>
      <c r="R45" s="357">
        <v>10</v>
      </c>
      <c r="S45" s="357"/>
      <c r="T45" s="355">
        <v>11</v>
      </c>
      <c r="U45" s="355"/>
      <c r="V45" s="355">
        <v>12</v>
      </c>
      <c r="W45" s="355"/>
      <c r="X45" s="355"/>
      <c r="Y45" s="355"/>
      <c r="Z45" s="355"/>
      <c r="AA45" s="355">
        <v>13</v>
      </c>
      <c r="AB45" s="355"/>
      <c r="AC45" s="355"/>
      <c r="AD45" s="355"/>
      <c r="AE45" s="355"/>
      <c r="AF45" s="355"/>
    </row>
    <row r="46" spans="1:32" s="76" customFormat="1" ht="20.100000000000001" customHeight="1">
      <c r="A46" s="78"/>
      <c r="B46" s="458"/>
      <c r="C46" s="459"/>
      <c r="D46" s="409"/>
      <c r="E46" s="409"/>
      <c r="F46" s="343"/>
      <c r="G46" s="343"/>
      <c r="H46" s="343"/>
      <c r="I46" s="343"/>
      <c r="J46" s="343"/>
      <c r="K46" s="343"/>
      <c r="L46" s="358"/>
      <c r="M46" s="359"/>
      <c r="N46" s="368"/>
      <c r="O46" s="369"/>
      <c r="P46" s="375"/>
      <c r="Q46" s="375"/>
      <c r="R46" s="375"/>
      <c r="S46" s="375"/>
      <c r="T46" s="375"/>
      <c r="U46" s="375"/>
      <c r="V46" s="407"/>
      <c r="W46" s="407"/>
      <c r="X46" s="407"/>
      <c r="Y46" s="407"/>
      <c r="Z46" s="407"/>
      <c r="AA46" s="375"/>
      <c r="AB46" s="375"/>
      <c r="AC46" s="375"/>
      <c r="AD46" s="375"/>
      <c r="AE46" s="375"/>
      <c r="AF46" s="375"/>
    </row>
    <row r="47" spans="1:32" s="76" customFormat="1" ht="20.100000000000001" customHeight="1">
      <c r="A47" s="78"/>
      <c r="B47" s="458"/>
      <c r="C47" s="459"/>
      <c r="D47" s="409"/>
      <c r="E47" s="409"/>
      <c r="F47" s="343"/>
      <c r="G47" s="343"/>
      <c r="H47" s="343"/>
      <c r="I47" s="343"/>
      <c r="J47" s="343"/>
      <c r="K47" s="343"/>
      <c r="L47" s="358"/>
      <c r="M47" s="359"/>
      <c r="N47" s="368"/>
      <c r="O47" s="369"/>
      <c r="P47" s="375"/>
      <c r="Q47" s="375"/>
      <c r="R47" s="375"/>
      <c r="S47" s="375"/>
      <c r="T47" s="375"/>
      <c r="U47" s="375"/>
      <c r="V47" s="407"/>
      <c r="W47" s="407"/>
      <c r="X47" s="407"/>
      <c r="Y47" s="407"/>
      <c r="Z47" s="407"/>
      <c r="AA47" s="375"/>
      <c r="AB47" s="375"/>
      <c r="AC47" s="375"/>
      <c r="AD47" s="375"/>
      <c r="AE47" s="375"/>
      <c r="AF47" s="375"/>
    </row>
    <row r="48" spans="1:32" s="76" customFormat="1" ht="20.100000000000001" customHeight="1">
      <c r="A48" s="78"/>
      <c r="B48" s="458"/>
      <c r="C48" s="459"/>
      <c r="D48" s="409"/>
      <c r="E48" s="409"/>
      <c r="F48" s="343"/>
      <c r="G48" s="343"/>
      <c r="H48" s="343"/>
      <c r="I48" s="343"/>
      <c r="J48" s="343"/>
      <c r="K48" s="343"/>
      <c r="L48" s="358"/>
      <c r="M48" s="359"/>
      <c r="N48" s="368"/>
      <c r="O48" s="369"/>
      <c r="P48" s="375"/>
      <c r="Q48" s="375"/>
      <c r="R48" s="375"/>
      <c r="S48" s="375"/>
      <c r="T48" s="375"/>
      <c r="U48" s="375"/>
      <c r="V48" s="407"/>
      <c r="W48" s="407"/>
      <c r="X48" s="407"/>
      <c r="Y48" s="407"/>
      <c r="Z48" s="407"/>
      <c r="AA48" s="375"/>
      <c r="AB48" s="375"/>
      <c r="AC48" s="375"/>
      <c r="AD48" s="375"/>
      <c r="AE48" s="375"/>
      <c r="AF48" s="375"/>
    </row>
    <row r="49" spans="1:32" s="76" customFormat="1" ht="20.100000000000001" customHeight="1">
      <c r="A49" s="78"/>
      <c r="B49" s="458"/>
      <c r="C49" s="459"/>
      <c r="D49" s="409"/>
      <c r="E49" s="409"/>
      <c r="F49" s="343"/>
      <c r="G49" s="343"/>
      <c r="H49" s="343"/>
      <c r="I49" s="343"/>
      <c r="J49" s="343"/>
      <c r="K49" s="343"/>
      <c r="L49" s="358"/>
      <c r="M49" s="359"/>
      <c r="N49" s="368"/>
      <c r="O49" s="369"/>
      <c r="P49" s="375"/>
      <c r="Q49" s="375"/>
      <c r="R49" s="375"/>
      <c r="S49" s="375"/>
      <c r="T49" s="375"/>
      <c r="U49" s="375"/>
      <c r="V49" s="407"/>
      <c r="W49" s="407"/>
      <c r="X49" s="407"/>
      <c r="Y49" s="407"/>
      <c r="Z49" s="407"/>
      <c r="AA49" s="375"/>
      <c r="AB49" s="375"/>
      <c r="AC49" s="375"/>
      <c r="AD49" s="375"/>
      <c r="AE49" s="375"/>
      <c r="AF49" s="375"/>
    </row>
    <row r="50" spans="1:32" s="76" customFormat="1" ht="20.100000000000001" customHeight="1">
      <c r="A50" s="78"/>
      <c r="B50" s="458"/>
      <c r="C50" s="459"/>
      <c r="D50" s="409"/>
      <c r="E50" s="409"/>
      <c r="F50" s="343"/>
      <c r="G50" s="343"/>
      <c r="H50" s="343"/>
      <c r="I50" s="343"/>
      <c r="J50" s="343"/>
      <c r="K50" s="343"/>
      <c r="L50" s="358"/>
      <c r="M50" s="359"/>
      <c r="N50" s="368"/>
      <c r="O50" s="369"/>
      <c r="P50" s="375"/>
      <c r="Q50" s="375"/>
      <c r="R50" s="375"/>
      <c r="S50" s="375"/>
      <c r="T50" s="375"/>
      <c r="U50" s="375"/>
      <c r="V50" s="407"/>
      <c r="W50" s="407"/>
      <c r="X50" s="407"/>
      <c r="Y50" s="407"/>
      <c r="Z50" s="407"/>
      <c r="AA50" s="375"/>
      <c r="AB50" s="375"/>
      <c r="AC50" s="375"/>
      <c r="AD50" s="375"/>
      <c r="AE50" s="375"/>
      <c r="AF50" s="375"/>
    </row>
    <row r="51" spans="1:32" s="76" customFormat="1" ht="20.100000000000001" customHeight="1">
      <c r="A51" s="78"/>
      <c r="B51" s="458"/>
      <c r="C51" s="459"/>
      <c r="D51" s="409"/>
      <c r="E51" s="409"/>
      <c r="F51" s="343"/>
      <c r="G51" s="343"/>
      <c r="H51" s="343"/>
      <c r="I51" s="343"/>
      <c r="J51" s="343"/>
      <c r="K51" s="343"/>
      <c r="L51" s="358"/>
      <c r="M51" s="359"/>
      <c r="N51" s="368"/>
      <c r="O51" s="369"/>
      <c r="P51" s="375"/>
      <c r="Q51" s="375"/>
      <c r="R51" s="375"/>
      <c r="S51" s="375"/>
      <c r="T51" s="375"/>
      <c r="U51" s="375"/>
      <c r="V51" s="407"/>
      <c r="W51" s="407"/>
      <c r="X51" s="407"/>
      <c r="Y51" s="407"/>
      <c r="Z51" s="407"/>
      <c r="AA51" s="375"/>
      <c r="AB51" s="375"/>
      <c r="AC51" s="375"/>
      <c r="AD51" s="375"/>
      <c r="AE51" s="375"/>
      <c r="AF51" s="375"/>
    </row>
    <row r="52" spans="1:32" s="76" customFormat="1" ht="20.100000000000001" customHeight="1">
      <c r="A52" s="78"/>
      <c r="B52" s="458"/>
      <c r="C52" s="459"/>
      <c r="D52" s="409"/>
      <c r="E52" s="409"/>
      <c r="F52" s="343"/>
      <c r="G52" s="343"/>
      <c r="H52" s="343"/>
      <c r="I52" s="343"/>
      <c r="J52" s="343"/>
      <c r="K52" s="343"/>
      <c r="L52" s="358"/>
      <c r="M52" s="359"/>
      <c r="N52" s="368"/>
      <c r="O52" s="369"/>
      <c r="P52" s="375"/>
      <c r="Q52" s="375"/>
      <c r="R52" s="375"/>
      <c r="S52" s="375"/>
      <c r="T52" s="375"/>
      <c r="U52" s="375"/>
      <c r="V52" s="407"/>
      <c r="W52" s="407"/>
      <c r="X52" s="407"/>
      <c r="Y52" s="407"/>
      <c r="Z52" s="407"/>
      <c r="AA52" s="375"/>
      <c r="AB52" s="375"/>
      <c r="AC52" s="375"/>
      <c r="AD52" s="375"/>
      <c r="AE52" s="375"/>
      <c r="AF52" s="375"/>
    </row>
    <row r="53" spans="1:32" s="76" customFormat="1" ht="24.95" customHeight="1">
      <c r="A53" s="410" t="s">
        <v>58</v>
      </c>
      <c r="B53" s="411"/>
      <c r="C53" s="411"/>
      <c r="D53" s="411"/>
      <c r="E53" s="412"/>
      <c r="F53" s="343"/>
      <c r="G53" s="343"/>
      <c r="H53" s="343"/>
      <c r="I53" s="343"/>
      <c r="J53" s="343"/>
      <c r="K53" s="343"/>
      <c r="L53" s="358"/>
      <c r="M53" s="359"/>
      <c r="N53" s="368"/>
      <c r="O53" s="369"/>
      <c r="P53" s="375"/>
      <c r="Q53" s="375"/>
      <c r="R53" s="375"/>
      <c r="S53" s="375"/>
      <c r="T53" s="375"/>
      <c r="U53" s="375"/>
      <c r="V53" s="407"/>
      <c r="W53" s="407"/>
      <c r="X53" s="407"/>
      <c r="Y53" s="407"/>
      <c r="Z53" s="407"/>
      <c r="AA53" s="375"/>
      <c r="AB53" s="375"/>
      <c r="AC53" s="375"/>
      <c r="AD53" s="375"/>
      <c r="AE53" s="375"/>
      <c r="AF53" s="375"/>
    </row>
    <row r="54" spans="1:32" ht="15" customHeight="1">
      <c r="A54" s="64"/>
      <c r="B54" s="64"/>
      <c r="C54" s="6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207"/>
      <c r="O54" s="207"/>
      <c r="P54" s="207"/>
      <c r="Q54" s="207"/>
      <c r="R54" s="207"/>
      <c r="S54" s="207"/>
      <c r="T54" s="207"/>
      <c r="U54" s="207"/>
      <c r="V54" s="207"/>
    </row>
    <row r="55" spans="1:32" ht="15" customHeight="1">
      <c r="A55" s="64"/>
      <c r="B55" s="64"/>
      <c r="C55" s="6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207"/>
      <c r="O55" s="207"/>
      <c r="P55" s="207"/>
      <c r="Q55" s="207"/>
      <c r="R55" s="207"/>
      <c r="S55" s="207"/>
      <c r="T55" s="207"/>
      <c r="U55" s="207"/>
      <c r="V55" s="207"/>
    </row>
    <row r="56" spans="1:32">
      <c r="A56" s="64"/>
      <c r="B56" s="64"/>
      <c r="C56" s="6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207"/>
      <c r="O56" s="207"/>
      <c r="P56" s="207"/>
      <c r="Q56" s="207"/>
      <c r="R56" s="207"/>
      <c r="S56" s="207"/>
      <c r="T56" s="207"/>
      <c r="U56" s="207"/>
      <c r="V56" s="207"/>
    </row>
    <row r="57" spans="1:32" ht="15" customHeight="1">
      <c r="A57" s="64"/>
      <c r="B57" s="64"/>
      <c r="C57" s="6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207"/>
      <c r="O57" s="207"/>
      <c r="P57" s="207"/>
      <c r="Q57" s="207"/>
      <c r="R57" s="207"/>
      <c r="S57" s="207"/>
      <c r="T57" s="207"/>
      <c r="U57" s="207"/>
      <c r="V57" s="207"/>
    </row>
    <row r="58" spans="1:32" s="86" customFormat="1" ht="18" customHeight="1">
      <c r="A58" s="283" t="s">
        <v>614</v>
      </c>
      <c r="B58" s="283"/>
      <c r="C58" s="283"/>
      <c r="D58" s="283"/>
      <c r="E58" s="283"/>
      <c r="F58" s="283"/>
      <c r="G58" s="283"/>
      <c r="H58" s="283"/>
      <c r="I58" s="283"/>
      <c r="J58" s="283"/>
      <c r="K58" s="88"/>
      <c r="L58" s="88"/>
      <c r="M58" s="405"/>
      <c r="N58" s="405"/>
      <c r="O58" s="405"/>
      <c r="P58" s="405"/>
      <c r="Q58" s="405"/>
      <c r="R58" s="209"/>
      <c r="S58" s="209"/>
      <c r="T58" s="209"/>
      <c r="U58" s="209"/>
      <c r="V58" s="209"/>
      <c r="W58" s="287"/>
      <c r="X58" s="287"/>
      <c r="Y58" s="287"/>
      <c r="Z58" s="287"/>
      <c r="AA58" s="287"/>
      <c r="AB58" s="406" t="s">
        <v>615</v>
      </c>
      <c r="AC58" s="406"/>
      <c r="AD58" s="406"/>
      <c r="AE58" s="406"/>
      <c r="AF58" s="406"/>
    </row>
    <row r="59" spans="1:32" s="28" customFormat="1">
      <c r="B59" s="408" t="s">
        <v>77</v>
      </c>
      <c r="C59" s="408"/>
      <c r="D59" s="408"/>
      <c r="E59" s="408"/>
      <c r="F59" s="408"/>
      <c r="G59" s="408"/>
      <c r="H59" s="64"/>
      <c r="I59" s="64"/>
      <c r="J59" s="65"/>
      <c r="K59" s="65"/>
      <c r="L59" s="65"/>
      <c r="N59" s="180"/>
      <c r="O59" s="180"/>
      <c r="P59" s="180"/>
      <c r="Q59" s="180"/>
      <c r="R59" s="180" t="s">
        <v>78</v>
      </c>
      <c r="S59" s="181"/>
      <c r="T59" s="181"/>
      <c r="U59" s="181"/>
      <c r="V59" s="180"/>
      <c r="W59" s="181"/>
      <c r="X59" s="181"/>
      <c r="Y59" s="181"/>
      <c r="Z59" s="181"/>
      <c r="AA59" s="181"/>
      <c r="AB59" s="404" t="s">
        <v>128</v>
      </c>
      <c r="AC59" s="404"/>
      <c r="AD59" s="404"/>
      <c r="AE59" s="404"/>
      <c r="AF59" s="404"/>
    </row>
    <row r="60" spans="1:32" s="79" customFormat="1" ht="16.5" customHeight="1">
      <c r="C60" s="80"/>
      <c r="D60" s="81"/>
      <c r="E60" s="81"/>
      <c r="F60" s="82"/>
      <c r="G60" s="82"/>
      <c r="H60" s="82"/>
      <c r="I60" s="82"/>
      <c r="J60" s="82"/>
      <c r="K60" s="82"/>
      <c r="L60" s="82"/>
      <c r="M60" s="82"/>
      <c r="N60" s="216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6"/>
      <c r="AC60" s="216"/>
      <c r="AD60" s="216"/>
      <c r="AE60" s="216"/>
      <c r="AF60" s="216"/>
    </row>
    <row r="61" spans="1:32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211"/>
      <c r="O61" s="211"/>
      <c r="P61" s="211"/>
      <c r="Q61" s="211"/>
      <c r="R61" s="211"/>
      <c r="S61" s="211"/>
      <c r="T61" s="211"/>
      <c r="U61" s="211"/>
      <c r="V61" s="211"/>
    </row>
    <row r="62" spans="1:32">
      <c r="C62" s="84"/>
    </row>
    <row r="65" spans="3:3">
      <c r="C65" s="85"/>
    </row>
    <row r="66" spans="3:3">
      <c r="C66" s="85"/>
    </row>
    <row r="67" spans="3:3">
      <c r="C67" s="85"/>
    </row>
    <row r="68" spans="3:3">
      <c r="C68" s="85"/>
    </row>
    <row r="69" spans="3:3">
      <c r="C69" s="85"/>
    </row>
    <row r="70" spans="3:3">
      <c r="C70" s="85"/>
    </row>
    <row r="71" spans="3:3">
      <c r="C71" s="85"/>
    </row>
  </sheetData>
  <mergeCells count="278"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  <mergeCell ref="H21:Q21"/>
    <mergeCell ref="T29:T30"/>
    <mergeCell ref="P29:P30"/>
    <mergeCell ref="S29:S30"/>
    <mergeCell ref="B28:L30"/>
    <mergeCell ref="M29:M30"/>
    <mergeCell ref="Q28:T28"/>
    <mergeCell ref="Q29:Q30"/>
    <mergeCell ref="D21:G21"/>
    <mergeCell ref="W29:W30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G1840-1</cp:lastModifiedBy>
  <cp:lastPrinted>2021-07-29T12:03:43Z</cp:lastPrinted>
  <dcterms:created xsi:type="dcterms:W3CDTF">2003-03-13T16:00:22Z</dcterms:created>
  <dcterms:modified xsi:type="dcterms:W3CDTF">2021-07-29T12:03:52Z</dcterms:modified>
</cp:coreProperties>
</file>