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ROZORRO\"/>
    </mc:Choice>
  </mc:AlternateContent>
  <bookViews>
    <workbookView xWindow="0" yWindow="0" windowWidth="28800" windowHeight="12330"/>
  </bookViews>
  <sheets>
    <sheet name="Sheet" sheetId="1" r:id="rId1"/>
  </sheets>
  <definedNames>
    <definedName name="_xlnm._FilterDatabase" localSheetId="0" hidden="1">Sheet!$A$2:$L$1161</definedName>
  </definedNames>
  <calcPr calcId="162913"/>
</workbook>
</file>

<file path=xl/calcChain.xml><?xml version="1.0" encoding="utf-8"?>
<calcChain xmlns="http://schemas.openxmlformats.org/spreadsheetml/2006/main">
  <c r="B1160" i="1" l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<sst xmlns="http://schemas.openxmlformats.org/spreadsheetml/2006/main" count="6297" uniqueCount="1426">
  <si>
    <t xml:space="preserve">
Електротовари</t>
  </si>
  <si>
    <t xml:space="preserve">  Новорічні ялинки 8 м, За ДК 021:2015 Код 39298910-9 Новорічні ялинки</t>
  </si>
  <si>
    <t xml:space="preserve">  Послуга з вивезення, утилізації або захоронення твердих побутових відходів ДК 021:2015 Код 90513000-6 (Послуги з поводження з безпечними сміттям і відходами та  їх утилізація)</t>
  </si>
  <si>
    <t xml:space="preserve"> "Капітальний ремонт елементів благоустрою частини парку  ім. Писаржевського у м. Дніпрі" (I,II черга) </t>
  </si>
  <si>
    <t xml:space="preserve"> Інвентаризація  нерухомого майна стадіону по вул. Євгена Маланюка (вул. Кантемирівська), 1 (Самарський район). </t>
  </si>
  <si>
    <t xml:space="preserve"> Бензин За ДК 021:2015 Код 09132000-3   (Бензин А 92 Energy) </t>
  </si>
  <si>
    <t xml:space="preserve"> Блокноти ДК 021:2015 Код 22816100-4 Блокноти</t>
  </si>
  <si>
    <t xml:space="preserve"> Виконання проектно-вишукувальних робiт  по об`єкту «Реконструкція парку ім. Писаржевського у  м. Дніпрі» За ДК 021:2015 Код 71220000-6  Послуги з архітектурного проектування виконання проектно-вишукувальних робіт.</t>
  </si>
  <si>
    <t xml:space="preserve"> Господарчі товари  </t>
  </si>
  <si>
    <t xml:space="preserve"> Кабелі та супутня продукція За ДК 021:2015 Код 44320000-9 Кабелі та супутня продукція</t>
  </si>
  <si>
    <t xml:space="preserve"> Монтаж та демонтаж святкових прикрас </t>
  </si>
  <si>
    <t xml:space="preserve"> Побутове приладдя:  Пилосос За ДК 021:2015 Код 39713430-6 Пилососи.</t>
  </si>
  <si>
    <t xml:space="preserve"> Портативні комп’ютери, діагональ 15. 6 дюймів (в комплекті з мишею</t>
  </si>
  <si>
    <t xml:space="preserve"> Послуга з інвентаризації об’єктів нерухомого майна та надання інформації з Реєстру права власності на нерухоме майно За ДК 021:2015 Код 79991000-7 Послуги з інвентаризації</t>
  </si>
  <si>
    <t xml:space="preserve"> Послуги для проведення святкових заходів в парку ім. Писаржевського та парку ім. В.Дубініна. За ДК 021:2015 Код 98110000-7 Послуги підприємницьких, професійних та спеціалізованих організацій</t>
  </si>
  <si>
    <t xml:space="preserve"> Послуги з охорони </t>
  </si>
  <si>
    <t xml:space="preserve"> Послуги зі збирання сміття на території парку «Зелений Гай»  (ім. Ленінського комсомолу) по вул. Олександра Макарова в районі будинку № 27А (Чечелівський (Красногавардійський ) район)</t>
  </si>
  <si>
    <t xml:space="preserve"> Прожектори За ДК 021:2015 Код 31500000-1 Освітлювальне обладнання та електричні лампи</t>
  </si>
  <si>
    <t xml:space="preserve"> Розроблення проектно-кошторисної документації по об’єкту: «Капітальний ремонт центральної алеї парку Зелений Гай у м. Дніпрі» </t>
  </si>
  <si>
    <t xml:space="preserve"> Ручні інструменти</t>
  </si>
  <si>
    <t xml:space="preserve"> ФОП Пасіцельська Марія Юріївна</t>
  </si>
  <si>
    <t xml:space="preserve"> Шатер За ДК 021:2015 Код 39522530-1 Намет</t>
  </si>
  <si>
    <t>"ДніпроДІІНТР"-ДФ ДП "УкрНДІІНТВ"</t>
  </si>
  <si>
    <t>"Роботи з виконання інженерно-геологічних вишукувань по об'єкту "Парк Зелений Гай у місті Дніпрі"</t>
  </si>
  <si>
    <t>. Портативний комп’ютер, діагональ 17. 3 дюйми ( в комплекті з мишею)</t>
  </si>
  <si>
    <t xml:space="preserve">.Джерела безперебійного  живлення </t>
  </si>
  <si>
    <t>021:2015 Код 90512000-9 Послуги з перевезення сміття (ліквідація стихійних звалищ) з території парку «Зелений Гай» (ім. Ленінського комсомолу) по вул, Олександра Макарова в районі будинку № 27А (Чечелівський (Красногавардійський ) район)</t>
  </si>
  <si>
    <t>03110000-5 Сільськогосподарські культури, продукція товарного садівництва та рослинництва</t>
  </si>
  <si>
    <t>03410000-7 Деревина</t>
  </si>
  <si>
    <t>03440000-6 Продукція лісівництва</t>
  </si>
  <si>
    <t>03450000-9 Розсадницька продукція</t>
  </si>
  <si>
    <t>03451100-7 Саджанці</t>
  </si>
  <si>
    <t>09130000-9 Нафта і дистиляти</t>
  </si>
  <si>
    <t>09132000-3 Бензин</t>
  </si>
  <si>
    <t>09210000-4 Мастильні засоби</t>
  </si>
  <si>
    <t>09211000-1 Мастильні оливи та мастильні матеріали</t>
  </si>
  <si>
    <t>09310000-5 Електрична енергія</t>
  </si>
  <si>
    <t>14210000-6 Гравій, пісок, щебінь і наповнювачі</t>
  </si>
  <si>
    <t>14630000-6 Шлак, окалина, відходи та скрап чорних металів</t>
  </si>
  <si>
    <t>14810000-2 Абразивні вироби</t>
  </si>
  <si>
    <t>16160000-4 Садова техніка різна</t>
  </si>
  <si>
    <t>16310000-1 Косарки</t>
  </si>
  <si>
    <t>16311000-8 Газонокосарки</t>
  </si>
  <si>
    <t>16311100-9 Косарки для газонів, парків і спортивних майданчиків</t>
  </si>
  <si>
    <t>16320000-4 Сінозбиральні машини</t>
  </si>
  <si>
    <t>16700000-2 Трактори</t>
  </si>
  <si>
    <t>16800000-3 Частини для сільськогосподарської та лісогосподарської техніки</t>
  </si>
  <si>
    <t>16820000-9 Частини для лісогосподарської техніки</t>
  </si>
  <si>
    <t>18100000-0 Формений одяг, спеціальний робочий одяг та аксесуари</t>
  </si>
  <si>
    <t>18130000-9 Спеціальний робочий одяг</t>
  </si>
  <si>
    <t>18140000-2 Аксесуари до робочого одягу</t>
  </si>
  <si>
    <t>18220000-7 Штормовий одяг</t>
  </si>
  <si>
    <t>18230000-0 Верхній одяг різний</t>
  </si>
  <si>
    <t>18420000-9 Аксесуари для одягу</t>
  </si>
  <si>
    <t>18520000-0 Персональні хронометри</t>
  </si>
  <si>
    <t>18530000-3 Подарунки та нагороди</t>
  </si>
  <si>
    <t>18810000-0 Взуття різне, крім спортивного та захисного</t>
  </si>
  <si>
    <t>18830000-6 Захисне взуття</t>
  </si>
  <si>
    <t>18930000-7 Мішки та пакети</t>
  </si>
  <si>
    <t>19210000-1 Натуральні тканини</t>
  </si>
  <si>
    <t>19510000-4 Гумові вироби</t>
  </si>
  <si>
    <t>19520000-7 Пластмасові вироби</t>
  </si>
  <si>
    <t>19640000-4 Поліетиленові мішки та пакети для сміття</t>
  </si>
  <si>
    <t>19720000-9 Синтетичні волокна</t>
  </si>
  <si>
    <t>22120000-7 Видання</t>
  </si>
  <si>
    <t>22210000-5 Газети</t>
  </si>
  <si>
    <t>22450000-9 Друкована продукція з елементами захисту</t>
  </si>
  <si>
    <t>22460000-2 Рекламні матеріали, каталоги товарів та посібники</t>
  </si>
  <si>
    <t>22816100-4 Блокноти</t>
  </si>
  <si>
    <t>22852000-7 Теки</t>
  </si>
  <si>
    <t>22900000-9 Друкована продукція різна</t>
  </si>
  <si>
    <t>24430000-7 Добрива тваринного та рослинного походження</t>
  </si>
  <si>
    <t>24440000-0 Добрива різні</t>
  </si>
  <si>
    <t>24450000-3 Агрохімічна продукція</t>
  </si>
  <si>
    <t>30120000-6 Фотокопіювальне та поліграфічне обладнання для офсетного друку</t>
  </si>
  <si>
    <t>30190000-7 Офісне устаткування та приладдя різне</t>
  </si>
  <si>
    <t>30191000-4 Офісне устаткування, крім меблів</t>
  </si>
  <si>
    <t>30197630-1 Папір для друку</t>
  </si>
  <si>
    <t>30210000-4 Машини для обробки даних (апаратна частина)</t>
  </si>
  <si>
    <t>30213000-5 Персональні комп’ютери</t>
  </si>
  <si>
    <t>30213100-6 Портативні комп’ютери</t>
  </si>
  <si>
    <t>30230000-0 Комп’ютерне обладнання</t>
  </si>
  <si>
    <t>30232000-4 Периферійне обладнання</t>
  </si>
  <si>
    <t>30233180-6 Флеш-накопичувачі</t>
  </si>
  <si>
    <t>31120000-3 Генератори</t>
  </si>
  <si>
    <t>31170000-8 Трансформатори</t>
  </si>
  <si>
    <t>31210000-1 Електрична апаратура для комутування та захисту електричних кіл</t>
  </si>
  <si>
    <t>31220000-4 Елементи електричних схем</t>
  </si>
  <si>
    <t>31320000-5 Електророзподільні кабелі</t>
  </si>
  <si>
    <t>31500000-1 Освітлювальне обладнання та електричні лампи</t>
  </si>
  <si>
    <t>31520000-7 Світильники та освітлювальна арматура</t>
  </si>
  <si>
    <t>31522000-1 Ялинкові електричні гірлянди</t>
  </si>
  <si>
    <t>31530000-0 Частини до світильників та освітлювального обладнання</t>
  </si>
  <si>
    <t>31682000-0 Електричне приладдя</t>
  </si>
  <si>
    <t>31710000-6 Електронне обладнання</t>
  </si>
  <si>
    <t>31720000-9 Електромеханічне обладнання</t>
  </si>
  <si>
    <t>32320000-2 Телевізійне й аудіовізуальне обладнання</t>
  </si>
  <si>
    <t>32342400-6 Акустичні пристрої</t>
  </si>
  <si>
    <t>32410000-0 Локальні мережі</t>
  </si>
  <si>
    <t>32560000-6 Оптоволоконні матеріали</t>
  </si>
  <si>
    <t>33140000-3 Медичні матеріали</t>
  </si>
  <si>
    <t>33196000-0 Аптечки першої медичної допомоги</t>
  </si>
  <si>
    <t>33630000-5 Лікарські засоби для лікування дерматологічних захворювань та захворювань опорно-рухового апарату</t>
  </si>
  <si>
    <t>33710000-0 Парфуми, засоби гігієни та презервативи</t>
  </si>
  <si>
    <t>33740000-9 Засоби для догляду за руками та нігтями</t>
  </si>
  <si>
    <t>33760000-5 Туалетний папір, носові хустинки, рушники для рук і серветки</t>
  </si>
  <si>
    <t>33916100-5 Пили для розтину</t>
  </si>
  <si>
    <t>34140000-0 Великовантажні мототранспортні засоби</t>
  </si>
  <si>
    <t>34320000-6 Механічні запасні частини, крім двигунів і частин двигунів</t>
  </si>
  <si>
    <t>34350000-5 Шини для транспортних засобів великої та малої тоннажності</t>
  </si>
  <si>
    <t>34910000-9 Гужові чи ручні вози, інші транспортні засоби з немеханічним приводом, багажні вози та різні запасні частини</t>
  </si>
  <si>
    <t>34920000-2 Дорожнє обладнання</t>
  </si>
  <si>
    <t>34928200-0 Огорожі</t>
  </si>
  <si>
    <t>34928480-6 Контейнери та урни для відходів і сміття</t>
  </si>
  <si>
    <t>34990000-3 Регулювальне, запобіжне, сигнальне та освітлювальне обладнання</t>
  </si>
  <si>
    <t>35110000-8 Протипожежне, рятувальне та захисне обладнання</t>
  </si>
  <si>
    <t>35820000-8 Допоміжне екіпірування</t>
  </si>
  <si>
    <t>37410000-5 Інвентар для спортивних ігор на відкритому повітрі</t>
  </si>
  <si>
    <t>37420000-8 Гімнастичний інвентар</t>
  </si>
  <si>
    <t>37440000-4 Інвентар для фітнесу</t>
  </si>
  <si>
    <t>37450000-7 Спортивний інвентар для полів і кортів</t>
  </si>
  <si>
    <t>37500000-3 Ігри та іграшки; атракціони</t>
  </si>
  <si>
    <t>37520000-9 Іграшки</t>
  </si>
  <si>
    <t>37530000-2 Вироби для парків розваг, настільних або кімнатних ігор</t>
  </si>
  <si>
    <t>38300000-8 Вимірювальні прилади</t>
  </si>
  <si>
    <t>38550000-5 Лічильники</t>
  </si>
  <si>
    <t>38650000-6 Фотографічне обладнання</t>
  </si>
  <si>
    <t>38652100-1 Проектори</t>
  </si>
  <si>
    <t>38653400-1 Проекційні екрани</t>
  </si>
  <si>
    <t>39100000-3 Меблі</t>
  </si>
  <si>
    <t>39110000-6 Сидіння, стільці та супутні вироби і частини до них</t>
  </si>
  <si>
    <t>39120000-9 Столи, серванти, письмові столи та книжкові шафи</t>
  </si>
  <si>
    <t>39140000-5 Меблі для дому</t>
  </si>
  <si>
    <t>39150000-8 Меблі та приспособи різні</t>
  </si>
  <si>
    <t>39154100-7 Виставкові стенди</t>
  </si>
  <si>
    <t>39240000-6 Різальні інструменти</t>
  </si>
  <si>
    <t>39260000-2 Секційні лотки та канцелярське приладдя</t>
  </si>
  <si>
    <t>39290000-1 Фурнітура різна</t>
  </si>
  <si>
    <t>39298900-6 Декоративні вироби різні</t>
  </si>
  <si>
    <t>39298910-9 Новорічні ялинки</t>
  </si>
  <si>
    <t>39330000-4 Дезінфекційне обладнання</t>
  </si>
  <si>
    <t>39510000-0 Вироби домашнього текстилю</t>
  </si>
  <si>
    <t>39520000-3 Готові текстильні вироби</t>
  </si>
  <si>
    <t>39522530-1 Намети</t>
  </si>
  <si>
    <t>39530000-6 Килимові покриття, килимки та килими</t>
  </si>
  <si>
    <t>39531000-3 Килимові покриття</t>
  </si>
  <si>
    <t>39540000-9 Вироби різні з канату, мотузки, шпагату та сітки</t>
  </si>
  <si>
    <t>39560000-5 Текстильні вироби різні</t>
  </si>
  <si>
    <t>39710000-2 Електричні побутові прилади</t>
  </si>
  <si>
    <t>39713430-6 Пилососи</t>
  </si>
  <si>
    <t>39715240-1 Електроприлади для обігріву приміщень</t>
  </si>
  <si>
    <t>39830000-9 Продукція для чищення</t>
  </si>
  <si>
    <t>39831200-8 Мийні засоби</t>
  </si>
  <si>
    <t>42120000-6 Насоси та компресори</t>
  </si>
  <si>
    <t>42510000-4 Теплообмінники, кондиціонери повітря, холодильне обладнання та фільтрувальні пристрої</t>
  </si>
  <si>
    <t>42620000-8 Токарні, розточувальні та фрезерувальні верстати</t>
  </si>
  <si>
    <t>42650000-7 Ручні інструменти пневматичні чи моторизовані</t>
  </si>
  <si>
    <t>42652000-1 Електромеханічні ручні інструменти</t>
  </si>
  <si>
    <t>42660000-0 Інструменти для паяння м’яким і твердим припоєм та для зварювання, машини та устаткування для поверхневої термообробки і гарячого напилювання</t>
  </si>
  <si>
    <t>42960000-3 Системи керування та контролю, друкарське і графічне обладнання та обладнання для автоматизації офісу й обробки інформації</t>
  </si>
  <si>
    <t>42990000-2 Машини спеціального призначення різні</t>
  </si>
  <si>
    <t>43320000-2 Будівельне обладнання</t>
  </si>
  <si>
    <t>43410000-0 Машини для обробки мінералів</t>
  </si>
  <si>
    <t>43812000-8 Пиляльне обладнання</t>
  </si>
  <si>
    <t>43830000-0 Електричні інструменти</t>
  </si>
  <si>
    <t>44110000-4 Конструкційні матеріали</t>
  </si>
  <si>
    <t>44160000-9 Магістралі, трубопроводи, труби, обсадні труби, тюбінги та супутні вироби</t>
  </si>
  <si>
    <t>44170000-2 Плити, листи, стрічки та фольга, пов’язані з конструкційними матеріалами</t>
  </si>
  <si>
    <t>44190000-8 Конструкційні матеріали різні</t>
  </si>
  <si>
    <t>44200000-2 Конструкційні вироби</t>
  </si>
  <si>
    <t>44210000-5 Конструкції та їх частини</t>
  </si>
  <si>
    <t>44220000-8 Столярні вироби</t>
  </si>
  <si>
    <t>44230000-1 Теслярські вироби</t>
  </si>
  <si>
    <t>44316500-3 Ковані вироби</t>
  </si>
  <si>
    <t>44320000-9 Кабелі та супутня продукція</t>
  </si>
  <si>
    <t>44400000-4 Готова продукція різних видів та супутні вироби</t>
  </si>
  <si>
    <t>44420000-0 Будівельні товари</t>
  </si>
  <si>
    <t>44423220-9 Розкладні драбини</t>
  </si>
  <si>
    <t>44510000-8 Знаряддя</t>
  </si>
  <si>
    <t>44520000-1 Замки, ключі та петлі</t>
  </si>
  <si>
    <t>44530000-4 Кріпильні деталі</t>
  </si>
  <si>
    <t>44610000-9 Цистерни, резервуари, контейнери та посудини високого тиску</t>
  </si>
  <si>
    <t>44810000-1 Фарби</t>
  </si>
  <si>
    <t>45000000-7 Будівельні роботи та поточний ремонт</t>
  </si>
  <si>
    <t>45110000-1 Руйнування та знесення будівель і земляні роботи</t>
  </si>
  <si>
    <t>45111000-8 Руйнування будівель, підготовки і розчищання будівельного майданчика</t>
  </si>
  <si>
    <t>45212220-4 Будівництво багатоцільових спортивних об’єктів</t>
  </si>
  <si>
    <t>45220000-5 Інженерні та будівельні роботи</t>
  </si>
  <si>
    <t>45230000-8 Будівництво трубопроводів, ліній зв’язку та електропередач, шосе, доріг, аеродромів і залізничних доріг; вирівнювання поверхонь</t>
  </si>
  <si>
    <t>45260000-7 Покрівельні роботи та інші спеціалізовані будівельні роботи</t>
  </si>
  <si>
    <t>45300000-0 Будівельно-монтажні роботи</t>
  </si>
  <si>
    <t>45310000-3 Електромонтажні роботи</t>
  </si>
  <si>
    <t>45330000-9 Водопровідні та санітарно-технічні роботи</t>
  </si>
  <si>
    <t>45340000-2 Зведення огорож, монтаж поручнів і захисних засобів</t>
  </si>
  <si>
    <t>45420000-7 Столярні та теслярні роботи</t>
  </si>
  <si>
    <t>45430000-0 Покривання підлоги та стін</t>
  </si>
  <si>
    <t>45450000-6 Інші завершальні будівельні роботи</t>
  </si>
  <si>
    <t>48624000-8 Пакети програмного забезпечення для операційних систем для персональних комп’ютерів</t>
  </si>
  <si>
    <t>50000000-5 Послуги з ремонту і технічного обслуговування</t>
  </si>
  <si>
    <t>50230000-6 Послуги з ремонту, технічного обслуговування дорожньої інфраструктури і пов’язаного обладнання та супутні послуги</t>
  </si>
  <si>
    <t>50310000-1 Технічне обслуговування і ремонт офісної техніки</t>
  </si>
  <si>
    <t>50312000-5 Технічне обслуговування і ремонт комп’ютерного обладнання</t>
  </si>
  <si>
    <t>50330000-7 Послуги з технічного обслуговування телекомунікаційного обладнання</t>
  </si>
  <si>
    <t>50340000-0 Послуги з ремонту і технічного обслуговування аудіовізуального та оптичного обладнання</t>
  </si>
  <si>
    <t>50410000-2 Послуги з ремонту і технічного обслуговування вимірювальних, випробувальних і контрольних приладів</t>
  </si>
  <si>
    <t>50530000-9 Послуги з ремонту і технічного обслуговування техніки</t>
  </si>
  <si>
    <t>50610000-4 Послуги з ремонту і технічного обслуговування захисного обладнання</t>
  </si>
  <si>
    <t>50700000-2 Послуги з ремонту і технічного обслуговування будівельних конструкцій</t>
  </si>
  <si>
    <t>50800000-3 Послуги з різних видів ремонту і технічного обслуговування</t>
  </si>
  <si>
    <t>50870000-4 Послуги з ремонту і технічного обслуговування обладнання для ігрових майданчиків</t>
  </si>
  <si>
    <t>60100000-9 Послуги з автомобільних перевезень</t>
  </si>
  <si>
    <t>60180000-3 Прокат вантажних транспортних засобів із водієм для перевезення товарів</t>
  </si>
  <si>
    <t>64220000-4 Телекомунікаційні послуги, крім послуг телефонного зв’язку і передачі даних</t>
  </si>
  <si>
    <t>64221000-1 Послуги з під’єднання</t>
  </si>
  <si>
    <t>65100000-4 Послуги з розподілу води та супутні послуги</t>
  </si>
  <si>
    <t>65110000-7 Розподіл води</t>
  </si>
  <si>
    <t>65320000-2 Експлуатація електричних установок</t>
  </si>
  <si>
    <t>70220000-9 Послуги з надання в оренду чи лізингу нежитлової нерухомості</t>
  </si>
  <si>
    <t>70330000-3 Послуги з управління нерухомістю, надавані на платній основі чи на договірних засадах</t>
  </si>
  <si>
    <t>71220000-6 Послуги з архітектурного проектування</t>
  </si>
  <si>
    <t>71240000-2 Архітектурні, інженерні та планувальні послуги</t>
  </si>
  <si>
    <t>71250000-5 Архітектурні, інженерні та геодезичні послуги</t>
  </si>
  <si>
    <t>71310000-4 Консультаційні послуги у галузях інженерії та будівництва</t>
  </si>
  <si>
    <t>71330000-0 Інженерні послуги різні</t>
  </si>
  <si>
    <t>71350000-6 Науково-технічні послуги в галузі інженерії</t>
  </si>
  <si>
    <t>71420000-8 Послуги у сфері ландшафтної архітектури</t>
  </si>
  <si>
    <t>71520000-9 Послуги з нагляду за виконанням будівельних робіт</t>
  </si>
  <si>
    <t>72250000-2 Послуги, пов’язані із системами та підтримкою</t>
  </si>
  <si>
    <t>72260000-5 Послуги, пов’язані з програмним забезпеченням</t>
  </si>
  <si>
    <t>72310000-1 Послуги з обробки даних</t>
  </si>
  <si>
    <t>72400000-4 Інтернет-послуги</t>
  </si>
  <si>
    <t>72410000-7 Послуги провайдерів</t>
  </si>
  <si>
    <t>72720000-3 Послуги у сфері глобальних мереж</t>
  </si>
  <si>
    <t>77210000-5 Лісозаготівельні послуги</t>
  </si>
  <si>
    <t>77300000-3 Послуги у сфері рослинництва</t>
  </si>
  <si>
    <t>77310000-6 Послуги з озеленення територій та утримання зелених насаджень</t>
  </si>
  <si>
    <t>79100000-5 Юридичні послуги</t>
  </si>
  <si>
    <t>79110000-8 Послуги з юридичного консультування та юридичного представництва</t>
  </si>
  <si>
    <t>79340000-9 Рекламні та маркетингові послуги</t>
  </si>
  <si>
    <t>79410000-1 Консультаційні послуги з питань підприємницької діяльності та управління</t>
  </si>
  <si>
    <t>79421200-3 Послуги з розробки проектів, крім будівельних</t>
  </si>
  <si>
    <t>79710000-4 Охоронні послуги</t>
  </si>
  <si>
    <t>79713000-5 Послуги з охорони об’єктів та особистої охорони</t>
  </si>
  <si>
    <t>79820000-8 Послуги, пов’язані з друком</t>
  </si>
  <si>
    <t>79900000-3 Різні ділові та пов’язані з діловою сферою послуги</t>
  </si>
  <si>
    <t>79930000-2 Професійні дизайнерські послуги</t>
  </si>
  <si>
    <t>79950000-8 Послуги з організації виставок, ярмарок і конгресів</t>
  </si>
  <si>
    <t>79960000-1 Послуги фотографів і супутні послуги</t>
  </si>
  <si>
    <t>79990000-0 Різні послуги, пов’язані з діловою сферою</t>
  </si>
  <si>
    <t>79991000-7 Послуги з інвентаризації</t>
  </si>
  <si>
    <t>80510000-2 Послуги з професійної підготовки спеціалістів</t>
  </si>
  <si>
    <t>80520000-5 Навчальні засоби</t>
  </si>
  <si>
    <t>80570000-0 Послуги з професійної підготовки у сфері підвищення кваліфікації</t>
  </si>
  <si>
    <t>85140000-2 Послуги у сфері охорони здоров’я різні</t>
  </si>
  <si>
    <t>90510000-5 Утилізація сміття та поводження зі сміттям</t>
  </si>
  <si>
    <t>90510000-5 Утилізація/видалення сміття та поводження зі сміттям</t>
  </si>
  <si>
    <t>90511000-2 Послуги зі збирання сміття</t>
  </si>
  <si>
    <t>90512000-9 Послуги з перевезення сміття</t>
  </si>
  <si>
    <t>90513000-6 Послуги з поводження із безпечними сміттям і відходами та їх утилізація</t>
  </si>
  <si>
    <t>90600000-3 Послуги з прибирання й асенізації для міських і сільських громад та супутні послуги</t>
  </si>
  <si>
    <t>90620000-9 Послуги з прибирання снігу</t>
  </si>
  <si>
    <t>90670000-4 Послуги з дезінфікування та дератизування міських і сільських територій</t>
  </si>
  <si>
    <t>90910000-9 Послуги з прибирання</t>
  </si>
  <si>
    <t>90920000-2 Послуги із санітарно-гігієнічної обробки приміщень</t>
  </si>
  <si>
    <t>92110000-5 Послуги з виробництва кіноплівки та відеокасет і супутні послуги</t>
  </si>
  <si>
    <t>92330000-3 Послуги відпочивально-розважальних комплексів</t>
  </si>
  <si>
    <t>92340000-6 Розважальні послуги, пов’язані з танцями та шоу</t>
  </si>
  <si>
    <t>98110000-7 Послуги підприємницьких, професійних та спеціалізованих організацій</t>
  </si>
  <si>
    <t>98310000-9 Послуги з прання і сухого чищення</t>
  </si>
  <si>
    <t>98390000-3 Інші послуги</t>
  </si>
  <si>
    <t>«Виконання робіт з проходження експертизи проектно-кошторисної документації по об’єкту: «Капітальний ремонт Парку ім. Писаржевського у м. Дніпрі» Коригування»</t>
  </si>
  <si>
    <t xml:space="preserve">«Капітальний ремонт Парку ім. Писаржевського у м. Дніпрі» (Джерело фінансування: місцевий бюджет м.Дніпра)
</t>
  </si>
  <si>
    <t xml:space="preserve">«Капітальний ремонт Парку ім. Писаржевського у м. Дніпрі». Коригування </t>
  </si>
  <si>
    <t>«Капітальний ремонт центральної алеї парку  Зелений Гай у м. Дніпрі» Коригування (Коригування 3)</t>
  </si>
  <si>
    <t>«Капітальний ремонт центральної алеї парку  Зелений Гай у м. Дніпрі». Коригування (Коригування 2)</t>
  </si>
  <si>
    <t>«Коригування меж червоних ліній та ліній регулювання забудови парку ім. Писаржевського у м. Дніпрі»</t>
  </si>
  <si>
    <t>«Коригування червоних ліній просп. О. Поля та просп. Б. Хмельницького на ділянці між вулицями Титова та Гавриленка за місцем розташування парку ім. Писаржевського»</t>
  </si>
  <si>
    <t xml:space="preserve">«Послуги з організації і проведення заходів у парках у 2017 році» </t>
  </si>
  <si>
    <t xml:space="preserve">«Послуги з розробки візуальної концепції (ескізу) об’єкту  «Івент-зона парку Зелений Гай» 
(Джерело фінансування: міський бюджет м. Дніпра)
</t>
  </si>
  <si>
    <t xml:space="preserve">«Поточний ремонт скверу Івана Старова» 
(Джерело фінансування: міський бюджет м. Дніпра)
</t>
  </si>
  <si>
    <t>«Поточний ремонт тротуарного покриття у парку Зелений Гай»</t>
  </si>
  <si>
    <t>«Поточний ремонт тротуарного покриття у сквері «Амурський парк»</t>
  </si>
  <si>
    <t xml:space="preserve">«Поточний ремонт тротуарного покриття у сквері «Амурський парк» </t>
  </si>
  <si>
    <t>«Реконструкція парку ім. Володі Дубініна у м. Дніпрі» (Коригування) від 11.11.2019</t>
  </si>
  <si>
    <t>«Реконструкція парку ім.Володі Дубініна у  м. Дніпрі»  1, 2 та 3 пускові комплекси</t>
  </si>
  <si>
    <t>«Реконструкція парку ім.Володі Дубініна у м.Дніпрі». Коригування (Додаткові роботи)</t>
  </si>
  <si>
    <t xml:space="preserve">«Роботи з технічного нагляду на об’єкті «Капітальний ремонт центральної алеї парку Зелений Гай у м. Дніпрі» (додаткові роботи)        </t>
  </si>
  <si>
    <t>Іграшки</t>
  </si>
  <si>
    <t>Ігрове обладнання</t>
  </si>
  <si>
    <t xml:space="preserve">Ігрове обладнання </t>
  </si>
  <si>
    <t>Ігрове обладнання для дитячо-спортивного майданчика за адресою: м. Дніпро, вул. Коробова,20</t>
  </si>
  <si>
    <t>Ігрове обладнання для майданчиків</t>
  </si>
  <si>
    <t>Ігрове обладнання для облаштування дитячого майданчику «Гайочок дитячих розваг»</t>
  </si>
  <si>
    <t>Ігровий комплекс (Місто LEGO)</t>
  </si>
  <si>
    <t>Ідентифікатор закупівлі</t>
  </si>
  <si>
    <t>Ізострічка ПВХ</t>
  </si>
  <si>
    <t>Інвентаризація зелених насаджень стадіону  по вул. Євгена Маланюка (вул. Кантемирівська), 1 (Самарський район)</t>
  </si>
  <si>
    <t>Інформацйно-технологічний супровід Програми 1С</t>
  </si>
  <si>
    <t>Інформаційний банер</t>
  </si>
  <si>
    <t xml:space="preserve">Інформаційний банер </t>
  </si>
  <si>
    <t xml:space="preserve">Інформаційний банер 
</t>
  </si>
  <si>
    <t>Інформаційно-консультативні послуги по роботі з програмним забезпеченням</t>
  </si>
  <si>
    <t xml:space="preserve">Інформаційно-консультативні послуги по роботі з програмним забезпеченням </t>
  </si>
  <si>
    <t>Інформаційно-консультативні послуги по роботі з програмним забеспеченням</t>
  </si>
  <si>
    <t xml:space="preserve">Інформаційно-консультативні послуги по роботі з програмним забеспеченням </t>
  </si>
  <si>
    <t xml:space="preserve">Інформаційно-консультативні послуги по роботі з програмним забеспеченням 
</t>
  </si>
  <si>
    <t>Інформаційні плакати</t>
  </si>
  <si>
    <t xml:space="preserve">Інформаційні плакати та супутня продукція пов'язана з COVID-19 </t>
  </si>
  <si>
    <t>Інформаційні таблички</t>
  </si>
  <si>
    <t xml:space="preserve">Інформаційні таблички </t>
  </si>
  <si>
    <t xml:space="preserve">Інформаційні таблички (Джерело фінансування: місцевий бюджет м. Дніпра) </t>
  </si>
  <si>
    <t>АДВОКАТСЬКЕ ОБ'ЄДНАННЯ "ТСТ"</t>
  </si>
  <si>
    <t>АКЦІОНЕРНЕ ТОВАРИСТВО "ДТЕК ДНІПРОВСЬКІ ЕЛЕКТРОМЕРЕЖІ"</t>
  </si>
  <si>
    <t>АТ "Дніпропетровська філія  "Альцест"</t>
  </si>
  <si>
    <t xml:space="preserve">Авторський нагляд з виконання проекту та проектної документації на будівництво , відповідно до експертного звіту (позитивного) від 21.10.2021 №0366/10/21-ек щодо розгляду проектної документації на будівництво за робочим проектом «Капітальний ремонт пішохідних алей з оглядовим майданчиком, що примикають до центральної алеї Парку Зелений Гай у м. Дніпрі»  
</t>
  </si>
  <si>
    <t xml:space="preserve">Авторський нагляд з виконання проекту: "Капітальний ремонт Парку ім. Писаржевського у м. Дніпрі"(Джерело фінансування: міський бюджет м. Дніпра)
</t>
  </si>
  <si>
    <t>Авторський нагляд з виконання проекту: "Капітальний ремонт Парку ім. Писаржевського у м. Дніпрі". Коригування</t>
  </si>
  <si>
    <t>Авторський нагляд з виконання проекту: "Реконструкція Парку ім. Володі Дубініна у м. Дніпрі" (Коригування) від 11.11.2019</t>
  </si>
  <si>
    <t>Авторський нагляд з виконання проекту: "Реконструкція парку ім. Володі Дубініна у м. Дніпрі"(Коригування) від 11.11.2019</t>
  </si>
  <si>
    <t>Авторський нагляд з виконання проекту: «Капітальний ремонт Парку ім. Писаржевського у м. Дніпрі» Коригування</t>
  </si>
  <si>
    <t xml:space="preserve">Авторський нагляд з виконання проекту: «Реконструкція парку ім. Володі Дубініна у м. Дніпрі" </t>
  </si>
  <si>
    <t>Авторський нагляд з виконання проекту: Капітальний ремонт Парку ім. Писаржевського у м. Дніпрі</t>
  </si>
  <si>
    <t xml:space="preserve">Авторський нагляд з виконання проекту: Капітальний ремонт пішохідних алей з оглядовим майданчиком, що примикають до центральної алеї Парку Зелений Гай у м. Дніпрі  </t>
  </si>
  <si>
    <t>Агроволокно</t>
  </si>
  <si>
    <t xml:space="preserve">Агроволокно та супутня продукція
; Агроволокно та супутня продукція
</t>
  </si>
  <si>
    <t>Агрохімічна продукція (гербіцид)</t>
  </si>
  <si>
    <t xml:space="preserve">Агрохімічна продукція (гербіцид) </t>
  </si>
  <si>
    <t>Агрохімічна продукція (добрива різні)</t>
  </si>
  <si>
    <t>Аксесуари до робочого одягу (захисний щиток для обличчя для захисту від гострої респіраторної хвороби COVID-19 спричиненої коронавірусом SARS-CoV-2)</t>
  </si>
  <si>
    <t xml:space="preserve">Аксесуари до спеціального одягу  ; Аксесуари до спеціального одягу  </t>
  </si>
  <si>
    <t>Аксесуари до спеціального одягу; Аксесуари до спеціального одягу</t>
  </si>
  <si>
    <t>Аксесуари індивідуального захисту до робочого одягу (респіратори, фільтри)</t>
  </si>
  <si>
    <t>Акустичні колонки. За ДК 021:2015 Код 32342400-6 Акустичні пристрої</t>
  </si>
  <si>
    <t xml:space="preserve">Альтанка (Джерело фінансування: міський бюджет м. Дніпра) </t>
  </si>
  <si>
    <t xml:space="preserve">Альтанки (Джерело фінансування: міський бюджет м. Дніпра) </t>
  </si>
  <si>
    <t>Антисептичені засоби</t>
  </si>
  <si>
    <t>Арка дерев'яна з підсвічуванням</t>
  </si>
  <si>
    <t>Архістратіг -М ТОВ</t>
  </si>
  <si>
    <t>БОГДАНОВ   ДАВИД   ДЕНИСОВИЧ</t>
  </si>
  <si>
    <t>Багаторічні насадження</t>
  </si>
  <si>
    <t xml:space="preserve">Багаторічні насадження </t>
  </si>
  <si>
    <t>Багаторічні насадження (Газонна трава)</t>
  </si>
  <si>
    <t xml:space="preserve">Багаторічні насадження (Джерело фінансування: міський бюджет м. Дніпра) </t>
  </si>
  <si>
    <t xml:space="preserve">Багаторічні насадження (Джерело фінансування: міський бюджет м. Дніпра) 
</t>
  </si>
  <si>
    <t>Багаторічні насадження (Розсадницька продукція)</t>
  </si>
  <si>
    <t xml:space="preserve">Багатофункціональний пристрій </t>
  </si>
  <si>
    <t>Багатошарове безшовне (наливне) спортивне покриття</t>
  </si>
  <si>
    <t>Банер</t>
  </si>
  <si>
    <t xml:space="preserve">Безкаркасний дах для зони патіо (Джерело фінансування: міський бюджет м. Дніпра) </t>
  </si>
  <si>
    <t xml:space="preserve">Бензин </t>
  </si>
  <si>
    <t xml:space="preserve">Бензин За ДК 021:2015 Код 09132000-3   (Бензин А 92 Energy) </t>
  </si>
  <si>
    <t>Бензин марки А-92 (у талонах або стрейч-картах)</t>
  </si>
  <si>
    <t>Бензин марки А-92 (у талонах або стрейч-картках)</t>
  </si>
  <si>
    <t xml:space="preserve">Бензопила За ДК 021:2015 Код 43812000-8 Пиляльне обладнання </t>
  </si>
  <si>
    <t>Бетонозмішувач</t>
  </si>
  <si>
    <t>Блажко Анатолій Андрійович</t>
  </si>
  <si>
    <t>Бокс антивандальний для дезінфікуючого засобу</t>
  </si>
  <si>
    <t xml:space="preserve">Бокс для шахів </t>
  </si>
  <si>
    <t xml:space="preserve">Бордюрна стрічка </t>
  </si>
  <si>
    <t>Будівельні матеріали</t>
  </si>
  <si>
    <t xml:space="preserve">Будівельні матеріали </t>
  </si>
  <si>
    <t xml:space="preserve">Будівельні матеріали  </t>
  </si>
  <si>
    <t>Будівельні матеріали (Джерело фінансування: місцевий бюджет м. Дніпра)</t>
  </si>
  <si>
    <t xml:space="preserve">Будівельні матеріали (Джерело фінансування: міський бюджет м. Дніпра) ; Будівельні матеріали (Джерело фінансування: міський бюджет м. Дніпра) </t>
  </si>
  <si>
    <t xml:space="preserve">Будівельні товари </t>
  </si>
  <si>
    <t>Біндер</t>
  </si>
  <si>
    <t>Вазони</t>
  </si>
  <si>
    <t xml:space="preserve">Вазони СPV 39298900-6 Декоративні вироби різні </t>
  </si>
  <si>
    <t xml:space="preserve">Визначення рівня напруженості електромагнітного випромінювання, щільності потоку енергії
</t>
  </si>
  <si>
    <t>Виконання проектно-вишукувальних робiт  по об`єкту «Реконструкція парку ім. Володі Дубініна у  м. Дніпрі» За ДК 021:2015 Код 71220000-6  Послуги з архітектурного проектування виконання проектно-вишукувальних робіт.</t>
  </si>
  <si>
    <t>Виконання проектно-вишукувальних робiт  по об`єкту «Реконструкція парку ім. Писаржевського у  м. Дніпрі» За ДК 021:2015 Код 71220000-6  Послуги з архітектурного проектування виконання проектно-вишукувальних робіт.</t>
  </si>
  <si>
    <t xml:space="preserve">Виконання робіт з проходження експертизи проектно-кошторисної документації по об’єкту: «Капітальний ремонт Парку ім. Писаржевського у м. Дніпрі» Коригування
</t>
  </si>
  <si>
    <t>Виконання інженерно-геодезичні послуги</t>
  </si>
  <si>
    <t>Вимірювальні прилади</t>
  </si>
  <si>
    <t xml:space="preserve">Вимірювальні прилади </t>
  </si>
  <si>
    <t>Вироби з деревини</t>
  </si>
  <si>
    <t>Висоторіз у комплекті (2 акумулятори, 1 зарядний пристрій) За ДК 021:2015 Код 33916100-5 Пили для ростину</t>
  </si>
  <si>
    <t>Виставкове обладнання</t>
  </si>
  <si>
    <t>Виставкове обладнання, 2000х2430 мм</t>
  </si>
  <si>
    <t>Виставкові стенди</t>
  </si>
  <si>
    <t xml:space="preserve">Витратні матеріали для електроінструментів </t>
  </si>
  <si>
    <t>Вказівники</t>
  </si>
  <si>
    <t xml:space="preserve">Вогнегасники </t>
  </si>
  <si>
    <t>Водопостачання парків</t>
  </si>
  <si>
    <t>Водопровідні труби та супутні вироби</t>
  </si>
  <si>
    <t xml:space="preserve">Волоконно-оптичний кабель та кабельне приладдя
; Волоконно-оптичний кабель та кабельне приладдя
; Волоконно-оптичний кабель та кабельне приладдя
</t>
  </si>
  <si>
    <t>Ворота</t>
  </si>
  <si>
    <t xml:space="preserve">Встановлення та обслуговування біотуалетів </t>
  </si>
  <si>
    <t xml:space="preserve">Встановлення та обслуговування біотуалетів СPV 90600000-3 Послуги з прибирання й асенізації для міських та сільських громад та супутні послуги. </t>
  </si>
  <si>
    <t>Відбійний молоток</t>
  </si>
  <si>
    <t>Відкриті торги</t>
  </si>
  <si>
    <t>Відкриті торги з публікацією англійською мовою</t>
  </si>
  <si>
    <t>Вікна металопластикові</t>
  </si>
  <si>
    <t>ГАВРИЛОВ ІГОР СТАНІСЛАВОВИЧ</t>
  </si>
  <si>
    <t>ГОРБАНЬ ЮРІЙ ВАСИЛЬОВИЧ</t>
  </si>
  <si>
    <t>ГУРСЬКА ТЕТЯНА ОЛЕКСАНДРІВНА</t>
  </si>
  <si>
    <t>Гаврилов Дмитро Дмитрович</t>
  </si>
  <si>
    <t xml:space="preserve">Газонна трава (в рулонах) (Джерело фінансування: міський бюджет м. Дніпра) </t>
  </si>
  <si>
    <t>Газонна трава рулонна</t>
  </si>
  <si>
    <t>Газонокосарка (Джерело фінансування: місцевий бюджет м. Дніпра)</t>
  </si>
  <si>
    <t>Газонокосарки За ДК 021:2015 Код 16311000-8 Газонокосарки</t>
  </si>
  <si>
    <t>Гаражі</t>
  </si>
  <si>
    <t>Генератор</t>
  </si>
  <si>
    <t>Генератор. За ДК 021:2015 Код 31120000-3 Генератори</t>
  </si>
  <si>
    <t xml:space="preserve">Гойдалки паркові  </t>
  </si>
  <si>
    <t>Господарський інвентар</t>
  </si>
  <si>
    <t>Господарський інвентар (лопати для прибирання снігу)</t>
  </si>
  <si>
    <t>Господарські товари (інвентар для прибирання)</t>
  </si>
  <si>
    <t xml:space="preserve">Господарські товари (інвентар для прибирання) </t>
  </si>
  <si>
    <t>Господарчий інвентар</t>
  </si>
  <si>
    <t xml:space="preserve">Господарчий інвентар
</t>
  </si>
  <si>
    <t xml:space="preserve">Господарчий інвентар   </t>
  </si>
  <si>
    <t>Господарчий інвентар (Джерело фінансування: місцевий бюджет м. Дніпра)</t>
  </si>
  <si>
    <t>Господарчі товари</t>
  </si>
  <si>
    <t xml:space="preserve">Господарчі товари
</t>
  </si>
  <si>
    <t xml:space="preserve">Господарчі товари  </t>
  </si>
  <si>
    <t xml:space="preserve">Господарчі товари  
</t>
  </si>
  <si>
    <t xml:space="preserve">Господарчі товари  ; Господарчі товари  </t>
  </si>
  <si>
    <t>Господарчі товари (Джерело фінансування: місцевий бюджет м. Дніпра)</t>
  </si>
  <si>
    <t>Господарчі товари (Джерело фінансування: міський бюджет м. Дніпра)</t>
  </si>
  <si>
    <t xml:space="preserve">Господарчі товари (Джерело фінансування: міський бюджет м. Дніпра) </t>
  </si>
  <si>
    <t>Господарчі товари (Оприскувач акумуляторний для боротьби з COVID -19)</t>
  </si>
  <si>
    <t>Господарчі товари (пакети для сміття)</t>
  </si>
  <si>
    <t xml:space="preserve">Господарчі товари (пакети для сміття)
</t>
  </si>
  <si>
    <t>Господарчі товари та інша продукція</t>
  </si>
  <si>
    <t>Гранд Принт 25 Товариство З Обмеженою Вiдповiдальнiстю</t>
  </si>
  <si>
    <t>Гумове покриття</t>
  </si>
  <si>
    <t xml:space="preserve">Гумове покриття Тартан </t>
  </si>
  <si>
    <t>Гімнастичний інвентар</t>
  </si>
  <si>
    <t>ДЕМЧЕНКО ЄВГЕНІЙ ДМИТРОВИЧ</t>
  </si>
  <si>
    <t>ДЕРЖАВНА УСТАНОВА "ДНІПРОПЕТРОВСЬКИЙ ОБЛАСНИЙ ЛАБОРАТОРНИЙ ЦЕНТР МІНІСТЕРСТВА ОХОРОНИ ЗДОРОВ'Я УКРАЇНИ"</t>
  </si>
  <si>
    <t>ДЕРЖАВНЕ ПІДПРИЄМСТВО ЗОВНІШНЬОЕКОНОМІЧНОЇ ДІЯЛЬНОСТІ "УКРІНТЕРЕНЕРГО"</t>
  </si>
  <si>
    <t>ДЕРЖАВНИЙ ЗАКЛАД "СПЕЦІАЛІЗОВАНА БАГАТОПРОФІЛЬНА ЛІКАРНЯ №1 МІНІСТЕРСТВА ОХОРОНИ ЗДОРОВ’Я УКРАЇНИ"</t>
  </si>
  <si>
    <t>ДК 021:2015  39154100-7 Виставкові стенди</t>
  </si>
  <si>
    <t xml:space="preserve">ДК 021:2015  Код 38652100-1  Проектор </t>
  </si>
  <si>
    <t>ДК 021:2015 39531000-3 Килимова доріжка</t>
  </si>
  <si>
    <t>ДК 021:2015 Код 30191000 Проекційний стіл</t>
  </si>
  <si>
    <t xml:space="preserve">ДК 021:2015 Код 30191000- 4 Проекційний стіл </t>
  </si>
  <si>
    <t>ДК 021:2015 Код 38653400-1 Проекційний екран</t>
  </si>
  <si>
    <t>ДК 021:2015 Код 39298910-9 Новорічні ялинки</t>
  </si>
  <si>
    <t xml:space="preserve">ДК 021:2015 Код 45212220-4 : Виконання проектно-вишукувальних робiт  по об`єкту: «Реконструкція стадіону «Авангард» по вул. Євгена Маланюка,1 у м. Дніпрі» </t>
  </si>
  <si>
    <t xml:space="preserve">ДК 021:2015 Код 48624000-8 Операційна система Windows 10 Home </t>
  </si>
  <si>
    <t>ДК 021:2015 Код 77310000-6</t>
  </si>
  <si>
    <t>ДНІПРОВСЬКА ФІЛІЯ ДЕРЖАВНОГО ПІДПРИЄМСТВА "ДЕРЖАВНИЙ НАУКОВО-ДОСЛІДНИЙ ТА ПРОЕКТНО-ВИШУКУВАЛЬНИЙ ІНСТИТУТ "НДІПРОЕКТРЕКОНСТРУКЦІЯ"</t>
  </si>
  <si>
    <t>ДНІПРОПЕТРОВСЬКИЙ РЕГІОНАЛЬНИЙ ЦЕНТР З ГІДРОМЕТЕОРОЛОГІЇ</t>
  </si>
  <si>
    <t>ДОЧІРНЄ ІНОЗЕМНЕ ПІДПРИЄМСТВО "ДНІПРОДОР"</t>
  </si>
  <si>
    <t>ДОЧІРНЄ ПІДПРИЄМСТВО "ДНІПРОПЕТРОВСЬКИЙ НАВЧАЛЬНО-КУРСОВИЙ КОМБІНАТ "МОНОЛІТ" ДЕРЖАВНОГО ПУБЛІЧНОГО АКЦІОНЕРНОГО ТОВАРИСТВА "БУДІВЕЛЬНА КОМПАНІЯ "УКРБУД"</t>
  </si>
  <si>
    <t>ДОЧІРНЄ ПІДПРИЄМСТВО "ФОРЕСТ- Д"</t>
  </si>
  <si>
    <t>ДП "Дніпроводоканал" ДМР</t>
  </si>
  <si>
    <t>ДП Форест-Д</t>
  </si>
  <si>
    <t>Дата аукціону</t>
  </si>
  <si>
    <t>Дата закінчення процедури</t>
  </si>
  <si>
    <t>Дата публікації закупівлі</t>
  </si>
  <si>
    <t xml:space="preserve">Дезінфекційний засіб 
; Дезінфекційний засіб </t>
  </si>
  <si>
    <t xml:space="preserve">Дезінфекційний засіб в концентрованому вигляді </t>
  </si>
  <si>
    <t>Декоративні вироби</t>
  </si>
  <si>
    <t xml:space="preserve">Декоративні вироби різні ; Декоративні вироби різні </t>
  </si>
  <si>
    <t>Декоративні фігури</t>
  </si>
  <si>
    <t>Демонтаж новорічних ялинок з прикрасами</t>
  </si>
  <si>
    <t>Демонтаж світлодіодних прикрас</t>
  </si>
  <si>
    <t>Дерев'яні вироби</t>
  </si>
  <si>
    <t>Дерев'яні вироби та інша продукція</t>
  </si>
  <si>
    <t>Дерев’яна альтанка в комплекті з меблями</t>
  </si>
  <si>
    <t>Дерев’яні вироби</t>
  </si>
  <si>
    <t xml:space="preserve">Дерев’яні вироби </t>
  </si>
  <si>
    <t xml:space="preserve">Дитячий лабіринт </t>
  </si>
  <si>
    <t xml:space="preserve">Дитячі ігрові комплекси  </t>
  </si>
  <si>
    <t xml:space="preserve">Дитячій ігровий комплекс </t>
  </si>
  <si>
    <t>Добрива СPV 24440000-0 Добрива різні</t>
  </si>
  <si>
    <t>Добрива; Добрива; Добрива; Добрива</t>
  </si>
  <si>
    <t>Допорогова закупівля</t>
  </si>
  <si>
    <t>Драбини</t>
  </si>
  <si>
    <t>Драбини СPV 44423220-9 Розкладні драбини</t>
  </si>
  <si>
    <t xml:space="preserve">Друкована продукція на замовлення  </t>
  </si>
  <si>
    <t>Електрична енергія</t>
  </si>
  <si>
    <t xml:space="preserve">Електрична енергія </t>
  </si>
  <si>
    <t>Електричні побутові прилади (Обігрівач масляний Interlux INO-1125W)</t>
  </si>
  <si>
    <t xml:space="preserve">Електричні інструменти </t>
  </si>
  <si>
    <t xml:space="preserve">Електричні інструменти (Джерело фінансування: місцевий бюджет м. Дніпра) </t>
  </si>
  <si>
    <t>Електромеханічних ручних інструментів За ДК 021:2015 Код 42652000-1 Електромеханічні ручні інструменти.</t>
  </si>
  <si>
    <t>Електротовари</t>
  </si>
  <si>
    <t xml:space="preserve">Електротовари
</t>
  </si>
  <si>
    <t xml:space="preserve">Електротовари </t>
  </si>
  <si>
    <t>Електроінструменти</t>
  </si>
  <si>
    <t>Електроінструменти CPV- 43830000-0 Електричні інструменти</t>
  </si>
  <si>
    <t>Емаль універсальна, аерозоль 400 мл</t>
  </si>
  <si>
    <t>ЗАВ'ЯЛОВ ВОЛОДИМИР ГЕННАДІЙОВИЧ</t>
  </si>
  <si>
    <t xml:space="preserve">За ДК 021:2015 Код 09211000-1 Мастило трансмісійне, масло для ланцюгів електро- та бензопил, масло Т2 для 2-х тактних двигунів, моторне масло (Мастильні оливи та мастильні матеріали)  </t>
  </si>
  <si>
    <t>Закупівля без використання електронної системи</t>
  </si>
  <si>
    <t xml:space="preserve">Запасні частини для обладнання </t>
  </si>
  <si>
    <t>Заправка картриджів СPV 50312000- 5 - Технічне обслуговування і ремонт комп’ютерного обладнання</t>
  </si>
  <si>
    <t>Запчастини для обладнання</t>
  </si>
  <si>
    <t xml:space="preserve">Запчастини для обладнання </t>
  </si>
  <si>
    <t xml:space="preserve">Запчастини для обладнання (Джерело фінансування: місцевий бюджет м. Дніпра) </t>
  </si>
  <si>
    <t xml:space="preserve">Запчастини для ігрового обладнання  </t>
  </si>
  <si>
    <t>Засоби для догляду за руками та нігтями ("AlmaSept" Антисептик для дезінфекції рук 75 мл.)</t>
  </si>
  <si>
    <t>Засоби для захисту від гострої респіраторної хвороби COVID-19 (маска медична захисна, рукавички медичні (розміри S, M, L, XL), дезінфек-ційний засіб DEZ-330, дезінфекційний засіб для рук “Антисептичний”); Засоби для захисту від гострої респіраторної хвороби COVID-19 (маска медична захисна, рукавички медичні (розміри S, M, L, XL), дезінфек-ційний засіб DEZ-330, дезінфекційний засіб для рук “Антисептичний”); Засоби для захисту від гострої респіраторної хвороби COVID-19 (маска медична захисна, рукавички медичні (розміри S, M, L, XL), дезінфек-ційний засіб DEZ-330, дезінфекційний засіб для рук “Антисептичний”)</t>
  </si>
  <si>
    <t xml:space="preserve">Засоби до медичної допомоги </t>
  </si>
  <si>
    <t xml:space="preserve">Засіб дезінфекційний MDA-72+, 60мл. МDA 72005
</t>
  </si>
  <si>
    <t xml:space="preserve">Засіб криптографічного захисту інформації "Secure Token-337K"
</t>
  </si>
  <si>
    <t>Засіб криптографічного захисту інформації електронний ключ "Secure Token-338М"</t>
  </si>
  <si>
    <t xml:space="preserve">Захисні засоби
; Захисні засоби
</t>
  </si>
  <si>
    <t>Захисні засоби; Захисні засоби</t>
  </si>
  <si>
    <t xml:space="preserve">Захищені носії особистих ключів
</t>
  </si>
  <si>
    <t>Збірні споруди</t>
  </si>
  <si>
    <t>Звіт створено 18 січня о 15:08 з використанням http://zakupki.prom.ua</t>
  </si>
  <si>
    <t xml:space="preserve">Знаряддя </t>
  </si>
  <si>
    <t>КИРКО РУСЛАН ПАВЛОВИЧ</t>
  </si>
  <si>
    <t>КОВТУН ІВАН ОЛЕГОВИЧ</t>
  </si>
  <si>
    <t>КОМУНАЛЬНЕ ПІДПРИЄМСТВО "ГІДРОСПОРУДИ" ДНІПРОВСЬКОЇ МІСЬКОЇ РАДИ"</t>
  </si>
  <si>
    <t>КОМУНАЛЬНЕ ПІДПРИЄМСТВО "ДНІПРОВОДОКАНАЛ" ДНІПРОВСЬКОЇ МІСЬКОЇ РАДИ</t>
  </si>
  <si>
    <t>КОМУНАЛЬНЕ ПІДПРИЄМСТВО "ЖИЛСЕРВІС-2" ДНІПРОВСЬКОЇ МІСЬКОЇ РАДИ</t>
  </si>
  <si>
    <t>КОМУНАЛЬНЕ ПІДПРИЄМСТВО "УПРАВЛІННЯ ПО РЕМОНТУ ТА ЕКСПЛУАТАЦІЇ АВТОШЛЯХІВ" ДНІПРОВСЬКОЇ МІСЬКОЇ РАДИ</t>
  </si>
  <si>
    <t>КП "Дніпропетровське міжміське бюро технічної інвентаризації" Дніпропетровської обласної ради</t>
  </si>
  <si>
    <t>КП "ЖИЛСЕРВІС-2" ДНІПРОВСЬКОЇ МІСЬКОЇ РАДИ"</t>
  </si>
  <si>
    <t>КУЗНЄЦОВА ОЛЕКСАНДРА ЛЕОНІДІВНА</t>
  </si>
  <si>
    <t>Кабель</t>
  </si>
  <si>
    <t>Кабель CPV 44320000-9 Кабелі та супутня продукція</t>
  </si>
  <si>
    <t>Кабелі та супутня продукція</t>
  </si>
  <si>
    <t xml:space="preserve">Кабелі та супутня продукція </t>
  </si>
  <si>
    <t xml:space="preserve">Кабелі та супутня продукція (Джерело фінансування: місцевий бюджет м. Дніпра) </t>
  </si>
  <si>
    <t>Кабелі та супутня продукція (Джерело фінансування: місцевий бюджет м. Дніпра); Кабелі та супутня продукція (Джерело фінансування: місцевий бюджет м. Дніпра); Кабелі та супутня продукція (Джерело фінансування: місцевий бюджет м. Дніпра)</t>
  </si>
  <si>
    <t xml:space="preserve">Кабелі та супутня продукція ; Кабелі та супутня продукція </t>
  </si>
  <si>
    <t>Кабелі та супутня продукція За ДК 021:2015 Код 44320000-9 Кабелі та супутня продукція</t>
  </si>
  <si>
    <t>Кабелі та супутня продукція: розетки, лампи, вилки, вимикачі</t>
  </si>
  <si>
    <t>Кабелі та супутня продукція: трансформатор струму</t>
  </si>
  <si>
    <t>Кабелі та супутня продукція: шафа</t>
  </si>
  <si>
    <t>Кабелі та супутня продукція; Кабелі та супутня продукція</t>
  </si>
  <si>
    <t>Кабелі та супутня продукція; Кабелі та супутня продукція; Кабелі та супутня продукція; Кабелі та супутня продукція</t>
  </si>
  <si>
    <t>Кабелі та супутні товари</t>
  </si>
  <si>
    <t>Кабелі та супутні товари (Джерело фінансування: міський бюджет м. Дніпра); Кабелі та супутні товари (Джерело фінансування: міський бюджет м. Дніпра)</t>
  </si>
  <si>
    <t>Канцелярського приладдя За ДК 021:2015 Код 39260000-2 Секційні лотки та канцелярське приладдя</t>
  </si>
  <si>
    <t>Канцелярські товари</t>
  </si>
  <si>
    <t xml:space="preserve">Канцелярські товари (Джерело фінансування: міський бюджет м. Дніпра) </t>
  </si>
  <si>
    <t>Канцелярські товари За ДК 021:2015 Код 30190000-7 Офісне устаткування та приладдя різне</t>
  </si>
  <si>
    <t>Капітальний ремонт Парку ім. Писаржевського у м. Дніпрі</t>
  </si>
  <si>
    <t>Капітальний ремонт газону звичайного 7730м² у парку Зелений Гай у м. Дніпрі</t>
  </si>
  <si>
    <t>Капітальний ремонт пішохідних алей з оглядовим майданчиком, що примикають до центральної алеї Парку Зелений Гай у м. Дніпрі</t>
  </si>
  <si>
    <t>Капітальний ремонт центральної алеї парку Зелений Гай у м. Дніпрі (Додаткові роботи)</t>
  </si>
  <si>
    <t>Капітальний ремонт центральної алеї парку Зелений Гай у м.Дніпрі</t>
  </si>
  <si>
    <t>Картриджі</t>
  </si>
  <si>
    <t>Квитки</t>
  </si>
  <si>
    <t>Класифікатор</t>
  </si>
  <si>
    <t>Кобиляцький Віктор Андрійович</t>
  </si>
  <si>
    <t xml:space="preserve">Колодязь дерев’яний </t>
  </si>
  <si>
    <t>Ком'ютерна програма "1 С: Підприємство 8. Клієнтська ліцензія на 1р.м.(програмний захист)"</t>
  </si>
  <si>
    <t>Комар Наталія Миколаївна</t>
  </si>
  <si>
    <t xml:space="preserve">Комплекс ігрового обладнання для дитячого майданчика за адресою: ж/м Червоний Камінь,5 </t>
  </si>
  <si>
    <t>Комплект банерів</t>
  </si>
  <si>
    <t>Комплект гумового покриття для дитячого майданчика за адресою: ж/м Червоний Камінь, буд.5</t>
  </si>
  <si>
    <t>Комплект гумового покриття для спортивних та дитячих майданчиків на території м. Дніпра</t>
  </si>
  <si>
    <t>Комплект для зони патіо. (Джерело фінансування: міський бюджет м. Дніпра)</t>
  </si>
  <si>
    <t>Комплект лавок</t>
  </si>
  <si>
    <t>Комплект обладнання для системи відеоспостереження</t>
  </si>
  <si>
    <t xml:space="preserve">Комплект обладнання для системи відеоспостереження
</t>
  </si>
  <si>
    <t>Комплектуючі для системи поливу та супутні вироби; Комплектуючі для системи поливу та супутні вироби</t>
  </si>
  <si>
    <t xml:space="preserve">Компресор (Джерело фінансування: місцевий бюджет м. Дніпра) </t>
  </si>
  <si>
    <t>Комп’ютерна техніка</t>
  </si>
  <si>
    <t>Комп’ютерне обладнання</t>
  </si>
  <si>
    <t xml:space="preserve">Комп’ютерне обладнання </t>
  </si>
  <si>
    <t xml:space="preserve">Комп’ютерне обладнання  </t>
  </si>
  <si>
    <t>Комунальне підприємство "Дніпроводоканал" ДМР</t>
  </si>
  <si>
    <t>Кондиціонери та послуги з монтажу</t>
  </si>
  <si>
    <t>Консалтингові послуги</t>
  </si>
  <si>
    <t xml:space="preserve">Конструкційні матеріали </t>
  </si>
  <si>
    <t>Кора декоративна соснова (середня фракція)</t>
  </si>
  <si>
    <t>Коригування проектно-кошторисної документації по об'єкту "Капітальний ремонт Парку ім. Писаржевського у м. Дніпрі" (Коригування)</t>
  </si>
  <si>
    <t>Коригування проектно-кошторисної документації по об'єкту "Реконструкція парку ім. Володі Дубініна у м. Дніпрі" (Коригування)</t>
  </si>
  <si>
    <t>Косарки</t>
  </si>
  <si>
    <t>Костюми</t>
  </si>
  <si>
    <t>ЛАКТІОНОВ ДМИТРО МИХАЙЛОВИЧ</t>
  </si>
  <si>
    <t>ЛИНДЯ ПАВЛО СЕРГІЙОВИЧ</t>
  </si>
  <si>
    <t>ЛОТАКОВ ВАСИЛЬ ВІКТОРОВИЧ</t>
  </si>
  <si>
    <t>Лавка дерев’яна комбінована зі спинкою</t>
  </si>
  <si>
    <t>Лавка паркова «Змійка»</t>
  </si>
  <si>
    <t>Лавки</t>
  </si>
  <si>
    <t>Лавки  СPV – 44316500-3 Ковані вироби.</t>
  </si>
  <si>
    <t>Лавки дерев'яні комбіновані зі спинкою</t>
  </si>
  <si>
    <t>Лампа ДК 021:2015 Код 31682000-0  Електричне приладдя</t>
  </si>
  <si>
    <t>Лежак парковий (Джерело фінансування: міський бюджет м. Дніпра)</t>
  </si>
  <si>
    <t xml:space="preserve">Локальні мережі  </t>
  </si>
  <si>
    <t>Лот -1 Монтаж та демонтаж святкових прикрас</t>
  </si>
  <si>
    <t>Лот -1 Святкові прикраси (Світлодіодні прикраси)</t>
  </si>
  <si>
    <t>Лот -2 Монтаж та демонтаж ялинок та святкових прикрас</t>
  </si>
  <si>
    <t>Лот -2 Святкові прикраси (Світлодіодні фігури)</t>
  </si>
  <si>
    <t>Лот 1. Комплект парковий «Барбекю»</t>
  </si>
  <si>
    <t>Лот 2. Ворота</t>
  </si>
  <si>
    <t>Лот № 1Послуги з охорони парків</t>
  </si>
  <si>
    <t>Лот № 2 Послуги з охорони стадіону та скверу</t>
  </si>
  <si>
    <t>Лот №1 -  Послуги з охорони парків</t>
  </si>
  <si>
    <t>Лот №1 – Послуги з оренди обладнання для відпочивально-розважального комплексу (тюбінговий спуск)</t>
  </si>
  <si>
    <t>Лот №1 – Святкові прикраси</t>
  </si>
  <si>
    <t>Лот №2 - Послуги з охорони скверу</t>
  </si>
  <si>
    <t>Лот №2 – Послуги з оренди обладнання для відпочивально-розважального комплексу (штучна ковзанка)</t>
  </si>
  <si>
    <t>Лот №2 – Світлодіодні гірлянди</t>
  </si>
  <si>
    <t xml:space="preserve">Ліхтар вуличного освітлення фігурний </t>
  </si>
  <si>
    <t xml:space="preserve">Ліхтар декоративний парковий </t>
  </si>
  <si>
    <t>Лічильник (Джерело фінансування: місцевий бюджет м. Дніпра)</t>
  </si>
  <si>
    <t>МЕДИНСЬКИЙ ВОЛОДИМИР ВІКТОРОВИЧ</t>
  </si>
  <si>
    <t>МЕЛЬНІКОВ СЕРГІЙ СЕРГІЙОВИЧ</t>
  </si>
  <si>
    <t>МОСКАЛЕНКО ОЛЕКСАНДР МИКОЛАЙОВИЧ</t>
  </si>
  <si>
    <t>МОСКАЛЬЧЕНКО ЛЕОНІД ГАВРИЛОВИЧ</t>
  </si>
  <si>
    <t xml:space="preserve">Мангал (Джерело фінансування: міський бюджет м. Дніпра) </t>
  </si>
  <si>
    <t>Маска медична захисна</t>
  </si>
  <si>
    <t xml:space="preserve">Маски медичні
</t>
  </si>
  <si>
    <t xml:space="preserve">Масла СPV 09211000-1 Мастильні оливи та мастильні матеріали  </t>
  </si>
  <si>
    <t>Мастила</t>
  </si>
  <si>
    <t>Мастила; Мастила</t>
  </si>
  <si>
    <t>Мастило</t>
  </si>
  <si>
    <t>Мастило; Мастило</t>
  </si>
  <si>
    <t>Мастильні засоби (Олива моторна Husqvarna 4T 10W-40 (577 41 97-02), 1,4 л); Мастильні засоби (Олива моторна Husqvarna HP (5878085-12) для 2T двигунів садової техніки, напівсинтетична, 1л)</t>
  </si>
  <si>
    <t>Матеріали для поливальної системи</t>
  </si>
  <si>
    <t xml:space="preserve">Матеріали для поливальної системи
( Джерело фінансування: міський бюджет м. Дніпра)
; Матеріали для поливальної системи
( Джерело фінансування: міський бюджет м. Дніпра)
</t>
  </si>
  <si>
    <t xml:space="preserve">Матеріали для поливальної системи (Джерело фінансування: міський бюджет м. Дніпра)
; Матеріали для поливальної системи (Джерело фінансування: міський бюджет м. Дніпра)
</t>
  </si>
  <si>
    <t>Матеріали для поливальної системи; Матеріали для поливальної системи</t>
  </si>
  <si>
    <t>Матеріали для поливної системи; Матеріали для поливної системи</t>
  </si>
  <si>
    <t>Матеріали для системи поливу (Джерело фінансування: міський бюджет м. Дніпра)</t>
  </si>
  <si>
    <t>Матеріали для системи туманоутворення</t>
  </si>
  <si>
    <t>Матеріали для системи туманоутворення; Матеріали для системи туманоутворення; Матеріали для системи туманоутворення</t>
  </si>
  <si>
    <t>Меблі</t>
  </si>
  <si>
    <t xml:space="preserve">Меблі
; Меблі
</t>
  </si>
  <si>
    <t xml:space="preserve">Меблі садові  ; Меблі садові  </t>
  </si>
  <si>
    <t>Медичний огляд</t>
  </si>
  <si>
    <t xml:space="preserve">Мережеві адаптери </t>
  </si>
  <si>
    <t>Металева конструкція</t>
  </si>
  <si>
    <t>Металопластикові двері</t>
  </si>
  <si>
    <t>Модульні споруди</t>
  </si>
  <si>
    <t xml:space="preserve">Модульні споруди
(Джерело фінансування: міський бюджет м. Дніпра)
</t>
  </si>
  <si>
    <t xml:space="preserve">Модульні споруди </t>
  </si>
  <si>
    <t>Модульні споруди (Дерев’яна альтанка в комплекті з меблями)</t>
  </si>
  <si>
    <t xml:space="preserve">Модульні споруди (Джерело фінансування: міський бюджет м. Дніпра) 
</t>
  </si>
  <si>
    <t>Модульні споруди (Побутовий будиночок)</t>
  </si>
  <si>
    <t>Модульні та переносні споруди</t>
  </si>
  <si>
    <t xml:space="preserve">Монтаж новорічних ялинок з прикрасами (Джерело фінансування: міський бюджет м. Дніпра)  </t>
  </si>
  <si>
    <t xml:space="preserve">Монтаж світлодіодних прикрас (Джерело фінансування: міський бюджет м. Дніпра)
</t>
  </si>
  <si>
    <t>Монтаж світлодіодних фігур та приладів</t>
  </si>
  <si>
    <t>Монтаж та демонтаж новорічних ялинок та прикрас</t>
  </si>
  <si>
    <t xml:space="preserve">Монтаж та демонтаж святкових прикрас </t>
  </si>
  <si>
    <t>Монтаж та демонтаж світлодіодних прикрас</t>
  </si>
  <si>
    <t>Монтаж та демонтаж світлодіодних фігур</t>
  </si>
  <si>
    <t xml:space="preserve">Монтажні та демонтажні послуги «під ключ» </t>
  </si>
  <si>
    <t>Монтажні та демонтажні послуги «під ключ» За ДК 021:2015 Код 50000000-5  Послуги з ремонту і технічного обслуговування</t>
  </si>
  <si>
    <t>Мороз Ігор Леонідович</t>
  </si>
  <si>
    <t>Москаленко  Олександр Миколайович</t>
  </si>
  <si>
    <t>Москальченко Леонід Гаврилович</t>
  </si>
  <si>
    <t>Мотокоси За ДК 021:2015 Код 16311100-9 Косарки для газонів, парків і спортивних майданчиків</t>
  </si>
  <si>
    <t>Навіс</t>
  </si>
  <si>
    <t>Надання послуги з встановленням програми АВК-5 СPV 72260000 - Послуги, пов’язані з програмним забезпеченням</t>
  </si>
  <si>
    <t>Наливне покриття для багатофункціонального майданчика</t>
  </si>
  <si>
    <t>Наливне покриття для баскетбольного поля</t>
  </si>
  <si>
    <t>Насос у комплекті</t>
  </si>
  <si>
    <t>Неткане полотно</t>
  </si>
  <si>
    <t xml:space="preserve">Новорічна ялинка </t>
  </si>
  <si>
    <t>Новорічна ялинка у комплекті з огорожою</t>
  </si>
  <si>
    <t xml:space="preserve">Новорічна ялинка у комплекті з огорожою </t>
  </si>
  <si>
    <t>Новорічні іграшки</t>
  </si>
  <si>
    <t xml:space="preserve">Новорічні іграшки </t>
  </si>
  <si>
    <t>Новорічні іграшки. За ДК 021:2015 Код 37520000-9 Іграшки</t>
  </si>
  <si>
    <t>ОБУХОВ МИКОЛА ВІКТОРОВИЧ</t>
  </si>
  <si>
    <t>Обладнання для експлуатації майданчиків</t>
  </si>
  <si>
    <t>Обладнання для облаштування мотузкового комплексу  «Кленовий байрак»</t>
  </si>
  <si>
    <t xml:space="preserve">Обладнання для облаштування мотузкового комплексу  «Кленовий байрак» </t>
  </si>
  <si>
    <t xml:space="preserve">Обладнання для поливальної системи </t>
  </si>
  <si>
    <t>Обладнання для поливальної системи та дренажу</t>
  </si>
  <si>
    <t>Обладнання для системи поверхневого поливу: бездротовий модуль управління, вузол системи управління</t>
  </si>
  <si>
    <t>Обладнання для системи поверхневого поливу: вай-фай роутер</t>
  </si>
  <si>
    <t>Обладнання для системи поверхневого поливу: кабель іригаційний, електрофурнітура; Обладнання для системи поверхневого поливу: кабель іригаційний, електрофурнітура</t>
  </si>
  <si>
    <t xml:space="preserve">Обладнання для системи поверхневого поливу: трансформатор, соленоїд </t>
  </si>
  <si>
    <t>Обладнання для системи поверхневого поливу; Обладнання для системи поверхневого поливу</t>
  </si>
  <si>
    <t xml:space="preserve">Обслуговування біотуалетів </t>
  </si>
  <si>
    <t>Обігрівач  масляний для приміщень</t>
  </si>
  <si>
    <t>Обігрівач інфрачервоний для приміщень</t>
  </si>
  <si>
    <t>Обігрівачі</t>
  </si>
  <si>
    <t>Огорожа</t>
  </si>
  <si>
    <t>Огорожа (Джерело фінансування: місцевий бюджет м. Дніпра)</t>
  </si>
  <si>
    <t xml:space="preserve">Огорожа (Джерело фінансування: міський бюджет м. Дніпра) </t>
  </si>
  <si>
    <t>Огорожа дерев'яна</t>
  </si>
  <si>
    <t>Огорожа для ялинки</t>
  </si>
  <si>
    <t xml:space="preserve">Огорожа для ялинки </t>
  </si>
  <si>
    <t>Огорожа для ялинки (Джерело фінансування: місцевий бюджет м. Дніпра)</t>
  </si>
  <si>
    <t>Огорожа для ялинок (збірна конструкція)  За ДК 021:2015 Код 34928200-0  Огорожа</t>
  </si>
  <si>
    <t>Омолодження зелених насаджень на території парку ім. Писаржевського у м. Дніпрі CPV- 77310000-6 Послуги з озеленення територій та утримання зелених насаджень.</t>
  </si>
  <si>
    <t>Опори</t>
  </si>
  <si>
    <t>Оренда нежитлового приміщення</t>
  </si>
  <si>
    <t xml:space="preserve">Оренда нежитлового приміщення
</t>
  </si>
  <si>
    <t>Освітлення для ялинки За ДК 021:2015 Код 31522000-1 (Ялинкові електричні гірлянди)</t>
  </si>
  <si>
    <t>Освітлювальна продукція (світильник вуличний)</t>
  </si>
  <si>
    <t>Освітлювальна продукція (світильники, прожектори)</t>
  </si>
  <si>
    <t xml:space="preserve">Освітлювальна продукція (світильники, прожектори) </t>
  </si>
  <si>
    <t>Освітлювальне обладнання СPV – 31500000-1 Освітлювальне обладнання та електричні лампи.</t>
  </si>
  <si>
    <t>Очікувана вартість закупівлі</t>
  </si>
  <si>
    <t>ПІТЬКО СЕРГІЙ МИХАЙЛОВИЧ</t>
  </si>
  <si>
    <t>ПАВЛОВ ДЕНИС ІГОРОВИЧ</t>
  </si>
  <si>
    <t>ПАТ " ДТЕК ДНІПРООБЛЕНЕРГО"</t>
  </si>
  <si>
    <t>ПАТ "ДТЕК ДНІПРООБЛЕНЕРГО"</t>
  </si>
  <si>
    <t>ПЕТРЕНКО ІГОР ВІКТОРОВИЧ</t>
  </si>
  <si>
    <t>ПЕТРОВ ВОЛОДИМИР ДМИТРОВИЧ</t>
  </si>
  <si>
    <t>ПОЛЮШКІН СЕРГІЙ СЕРГІЙОВИЧ</t>
  </si>
  <si>
    <t>ПП "Спецкомплект"</t>
  </si>
  <si>
    <t>ПП "ФЕНІКС"</t>
  </si>
  <si>
    <t>ПП "Ялинка України"</t>
  </si>
  <si>
    <t>ПРИВАТНЕ АКЦІОНЕРНЕ ТОВАРИСТВО "АЛЬЦЕСТ"</t>
  </si>
  <si>
    <t>ПРИВАТНЕ АКЦІОНЕРНЕ ТОВАРИСТВО "НОВА ЛІНІЯ"</t>
  </si>
  <si>
    <t>ПРИВАТНЕ АКЦІОНЕРНЕ ТОВАРИСТВО "ПІДПРИЄМСТВО З ЕКСПЛУАТАЦІЇ ЕЛЕКТРИЧНИХ МЕРЕЖ "ЦЕНТРАЛЬНА ЕНЕРГЕТИЧНА КОМПАНІЯ"</t>
  </si>
  <si>
    <t>ПРИВАТНЕ ПІДПРИЄМСТВО "ІНСТРУМЕНТАЛ"</t>
  </si>
  <si>
    <t>ПРИВАТНЕ ПІДПРИЄМСТВО "БУХІНФОРМ"</t>
  </si>
  <si>
    <t>ПРИВАТНЕ ПІДПРИЄМСТВО "ГІДРОБУД"</t>
  </si>
  <si>
    <t>ПРИВАТНЕ ПІДПРИЄМСТВО "ГЛОРІЯ- ТЕТ"</t>
  </si>
  <si>
    <t>ПРИВАТНЕ ПІДПРИЄМСТВО "ФЕНІКС"</t>
  </si>
  <si>
    <t>ПРИВАТНЕ ПІДПРИЄМСТВО "ХІМІЧНА ТОРГІВЕЛЬНА МЕРЕЖА"</t>
  </si>
  <si>
    <t>ПУБЛІЧНЕ АКЦІОНЕРНЕ ТОВАРИСТВО "ДТЕК ДНІПРООБЛЕНЕРГО"</t>
  </si>
  <si>
    <t>ПУЧКОВ АНДРІЙ ОЛЕКСАНДРОВИЧ</t>
  </si>
  <si>
    <t>Пакети для сміття</t>
  </si>
  <si>
    <t xml:space="preserve">Пакети для сміття
</t>
  </si>
  <si>
    <t>Паливо</t>
  </si>
  <si>
    <t>Паливо (Джерело фінансування: місцевий бюджет м. Дніпра)</t>
  </si>
  <si>
    <t>Папір для друку</t>
  </si>
  <si>
    <t xml:space="preserve">Папір для друку
</t>
  </si>
  <si>
    <t>Паркові лавки дерев’яні комбіновані з декоративною перфорацією</t>
  </si>
  <si>
    <t>Паркові шахи</t>
  </si>
  <si>
    <t>Парфуми, засоби гігієни та презервативи (Мило рідке ДажБО Економ, туалетне, ПЕТ-пляшка, без дозатора, 5 л)</t>
  </si>
  <si>
    <t>Пасіцельська Марія Юріївна</t>
  </si>
  <si>
    <t>Переговорна процедура</t>
  </si>
  <si>
    <t>Переговорна процедура, скорочена</t>
  </si>
  <si>
    <t xml:space="preserve">Перила металеві </t>
  </si>
  <si>
    <t xml:space="preserve">Персональні комп’ютери ( в комплекті) </t>
  </si>
  <si>
    <t>Періодичне видання</t>
  </si>
  <si>
    <t xml:space="preserve">Періодичні видання
</t>
  </si>
  <si>
    <t>Пилосос За ДК 021:2015 Код 39713430-6 Пилососи.</t>
  </si>
  <si>
    <t xml:space="preserve">Пилосос садово-парковий </t>
  </si>
  <si>
    <t xml:space="preserve">Плівка поліетиленова первинна чорна
</t>
  </si>
  <si>
    <t>Побутова техніка</t>
  </si>
  <si>
    <t>Побутове приладдя:  Пилосос За ДК 021:2015 Код 39713430-6 Пилососи.</t>
  </si>
  <si>
    <t>Побутовий будиночок</t>
  </si>
  <si>
    <t>Позачергова технічна перевірка правильності роботи однофазних та трифазних приладів обліку електричної енергії</t>
  </si>
  <si>
    <t xml:space="preserve">Позачергова технічна перевірка правильності роботи однофазних та трифазних приладів обліку електричної енергії за ініціативою замовника на наступному об'єкті: м. Дніпро, проспект Богдана Хмельницького,24 д
</t>
  </si>
  <si>
    <t>Покриття</t>
  </si>
  <si>
    <t>Покриття штучне</t>
  </si>
  <si>
    <t>Полюшкін Сергій Сергійович</t>
  </si>
  <si>
    <t>Полікарпов  Володимир  Геннадійович</t>
  </si>
  <si>
    <t>Портативні комп’ютери (ноутбуки в комплекті)</t>
  </si>
  <si>
    <t>Послуга з вивезення, утилізації або захоронення твердих побутових відходів</t>
  </si>
  <si>
    <t>Послуга з вивезення, утилізації або захоронення твердих побутових відходів ДК 021:2015 Код 90513000-6 (Послуги з поводження з безпечними сміттям і відходами та  їх утилізація)</t>
  </si>
  <si>
    <t>Послуга з облаштування квітників у парку Зелений Гай</t>
  </si>
  <si>
    <t>Послуги авторанспортом та механізмами</t>
  </si>
  <si>
    <t>Послуги автотранспортом та механізмами</t>
  </si>
  <si>
    <t>Послуги відпочивально - розважальних  комплексів (штучна ковзанка)</t>
  </si>
  <si>
    <t>Послуги для  проведення свята «Масляна 2017» в парку ім. Писаржевського та  ім. В. Дубініна CPV- 9811000-7 Послуги підприємницьких, професійних та спеціалізованих організацій</t>
  </si>
  <si>
    <t>Послуги з  ліквідації стихійних сміттєзвалищ, навантаження, вивезення та утилізація утворених відходів</t>
  </si>
  <si>
    <t>Послуги з  фотозйомки  та розміщення в мережі Інтернет</t>
  </si>
  <si>
    <t>Послуги з адвокатської діяльності</t>
  </si>
  <si>
    <t xml:space="preserve">Послуги з адвокатської діяльності </t>
  </si>
  <si>
    <t>Послуги з благоустрою частини Парку Зелений Гай</t>
  </si>
  <si>
    <t>Послуги з вивезення сміттєзвалища</t>
  </si>
  <si>
    <t>Послуги з виготовлення банерів СPV 79820000-8 Послуги, пов’язані з друком.</t>
  </si>
  <si>
    <t>Послуги з виготовлення відеофільму «Про діяльність КП «Міська інфраструктура» ДМР»</t>
  </si>
  <si>
    <t>Послуги з видалення аварійних та фаутних дерев</t>
  </si>
  <si>
    <t>Послуги з видалення дерев, корчування пнів, вивезення та утилізації утворених відходів з парків</t>
  </si>
  <si>
    <t>Послуги з видалення сухостійних аварійних та фаутних дерев з застосуванням автопідйомників, видалення дерев в ручну, розкряжування, корчування пнів, вирубка порослі, навантаження, вивезення та утилізації утворених відходів</t>
  </si>
  <si>
    <t xml:space="preserve">Послуги з видалення сухостійних, аварійних та фаутних дерев з застосуванням  автопідіймачів, видалення вручну, видалення порослі, корчування кущів, навантаження, вивезення 
та утилізація утворених відходів
</t>
  </si>
  <si>
    <t>Послуги з видалення сухостійних, аварійних та фаутних дерев з застосуванням автопідіймачів, видалення вручну, корчування пнів, навантаження, вивезення та утилізація утворених відходів.</t>
  </si>
  <si>
    <t>Послуги з видалення сухостійних, аварійних та фаутних дерев з застосуванням автопідіймачів, видалення вручну, корчування пнів, навантаження, вивезення та утилізації утворених відходів</t>
  </si>
  <si>
    <t xml:space="preserve">Послуги з видалення сухостійних, аварійних та фаутних дерев з застосуванням автопідіймачів, влення вручну, навантаження, вивезення та утилізації утворених відходів
</t>
  </si>
  <si>
    <t>Послуги з видалення, розкряжування дерев, корчування пнів, навантаження, вивезення та утилізації утворених відходів</t>
  </si>
  <si>
    <t>Послуги з видалення, розкряжування, омолодження дерев, корчування пнів, вивезення та утилізації утворених відходів</t>
  </si>
  <si>
    <t xml:space="preserve">Послуги з виконання топографо-геодезичних робіт  по зйомці  поточних змін місцевості масштабу 1:500 з подальшим внесенням відповідних даних до бази даних містобудівного кадастру за адресою: Парк ім.Писаржевського 
</t>
  </si>
  <si>
    <t xml:space="preserve">Послуги з виконання топографо-геодезичних робіт  по зйомці  поточних змін місцевості масштабу 1:500 з подальшим внесенням відповідних даних до бази даних містобудівного кадастру за адресою: Сквер Івана Старова 
</t>
  </si>
  <si>
    <t>Послуги з використання ком'ютерної программи "Єдина інформаційна система управління бюджетом" для місцевих бюджетів</t>
  </si>
  <si>
    <t xml:space="preserve">Послуги з використання ком'ютерної программи "Єдина інформаційна система управління місцевим бюджетом" 
</t>
  </si>
  <si>
    <t>Послуги з вирубки порослі</t>
  </si>
  <si>
    <t xml:space="preserve">Послуги з вирубки порослі (Джерело фінансування: міський бюджет м. Дніпра)  
</t>
  </si>
  <si>
    <t xml:space="preserve">Послуги з встановлення й налаштування бездротової мережі </t>
  </si>
  <si>
    <t>Послуги з встановлення та обслуговування біотуалетів</t>
  </si>
  <si>
    <t xml:space="preserve">Послуги з встановлення та обслуговування біотуалетів (Джерело фінансування: місцевий бюджет м. Дніпра) </t>
  </si>
  <si>
    <t>Послуги з візуалізації розміщення об’єктів інфраструктури у Парку Зелений Гай</t>
  </si>
  <si>
    <t>Послуги з демонтажу-монтажу, метрологічної повірки та технічного обслуговування засобу вимірювальної техніки- лічильника води комбінованого типу</t>
  </si>
  <si>
    <t>Послуги з дератизації, дезінсекції та дезинфекції</t>
  </si>
  <si>
    <t>Послуги з дератизації, дезінсекції та дезінфекції</t>
  </si>
  <si>
    <t>Послуги з дератизації, дезінсекції, деларвації у парках</t>
  </si>
  <si>
    <t xml:space="preserve">Послуги з доступу до "ЕЛЕКТРОННОГО КАБІНЕТУ ПЕРІОДИЧНИХ ВИДАНЬ ВИДАВНИЧОГО БУДИНКУ "ФАКТОР"
</t>
  </si>
  <si>
    <t>Послуги з доступу до мережі Інтернет</t>
  </si>
  <si>
    <t xml:space="preserve">Послуги з доступу до мережі Інтернет
</t>
  </si>
  <si>
    <t>Послуги з доступу до мережі Інтернет (офіс)</t>
  </si>
  <si>
    <t xml:space="preserve">Послуги з доступу до мережі Інтернет у парках та скверах </t>
  </si>
  <si>
    <t>Послуги з доступу до мережі інтернет</t>
  </si>
  <si>
    <t>Послуги з забеспечення доступу в мережі Інтернет</t>
  </si>
  <si>
    <t>Послуги з заправки картриджів та обслуговування комп’ютерної техніки</t>
  </si>
  <si>
    <t>Послуги з заправки катриджів та обслуговування комп’ютерної техніки</t>
  </si>
  <si>
    <t xml:space="preserve">Послуги з комплексного утримання території алеї від вул. Академіка Янгеля до вул. Новокримської у м. Дніпрі
</t>
  </si>
  <si>
    <t>Послуги з корчування пнів</t>
  </si>
  <si>
    <t xml:space="preserve">Послуги з корчування пнів (Джерело фінансування: міський бюджет м. Дніпра)
</t>
  </si>
  <si>
    <t>Послуги з корчування пнів у парку ім. Писаржевського</t>
  </si>
  <si>
    <t xml:space="preserve">Послуги з корчування пнів у парку ім. Писаржевського </t>
  </si>
  <si>
    <t>Послуги з ландшафтного дизайну в парку Зелений Гай у м. Дніпрі</t>
  </si>
  <si>
    <t xml:space="preserve">Послуги з ліквідації стихійних сміттєзвалищ (Джерело фінансування: міський бюджет м. Дніпра)
</t>
  </si>
  <si>
    <t>Послуги з ліквідації стихійних сміттєзвалищ, навантаження, вивезення та утилізація утворених відходів</t>
  </si>
  <si>
    <t>Послуги з метеорологічного забеспечення (обслуговування)</t>
  </si>
  <si>
    <t>Послуги з модернізації декоративних фігур</t>
  </si>
  <si>
    <t xml:space="preserve">Послуги з монтажу та демонтажу навісу </t>
  </si>
  <si>
    <t>Послуги з монтажу та демонтажу новорічних прикрас</t>
  </si>
  <si>
    <t>Послуги з навантаження, вивезення та утилізації негабаритного сміття</t>
  </si>
  <si>
    <t>Послуги з навчання</t>
  </si>
  <si>
    <t xml:space="preserve">Послуги з навчання
</t>
  </si>
  <si>
    <t xml:space="preserve">Послуги з навчання </t>
  </si>
  <si>
    <t>Послуги з надання технічних умов на водовідведення об'єкту : "Капітальний ремонт зеленої зони за адресою: просп. Д.Яворницького,20 у м.Дніпрі"</t>
  </si>
  <si>
    <t>Послуги з надання технічних умов на водовідведення об'єкту : "Капітальний ремонт пішохідних алей з оглядовим майданчиком, що примикають до центральної алеї Парку Зелений Гай у м.Дніпрі"</t>
  </si>
  <si>
    <t>Послуги з надання технічних умов на водовідведення об'єкту : "Капітальний ремонт скверу І.Старова у м.Дніпрі"</t>
  </si>
  <si>
    <t>Послуги з надання технічних умов на водовідведення об'єкту : "Реконструкція в'їздної частини з прилеглою територією від вул.Павла Чубинського з перевлаштуванням необхідних інженерних споруд Парку Зелений Гай у м.Дніпрі"</t>
  </si>
  <si>
    <t>Послуги з облаштування квітників та газонів у парках CPV 77300000-3 Послуги у сфері рослинництва</t>
  </si>
  <si>
    <t>Послуги з облаштування квітників у парках</t>
  </si>
  <si>
    <t>Послуги з облаштування клумбових зон</t>
  </si>
  <si>
    <t>Послуги з обробки даних</t>
  </si>
  <si>
    <t xml:space="preserve">Послуги з обробки даних
</t>
  </si>
  <si>
    <t>Послуги з обробки даних, видачі сертифікатів та їх обслуговування; Послуги з обробки даних, видачі сертифікатів та їх обслуговування</t>
  </si>
  <si>
    <t xml:space="preserve">Послуги з обробки даних, обслуговування кваліфікованих сертифікатів відкритих ключів кваліфікованого електронного підпису
</t>
  </si>
  <si>
    <t>Послуги з обробки даних, постачання, видачі та обслуговування кваліфікованих сертифікатів відкритих ключів кваліфікованого електронного підпису; Послуги з обробки даних, постачання, видачі та обслуговування кваліфікованих сертифікатів відкритих ключів кваліфікованого електронного підпису</t>
  </si>
  <si>
    <t>Послуги з обслуговування садово - паркової техніки</t>
  </si>
  <si>
    <t xml:space="preserve">Послуги з обслуговування садово-паркової техніки </t>
  </si>
  <si>
    <t>Послуги з озеленення території парку Зелений Гай</t>
  </si>
  <si>
    <t>Послуги з омолодження, санітарної обрізки дерев, навантаження, вивезення та утилізації утворених відходів</t>
  </si>
  <si>
    <t>Послуги з омолодження, санітарної обрізки дерев, розкряжування, навантаження, вивезення та утилізації утворених відходів.</t>
  </si>
  <si>
    <t>Послуги з омолодження, санітарної обрізки дерев, скошування карантинної рослинності, навантаження, вивезення та утилізації утворених відходів</t>
  </si>
  <si>
    <t xml:space="preserve">Послуги з організації та проведення святкового заходу  «Відкриття центральної алеї парку Зелений Гай» </t>
  </si>
  <si>
    <t xml:space="preserve">Послуги з організації і проведення заходів (Джерело фінансування: міський бюджет м. Дніпра)
</t>
  </si>
  <si>
    <t>Послуги з організації і проведення заходів у 2020 році</t>
  </si>
  <si>
    <t xml:space="preserve">Послуги з організації і проведення заходів у 2020 році </t>
  </si>
  <si>
    <t>Послуги з організації і проведення заходів у 2020 році.</t>
  </si>
  <si>
    <t>Послуги з організації і проведення заходів у парках у 2017 році</t>
  </si>
  <si>
    <t>Послуги з організації і проведення заходів у парках у 2018 році</t>
  </si>
  <si>
    <t xml:space="preserve">Послуги з організації і проведення заходів. (Джерело фінансування: міський бюджет м. Дніпра)
</t>
  </si>
  <si>
    <t xml:space="preserve">Послуги з організації і проведення заходів. (Джерело фінансування: міський бюджет м. Дніпра) </t>
  </si>
  <si>
    <t>Послуги з організації і проведення святкових заходів</t>
  </si>
  <si>
    <t xml:space="preserve">Послуги з оргранізації і проведення заходів у 2019 році </t>
  </si>
  <si>
    <t xml:space="preserve">Послуги з оренди біотуалету
 (Джерело фінансування: міський бюджет м. Дніпра) 
</t>
  </si>
  <si>
    <t>Послуги з оренди біотуалету (Джерело фінансування: міський бюджет м. Дніпра)</t>
  </si>
  <si>
    <t>Послуги з оренди обладнання для  відпочивально-розважального комплексу (Штучна ковзанка)</t>
  </si>
  <si>
    <t xml:space="preserve">Послуги з оренди обладнання для відпочивально-розважального комплексу (Ролердром) </t>
  </si>
  <si>
    <t>Послуги з охорони</t>
  </si>
  <si>
    <t xml:space="preserve">Послуги з охорони </t>
  </si>
  <si>
    <t>Послуги з охорони об’єктів</t>
  </si>
  <si>
    <t xml:space="preserve">Послуги з охорони об’єктів </t>
  </si>
  <si>
    <t>Послуги з охорони парків</t>
  </si>
  <si>
    <t xml:space="preserve">Послуги з охорони парків </t>
  </si>
  <si>
    <t xml:space="preserve">Послуги з охорони скверу </t>
  </si>
  <si>
    <t>Послуги з охорони стадіону та скверів</t>
  </si>
  <si>
    <t>Послуги з перевезення (переміщення) вантажу</t>
  </si>
  <si>
    <t>Послуги з питань автоматизованого визначення вартості будівельних робіт при застосуванні ПК АВК-5 "Автоматизований випуск на ПЕОМ кошторисно-ресурсної документації" на основних та додаткових робочих місцях ПК АВК-5</t>
  </si>
  <si>
    <t>Послуги з питань визначення вартості будівельних робіт при застосуванні ПК АВК-5 "Автоматизований випуск на ПЕОМ кошторисно-ресурсної документації" на основних та додаткових робочих місцях, для 2 робочих місць (2 з підсистемою "Підрядник")</t>
  </si>
  <si>
    <t xml:space="preserve">Послуги з поводження з побутовими відходами </t>
  </si>
  <si>
    <t>Послуги з поводження з побутовими відходами (крім комунальних)</t>
  </si>
  <si>
    <t>Послуги з покосу трави</t>
  </si>
  <si>
    <t>Послуги з покосу, вивезення та утилізації утворених відходів</t>
  </si>
  <si>
    <t>Послуги з постачання, встановлення та налаштування програмного забезпечення</t>
  </si>
  <si>
    <t>Послуги з поточного ремонт і технічного обслуговування ліній телекомунікацій</t>
  </si>
  <si>
    <t xml:space="preserve">Послуги з поточного ремонту виставкового обладнання (Джерело фінансування: місцевий бюджет м. Дніпра) </t>
  </si>
  <si>
    <t>Послуги з поточного ремонту елементів благоустрою Парку Зелений Гай</t>
  </si>
  <si>
    <t>Послуги з поточного ремонту елементів благоустрою у Парку Зелений Гай</t>
  </si>
  <si>
    <t>Послуги з поточного ремонту елементів благоустрою у Парку ім. Писаржевського</t>
  </si>
  <si>
    <t>Послуги з поточного ремонту елементів благоустрою у сквері «Амурський парк»</t>
  </si>
  <si>
    <t>Послуги з поточного ремонту елементів благоустрою у сквері Івана Старова</t>
  </si>
  <si>
    <t>Послуги з поточного ремонту у Парку Зелений Гай</t>
  </si>
  <si>
    <t>Послуги з прибирання будівельного сміття, навантаження, вивезення та утилізації утворених відходів</t>
  </si>
  <si>
    <t>Послуги з прибирання опалого листя</t>
  </si>
  <si>
    <t>Послуги з прибирання опалого листя, випадкового сміття, згрібання, навантаження, вивезення та утилізація утворених відходів</t>
  </si>
  <si>
    <t>Послуги з прибирання опалого листя, ліквідація стихійних сміттєзвалищ, навантаження, вивезення та утилізація утворених відходів</t>
  </si>
  <si>
    <t>Послуги з прибирання опалого листя, навантаження, вивезення та утилізація утворених відходів</t>
  </si>
  <si>
    <t xml:space="preserve">Послуги з прибирання опалого листя, навантаження, вивезення та утилізація утворених відходів
</t>
  </si>
  <si>
    <t xml:space="preserve">Послуги з прибирання опалого листя, навантаження, вивезення та утилізація утворених відходів (Джерело фінансування: міський бюджет м. Дніпра) </t>
  </si>
  <si>
    <t>Послуги з прибирання паркової зони ім. Писаржевського та  В. Дубініна СPV 90910000-9 Послуги з прибирання.</t>
  </si>
  <si>
    <t xml:space="preserve">Послуги з прибирання приміщень
</t>
  </si>
  <si>
    <t>Послуги з прибирання сміття, згрібання сміття, ліквідації стихійних сміттєзвалищ, навантаження, вивезення та утилізації утворених відходів</t>
  </si>
  <si>
    <t>Послуги з прибирання сміття, ліквідації стихійних сміттєзвалищ, навантаження, вивезення та утилізації утворених відходів</t>
  </si>
  <si>
    <t>Послуги з прибирання сміття, навантаження, перевезення та утилізація стихійних сміттєзвалищ з території скверу «Амурський парк»</t>
  </si>
  <si>
    <t>Послуги з прибирання снігу</t>
  </si>
  <si>
    <t>Послуги з приєднання електроустановок до електичних мереж парку Зелений Гай</t>
  </si>
  <si>
    <t>Послуги з проведення геодезичної зйомки парку Зелений Гай у м. Дніпрі</t>
  </si>
  <si>
    <t>Послуги з проведення тематичних семінарів-тренінгів</t>
  </si>
  <si>
    <t xml:space="preserve">Послуги з проведення технічної інвентаризації зелених насаджень скверу «Амурський парк» у місті Дніпрі </t>
  </si>
  <si>
    <t>Послуги з проведення топографо-геодезичної зйомки парку Зелений Гай у м. Дніпрі.</t>
  </si>
  <si>
    <t>Послуги з протяжки кабелю та встановлення колодязів</t>
  </si>
  <si>
    <t>Послуги з протяжки оптичної кабельної мережі для підключення інтернету</t>
  </si>
  <si>
    <t>Послуги з підключення до мереж інтернет оптоволоконним кабелем та надання послуг Інтернет</t>
  </si>
  <si>
    <t>Послуги з підтримки користувачів програми "Єдина інформаційна система управління бюджетом" для місцевих бюджетів"</t>
  </si>
  <si>
    <t xml:space="preserve">Послуги з ремонту будівельних конструкцій СPV – 50700000-2 Послуги з ремонту і технічного обслуговування будівельних конструкцій </t>
  </si>
  <si>
    <t>Послуги з ремонту електроінструменту</t>
  </si>
  <si>
    <t xml:space="preserve">Послуги з ремонту шлагбаума у Парку Зелений Гай
</t>
  </si>
  <si>
    <t>Послуги з ремонту і технічного обслуговування обладнання для ігрових майданчиків парку ім. В.Дубініна СPV – 50870000-4 Послуги з ремонту і технічного обслуговування обладнання для ігрових майданчиків.</t>
  </si>
  <si>
    <t xml:space="preserve">Послуги з ремонту і технічного обслуговування протипожежного обладнання (вогнегасники) </t>
  </si>
  <si>
    <t>Послуги з ремонту і технічного обслуговування садово-паркової техніки</t>
  </si>
  <si>
    <t xml:space="preserve">Послуги з ремонту і технічного обслуговування системи відеоспостереження на об’єкті Парк Зелений Гай у місті Дніпрі </t>
  </si>
  <si>
    <t>Послуги з розміщення, розповсюдження та демонстрування інформації в мережі Інтернет</t>
  </si>
  <si>
    <t>Послуги з розробки візуальної концепції (ескіз) парку ім. Писаржевського</t>
  </si>
  <si>
    <t>Послуги з розробки візуальної концепції (ескіз) по об'єкту "Капітальний ремонт пішохідних алей з оглядовим майданчиком, що примикають до центральної алеї парку Зелений Гай у м. Дніпрі"</t>
  </si>
  <si>
    <t>Послуги з розробки візуальної концепції (ескіз) частини  парку Зелений Гай</t>
  </si>
  <si>
    <t>Послуги з розробки візуальної концепції (ескіз) частини парку Зелений Гай</t>
  </si>
  <si>
    <t>Послуги з розробки візуальної концепції святкового зовнішнього освітлення та святкового оформлення території парків міста</t>
  </si>
  <si>
    <t>Послуги з розробки ландшафтного дизайну Парку ім. Володі Дубініна</t>
  </si>
  <si>
    <t>Послуги з розробки ландшафтної архітектури у парку ім. Писаржевського</t>
  </si>
  <si>
    <t>Послуги з розробки логотипу підприємства СPV –  79930000-2 Професійні дизайнерські послуги.</t>
  </si>
  <si>
    <t>Послуги з розробки технічної документації із землеустрою щодо встановлення меж частини земельної ділянки, на яку поширюється право сервітуту ДП "Виробниче об'єднання Південний машинобудівельний завод імені О.М. Макарова" (кадастровий номер земельної ділянки 121010000:07:210:0056) на користь КП "Міська інфраструктура" Дніпровської міської ради</t>
  </si>
  <si>
    <t>Послуги з розробки технічної документації ії землеустрою щодо встановлення меж частини земельної ділянки, на яку поширюється право сервітуту ДП "Виробниче об'єднання Південний машинобудівельний завод імені О.М. Макарова" (кадастровий номер земельної ділянки 121010000:07:210:0056) на користь КП "Міська інфраструктура" Дніпровської міської ради</t>
  </si>
  <si>
    <t>Послуги з розроблення матеріалів польових топографо-геодезичних  робіт частини парку Зелений Гай ( Джерело фінансування: міський бюджет м. Дніпра)</t>
  </si>
  <si>
    <t>Послуги з розроблення матеріалів польових топографо-геодезичних робіт щодо розрахунку фізичної площі парку Зелений Гай.</t>
  </si>
  <si>
    <t>Послуги з розроблення план-схеми системи відеоспостереження</t>
  </si>
  <si>
    <t>Послуги з розроблення проекту землеустрою щодо відведення земельної ділянки по фактичному розміщенню скверу «Амурський парк» у районі вул. Вітчизняної, вул. Грудневої та вул. Крилова (Амур – Нижньодніпровський район)</t>
  </si>
  <si>
    <t xml:space="preserve">Послуги з розроблення та виконання візуальної концепції північної 
частини Парку Зелений Гай
</t>
  </si>
  <si>
    <t>Послуги з розроблення та виконання візуальної концепції північної частини Парку Зелений Гай</t>
  </si>
  <si>
    <t>Послуги з технічного обслуговування садово-паркової техніки</t>
  </si>
  <si>
    <t>Послуги з утримання парків</t>
  </si>
  <si>
    <t>Послуги з фото відео зйомки, розміщення, розповсюдження та демонстрування інформації в мережі Інтернет</t>
  </si>
  <si>
    <t xml:space="preserve">Послуги з фото відео зйомки, розміщення, розповсюдження та демонстрування інформації в мережі Інтернет </t>
  </si>
  <si>
    <t>Послуги з централізованого питного водопостачання</t>
  </si>
  <si>
    <t xml:space="preserve">Послуги з централізованого питного водопостачання </t>
  </si>
  <si>
    <t xml:space="preserve">Послуги з централізованого питного водопостачання 
</t>
  </si>
  <si>
    <t>Послуги з централізованого питного водопостачання та водовідведення</t>
  </si>
  <si>
    <t>Послуги з інвентаризації зелених насаджень у парку Зелений Гай у м. Дніпрі</t>
  </si>
  <si>
    <t>Послуги на виконання топографо-геодезичних робіт по геодезичної зйомки частин Парку Зелений Гай у місті Дніпрі (додаткові роботи)</t>
  </si>
  <si>
    <t>Послуги на виконання топографо-геодезичних робіт по геодезичної зйомки частин парку «Зелений Гай» у місті Дніпрі</t>
  </si>
  <si>
    <t xml:space="preserve">Послуги на виконання топографо-геодезичних робіт по геодезичної зйомки частин парку «Зелений Гай» у місті Дніпрі </t>
  </si>
  <si>
    <t>Послуги оформлення дозволу на виконання робіт в ТП (від 250кВА до 1000 кВА)</t>
  </si>
  <si>
    <t xml:space="preserve">Послуги по розміщенню оголошення у газеті "Вісті Придніпров'я"
</t>
  </si>
  <si>
    <t xml:space="preserve">Послуги по розпломбуванню/ опломбуванню приладу обліку
</t>
  </si>
  <si>
    <t xml:space="preserve">Послуги позачергової технічної перевірки правильності роботи однофазних та трифазних приладів обліку електричної енергії за ініціативою замовника 
</t>
  </si>
  <si>
    <t>Послуги спеціальної техніки</t>
  </si>
  <si>
    <t xml:space="preserve">Послуги спеціальної техніки </t>
  </si>
  <si>
    <t xml:space="preserve">Послуги у сфері охорони здоров'я різні
</t>
  </si>
  <si>
    <t>Послуги у сфері інформатизації</t>
  </si>
  <si>
    <t xml:space="preserve">Послуги у сфері інформатизації
</t>
  </si>
  <si>
    <t>Послуги у сфері інформатизації (супровід та обслуговування програмного забезпечення)</t>
  </si>
  <si>
    <t>Послуги у сфері інформатизації: з конфігурування комп'ютерних технічних засобів</t>
  </si>
  <si>
    <t>Послуги у сфері інформаційних технологій АВК</t>
  </si>
  <si>
    <t>Послуги фотографів та супутні послуги</t>
  </si>
  <si>
    <t>Послуги фотографів та супутні послуги - CPV 79960000-1 Послуги фотографів і супутні послуги.</t>
  </si>
  <si>
    <t>Послуги щодо охорони громадського порядку та громадської безпеки код ДК 021:2015 – 79713000-5 -  Послуги з охорони об’єктів та особистої охорони.</t>
  </si>
  <si>
    <t>Послуги щодо охорони громадського порядку та громадської безпеки, інші. За ДК 021:2015 Код 39713000-5 Послуг з охорони об’єктів та особистої охорони.</t>
  </si>
  <si>
    <t>Послуги щодо прання та хімічного чищення текстильних і хутряних виробів (послуги з прання білизни)</t>
  </si>
  <si>
    <t xml:space="preserve">Послуги, пов'язані з метрологічною повіркою лічильника води з механічним відліковим пристроєм на місці експлуатації
</t>
  </si>
  <si>
    <t xml:space="preserve">Послуги, які пов’язані з виконанням топографо-геодезичної зйомки по об’єкту сквер «Амурський парк» </t>
  </si>
  <si>
    <t>Поточний ремонт газону</t>
  </si>
  <si>
    <t>Поточний ремонт дорожнього покриття у Парку Зелений Гай</t>
  </si>
  <si>
    <t>Поточний ремонт елементу благоустрою парку Зелений Гай</t>
  </si>
  <si>
    <t>Поточний ремонт елементу благоустрою парку Зелений Гай (Облаштування огорожі сходів)</t>
  </si>
  <si>
    <t>Поточний ремонт елементу благоустрою у Парку Зелений Гай</t>
  </si>
  <si>
    <t>Поточний ремонт елементів благоустрою Парку Зелений Гай</t>
  </si>
  <si>
    <t xml:space="preserve">Поточний ремонт елементів благоустрою Парку Зелений Гай </t>
  </si>
  <si>
    <t xml:space="preserve">Поточний ремонт елементів благоустрою парку Зелений Гай </t>
  </si>
  <si>
    <t>Поточний ремонт елементів благоустрою парків ім. Володі Дубініна та ім. Писаржевського</t>
  </si>
  <si>
    <t>Поточний ремонт конструкцій Парку Зелений Гай</t>
  </si>
  <si>
    <t>Поточний ремонт конструкцій парку Зелений Гай у м. Дніпрі</t>
  </si>
  <si>
    <t>Поточний ремонт конструкцій парку Зелений Гай у м. Дніпрі (улаштування клумб)</t>
  </si>
  <si>
    <t>Поточний ремонт конструкцій та елементів благоустрою у Парку Зелений Гай</t>
  </si>
  <si>
    <t xml:space="preserve">Поточний ремонт насіннєвого газону </t>
  </si>
  <si>
    <t xml:space="preserve">Поточний ремонт оглядового майданчику у Парку Зелений Гай  </t>
  </si>
  <si>
    <t>Поточний ремонт покриття зон відпочинку СPV – 50230000-6 Послуги з ремонту, технічного обслуговування дорожньої інфраструктури і пов’язаного обладнання та супутні послуги</t>
  </si>
  <si>
    <t>Поточний ремонт світлодіодних прикрас</t>
  </si>
  <si>
    <t>Поточний ремонт світлодіодних фігур та прикрас</t>
  </si>
  <si>
    <t xml:space="preserve">Поточний ремонт світлодіодних фігур та прикрас  </t>
  </si>
  <si>
    <t>Поточний ремонт світлодіодної фігури "Логотип міста Дніпро"</t>
  </si>
  <si>
    <t xml:space="preserve">Поточний ремонт скверу «Амурський парк» </t>
  </si>
  <si>
    <t>Поточний ремонт та монтаж світлодіодних прикрас та фігур</t>
  </si>
  <si>
    <t xml:space="preserve">Поточний ремонт тротуарного покриття парку Зелений Гай (Джерело фінансування: міський бюджет м. Дніпра)
</t>
  </si>
  <si>
    <t>Поточний ремонт тротуарного покриття у Парку Зелений Гай</t>
  </si>
  <si>
    <t>Поточний ремонт тротуарного покриття у парку Зелений Гай</t>
  </si>
  <si>
    <t>Поточний ремонт тротуарного покриття у парку Зелений Гай  у м. Дніпрі</t>
  </si>
  <si>
    <t xml:space="preserve">Поточний ремонт тротуарного покриття у сквері «Амурський парк» </t>
  </si>
  <si>
    <t>Поточний ремонт частини Парку ім. Писаржевського</t>
  </si>
  <si>
    <t>Поточний ямковий ремонт доріжки в сквері Івана Старова біля пам'ятника загиблим при виконанні службових обов'язків співробітників міліції</t>
  </si>
  <si>
    <t>Пояс запобіжний</t>
  </si>
  <si>
    <t>ПрАТ "ПЕЕМ "ЦЕК"</t>
  </si>
  <si>
    <t>ПрАТ Новая лінія</t>
  </si>
  <si>
    <t>Прапори України</t>
  </si>
  <si>
    <t>Предмет закупівлі</t>
  </si>
  <si>
    <t>Приватне підприємство "ФІЛІНГ"</t>
  </si>
  <si>
    <t>Придбання періодичного видання (Е-журнал Держзакупівлі)</t>
  </si>
  <si>
    <t>Приєднання  об'єкту до електричних мереж</t>
  </si>
  <si>
    <t>Приєднання до електричних мереж: об'єкт "Реконструкція парку ім. Володі Дубініна у м.Дніпрі"</t>
  </si>
  <si>
    <t>Продукція для чищення (Засіб для миття підлоги ДажБО ЕКОНОМ Універсальний з ароматом лимона (концентрат), для всіх видів водостійких поверхонь, 5 л)</t>
  </si>
  <si>
    <t xml:space="preserve">Проект землеустрою щодо відведення  земельної ділянки стадіону по вул. Євгена Маланюка (вул. Кантемирівська), 1 (Самарський район)  </t>
  </si>
  <si>
    <t>Проектно-вишукувальні роботи по об'єкту "Капітальний ремонт зеленої зони за адресою: просп. Д. Яворницького, 20 у м. Дніпрі"</t>
  </si>
  <si>
    <t xml:space="preserve">Проектно-вишукувальні роботи по об'єкту "Капітальний ремонт зеленої зони за адресою: просп. Д. Яворницького, 20 у м. Дніпрі" </t>
  </si>
  <si>
    <t>Проектно-вишукувальні роботи по об'єкту "Капітальний ремонт пішохідних алей з оглядовим майданчиком, що примикають до центральної алеї Парку Зелений Гай у м. Дніпрі"</t>
  </si>
  <si>
    <t>Проектно-вишукувальні роботи по об'єкту "Капітальний ремонт скверу Івана Старова у м. Дніпрі"</t>
  </si>
  <si>
    <t>Проектно-вишукувальні роботи по об'єкту "Підключення водопроводу для благоустрою і поливу зелених насаджень західної частини Парку Зелений Гай (в районі пров. Ялицевого)"</t>
  </si>
  <si>
    <t>Проектно-вишукувальні роботи по об'єкту "Підключення водопроводу для благоустрою і поливу зелених насаджень східної частини Парку Зелений Гай (зі сторони навчальних закладів №75 та №22)"</t>
  </si>
  <si>
    <t>Проектно-вишукувальні роботи по об'єкту "Підключення громадських вбиралень до інженерних мереж Парку Зелений Гай у м. Дніпрі"</t>
  </si>
  <si>
    <t>Проектно-кошторисної документації по об’єкту: «Реконструкція парку ім. Володі Дубініна у м. Дніпрі» (коригування проекту)</t>
  </si>
  <si>
    <t>Прожектора</t>
  </si>
  <si>
    <t>Прожектора (Джерело фінансування: місцевий бюджет м. Дніпра)</t>
  </si>
  <si>
    <t>Прожектори</t>
  </si>
  <si>
    <t>Пісок</t>
  </si>
  <si>
    <t>Пітько Сергій Михайлович</t>
  </si>
  <si>
    <t>РЗАЄВ ВУГАР РЗА ОГЛИ</t>
  </si>
  <si>
    <t xml:space="preserve">Рекламні послуги </t>
  </si>
  <si>
    <t>Реконструкція парку ім. Володі Дубініна у м. Дніпрі</t>
  </si>
  <si>
    <t>Реконструкція стадіону «Авангард» по вул. Євгена Маланюка,1  у м. Дніпрі</t>
  </si>
  <si>
    <t>Рзаєв Вугар Рза Огли</t>
  </si>
  <si>
    <t>Робити з розроблення проектно - кошторисної документації по об'єкту "Реконструкція парку імені Володі Дубініна у м. Дніпрі" (Коригування 2) (Джерело фінансування: місцевий бюджет м. Дніпра)</t>
  </si>
  <si>
    <t>Робити з розроблення проектно- кошторисної документації по об'єкту "Капітальний ремонт центральної алеї парку Зелений Гай у м. Дніпрі". Коригування.</t>
  </si>
  <si>
    <t>Робити з розроблення проектно- кошторисної докуметації по об'єкту "Реконструкція парку імені Володі Дубініна у м. Дніпрі" Коригування.</t>
  </si>
  <si>
    <t>Роботи (нове будівництво) "Влаштування електропостачання парку Зелений Гай у м. Дніпрі"</t>
  </si>
  <si>
    <t>Роботи з коригування червоних ліній парку ім. Писаржевського у м. Дніпрі</t>
  </si>
  <si>
    <t>Роботи з підключення водопроводу для благоустрою і поливу зелених насаджень Парку Зелений Гай</t>
  </si>
  <si>
    <t>Роботи з розроблення технічної документації з підключення водопроводу для благоустрою і поливу зелених насаджень Парку Зелений Гай</t>
  </si>
  <si>
    <t>Роботи з технічного нагляду на об'єкті "Капітальний ремонт Парку ім. Писаржевського у м. Дніпрі"</t>
  </si>
  <si>
    <t>Роботи з технічного нагляду на об'єкті "Капітальний ремонт пішохідних алей з оглядовим майданчиком, що примикають до центральної алеї Парку Зелений Гай у м. Дніпрі"</t>
  </si>
  <si>
    <t>Роботи з технічного нагляду на об'єкті "Капітальний ремонт центральної алеї парку Зелений Гай у м. Дніпрі" Коригування (Коригування 3)</t>
  </si>
  <si>
    <t>Роботи з технічного нагляду на об'єкті "Реконструкція парку ім. Володі Дубініна у м. Дніпрі"</t>
  </si>
  <si>
    <t>Роботи з технічного нагляду на об'єкті "Реконструкція парку ім. Володі Дубініна у м. Дніпрі" Коригування (Додаткові роботи)</t>
  </si>
  <si>
    <t>Роботи з технічного нагляду на об'єкті «Капітальний ремонт Парку ім. Писаржевського у м. Дніпрі». Коригування</t>
  </si>
  <si>
    <t xml:space="preserve">Роботи з технічного нагляду на об'єкті: "Капітальний ремонт Парку ім. Писаржевського у м. Дніпрі" (Джерело фінансування: міський бюджет м. Дніпра)
</t>
  </si>
  <si>
    <t xml:space="preserve">Роботи з технічного нагляду на об’єкті «Капітальний ремонт Парку ім. Писаржевського у м. Дніпрі»
</t>
  </si>
  <si>
    <t>Роботи з технічного нагляду на об’єкті «Капітальний ремонт елементів благоустрою частини парку ім. Писаржевського у м. Дніпрі" (І,ІІ черга)</t>
  </si>
  <si>
    <t xml:space="preserve">Роботи з технічного нагляду на об’єкті «Капітальний ремонт центральної алеї парку Зелений Гай у м. Дніпрі»  </t>
  </si>
  <si>
    <t>Роботи з технічного нагляду на об’єкті «Капітальний ремонт центральної алеї парку Зелений Гай у м. Дніпрі» (додаткові роботи)</t>
  </si>
  <si>
    <t xml:space="preserve">Роботи з технічного нагляду на об’єкті «Капітальний ремонт центральної алеї парку Зелений Гай у м. Дніпрі» (додаткові роботи)        </t>
  </si>
  <si>
    <t>Роботи з технічного нагляду на об’єкті «Капітальний ремонт центральної алеї парку Зелений Гай у м. Дніпрі» Коригування (Коригування 2)</t>
  </si>
  <si>
    <t xml:space="preserve">Роботи з технічного нагляду на об’єкті «Реконструкція парку ім. Володі Дубініна у м. Дніпрі» </t>
  </si>
  <si>
    <t>Роботи з технічного нагляду на об’єкті: «Влаштування електропостачання парку Зелений Гай у м. Дніпрі»</t>
  </si>
  <si>
    <t xml:space="preserve">Роботи з технічного обслуговування електрообладнання та оперативних перемикань при аварійних ситуаціях обладнання
</t>
  </si>
  <si>
    <t>Роботи з техічного нагляду на об'єкті "Реконструкція парку ім. Володі Дубініна у м. Дніпрі"(Коригування) від 11.11.2019</t>
  </si>
  <si>
    <t xml:space="preserve">Роботи з інженерно-геологічного вишукування в західній частині парку Зелений Гай (в районі пров.Ялицевий)
</t>
  </si>
  <si>
    <t>Роботи по проведенню авторського нагляду «Влаштування електропостачання парку Зелений Гай у м. Дніпрі»</t>
  </si>
  <si>
    <t>Роботи по проведенню авторського нагляду з виконання проекту "Капітальний ремонт центральної алеї парку Зелений Гай в м. Дніпрі"</t>
  </si>
  <si>
    <t>Роботи по проведенню авторського нагляду з виконання проекту "Реконструкція парку ім. Володі Дубініна у м. Дніпрі"</t>
  </si>
  <si>
    <t>Роботи по проведенню авторського нагляду з виконання проекту "Реконструкція парку ім. Володі Дубініна у м. Дніпрі". Коригування</t>
  </si>
  <si>
    <t>Роботи по проведенню авторського нагляду з виконання проекту: Капітальний ремонт центральної алеї парку Зелений Гай у м. Дніпрі" Коригування (Коригування 3)</t>
  </si>
  <si>
    <t xml:space="preserve">Роботи по проведенню авторського нагляду по об'єкту "Капітальний ремонт елементів благоустрою частини парку ім. Писаржевського у м. Дніпрі" (І,ІІ черга) </t>
  </si>
  <si>
    <t>Роботи по проведенню авторського нагляду по об'єкту "Капітальний ремонт центральної алеї парку Зелений Гай у м. Дніпрі". Коригування</t>
  </si>
  <si>
    <t>Роботи по проведенню авторського нагляду по об'єкту "Капітальний ремонт центральної алеї парку Зелений Гай у м. Дніпрі". Коригування (Коригування 2)</t>
  </si>
  <si>
    <t>Розроблення проектно-кошторисної документації по об'єкту "Капітальний ремонт центральної алеї парку Зелений Гай у м. Дніпрі (коригування проекту)</t>
  </si>
  <si>
    <t>Розроблення проектно-кошторисної документації по об’єкту «Влаштування електропостачання парку Зелений Гай у м. Дніпрі»</t>
  </si>
  <si>
    <t>Розроблення проектно-кошторисної документації по об’єкту: "Капітальний ремонт Парку ім. Писаржевського у м. Дніпрі"</t>
  </si>
  <si>
    <t xml:space="preserve">Розроблення проектно-кошторисної документації по об’єкту: "Капітальний ремонт Парку ім. Писаржевського у м. Дніпрі" Коригування
</t>
  </si>
  <si>
    <t>Розроблення проектно-кошторисної документації по об’єкту: «Капітальний ремонт елементів благоустрою частини парка ім. Писаржевського у м. Дніпрі»</t>
  </si>
  <si>
    <t>Розроблення проектно-кошторисної документації по об’єкту: «Капітальний ремонт центральної алеї парку Зелений Гай у м. Дніпрі (коригування проекту)</t>
  </si>
  <si>
    <t>Розроблення проектно-кошторисної документації по об’єкту: Капітальний ремонт скверу «Амурський парк» у місті Дніпрі</t>
  </si>
  <si>
    <t>Розсадницька продукція</t>
  </si>
  <si>
    <t xml:space="preserve">Розсадницька продукція </t>
  </si>
  <si>
    <t>Розсадницька продукція СPV 03450000-9 Розсадницька продукція</t>
  </si>
  <si>
    <t>Розсадницька продукція; Розсадницька продукція</t>
  </si>
  <si>
    <t>Ролети</t>
  </si>
  <si>
    <t>Ролети та жалюзі</t>
  </si>
  <si>
    <t>Рослинний ґрунт для багаторічних насаджень  об’ємом 400 м³</t>
  </si>
  <si>
    <t>Рукомийня</t>
  </si>
  <si>
    <t>Ручна помпа-дозатор для рідини ВР001-24 (24/410)</t>
  </si>
  <si>
    <t>Ручні інструменти</t>
  </si>
  <si>
    <t xml:space="preserve">Ручні інструменти </t>
  </si>
  <si>
    <t>Ручні інструменти CPV- 44510000-8 Знаряддя</t>
  </si>
  <si>
    <t>СИТНІК МАКСИМ ГРИГОРОВИЧ</t>
  </si>
  <si>
    <t>СТЕФАНСЬКИЙ МИХАЙЛО ВАДИМОВИЧ</t>
  </si>
  <si>
    <t>Саджанці однорічних рослин</t>
  </si>
  <si>
    <t>Саджанці рослин однорічних</t>
  </si>
  <si>
    <t xml:space="preserve">Саджанці рослин однорічних </t>
  </si>
  <si>
    <t>Садова паркова техніка; Садова паркова техніка</t>
  </si>
  <si>
    <t>Садова техніка різна</t>
  </si>
  <si>
    <t xml:space="preserve">Садові меблі </t>
  </si>
  <si>
    <t xml:space="preserve">Садові меблі (Джерело фінансування: міський бюджет м. Дніпра) 
</t>
  </si>
  <si>
    <t>Саленко Альбіна Володимирівна</t>
  </si>
  <si>
    <t>Санітарна та формовочна обрізка, зняття аварійних дерев на території парку Зелений Гай у м. Дніпрі,  ДК 021:2015 Код 77310000-6 Послуги з озеленення територій та утримання зелених насаджень.</t>
  </si>
  <si>
    <t>Саєнко Анжеліка Нодарівна</t>
  </si>
  <si>
    <t xml:space="preserve">Святкова декорація  </t>
  </si>
  <si>
    <t>Святкові прикраси (Джерело фінансування: місцевий бюджет м. Дніпра)</t>
  </si>
  <si>
    <t>Світильник</t>
  </si>
  <si>
    <t>Світлодіодні вироби</t>
  </si>
  <si>
    <t>Світлодіодні вироби; Світлодіодні вироби</t>
  </si>
  <si>
    <t>Світлодіодні прикраси</t>
  </si>
  <si>
    <t xml:space="preserve">Світлодіодні прикраси </t>
  </si>
  <si>
    <t xml:space="preserve">Світлодіодні прикраси (Джерело фінансування: міський бюджет м. Дніпра) </t>
  </si>
  <si>
    <t>Світлодіодні прикраси (Святкові прикраси)</t>
  </si>
  <si>
    <t>Світлодіодні прилади</t>
  </si>
  <si>
    <t xml:space="preserve">Світлодіодні прилади  </t>
  </si>
  <si>
    <t>Сейфи</t>
  </si>
  <si>
    <t xml:space="preserve">Система відеоспостереження </t>
  </si>
  <si>
    <t>Система контролю та управління доступом у комплекті</t>
  </si>
  <si>
    <t xml:space="preserve">Снігозбиральна машина </t>
  </si>
  <si>
    <t>Снігозбиральні машини За ДК 021:2015 Код 16320000-4 Снігозбиральні машини.</t>
  </si>
  <si>
    <t>Снігоприбиральна машина (Джерело фінансування: місцевий бюджет м. Дніпра)</t>
  </si>
  <si>
    <t>Сосна звичайна</t>
  </si>
  <si>
    <t>Спецвзуття - захисні напівчеревики</t>
  </si>
  <si>
    <t>Спецодяг</t>
  </si>
  <si>
    <t>Спеціальний  робочий одяг</t>
  </si>
  <si>
    <t>Спеціальний  робочий одяг (Джерело фінансування: місцевий бюджет м. Дніпра)</t>
  </si>
  <si>
    <t>Спеціальний робочий одяг</t>
  </si>
  <si>
    <t>Спеціальний робочий одяг CPV18100000-0 Формений одяг, спеціальний одяг та аксесуари</t>
  </si>
  <si>
    <t>Список державних закупівель</t>
  </si>
  <si>
    <t>Спортивний інвентар</t>
  </si>
  <si>
    <t>Спрощена закупівля</t>
  </si>
  <si>
    <t>Стандартне приєднання до електричних мереж системи розподілу (Джерело фінансування: місцевий бюджет м. Дніпра)</t>
  </si>
  <si>
    <t>Статус</t>
  </si>
  <si>
    <t xml:space="preserve">Стежка дерев'яна «Трап» </t>
  </si>
  <si>
    <t xml:space="preserve">Стежка дерев'яна «Трап» (Джерело фінансування: міський бюджет м. Дніпра) </t>
  </si>
  <si>
    <t>Стежка дерев’яна «Трап»</t>
  </si>
  <si>
    <t>Стежка дерев’яна «Трап» (Джерело фінансування: місцевий бюджет м. Дніпра)</t>
  </si>
  <si>
    <t>Стелажі</t>
  </si>
  <si>
    <t>Стелажі металеві</t>
  </si>
  <si>
    <t>Стрічка сигнальна</t>
  </si>
  <si>
    <t>Сувенірна продукція</t>
  </si>
  <si>
    <t>Сугар Юрій Анатолійович</t>
  </si>
  <si>
    <t>Сума укладеного договору</t>
  </si>
  <si>
    <t xml:space="preserve">Супутня продукція </t>
  </si>
  <si>
    <t>Супутня продукція СPV 4432000-9 Кабель та супутня продукція</t>
  </si>
  <si>
    <t>Супутні вироби до вікон</t>
  </si>
  <si>
    <t>Сільськогосподарські культури</t>
  </si>
  <si>
    <t>Сітка шпалерна</t>
  </si>
  <si>
    <t>Сітлодіодні прикраси</t>
  </si>
  <si>
    <t>ТДВ "Дніпрокомунтранс"</t>
  </si>
  <si>
    <t>ТОВ "IP COM"</t>
  </si>
  <si>
    <t>ТОВ "ІНСТИТУТ ТЕХНОЛОГІЧНОГО ПРОЕКТУВАННЯ"</t>
  </si>
  <si>
    <t>ТОВ "ІНТРА ТРЕЙД "</t>
  </si>
  <si>
    <t>ТОВ "АВЕРС КАНЦЕЛЯРІЯ"</t>
  </si>
  <si>
    <t>ТОВ "АЛАРМ ТЕХНОЛОДЖИ"</t>
  </si>
  <si>
    <t>ТОВ "АЛАРМ-А"</t>
  </si>
  <si>
    <t>ТОВ "АЛЮР ПЛЮС"</t>
  </si>
  <si>
    <t>ТОВ "АРЕЛА-БУДІНВЕСТ"</t>
  </si>
  <si>
    <t>ТОВ "БАНТОН 32"</t>
  </si>
  <si>
    <t>ТОВ "БЕСТ СТАТУС КОМПАНІ"</t>
  </si>
  <si>
    <t>ТОВ "БК ОН ЛАЙН ДНІПРО"</t>
  </si>
  <si>
    <t>ТОВ "БКС"</t>
  </si>
  <si>
    <t>ТОВ "БЛАГОУСТРІЙ 2018"</t>
  </si>
  <si>
    <t>ТОВ "БОНУС КОНТРАКТ"</t>
  </si>
  <si>
    <t>ТОВ "БУДІВЕЛЬНА КОМПАНІЯ "АМІРА"</t>
  </si>
  <si>
    <t>ТОВ "ВІТЛЮС ПЛЮС"</t>
  </si>
  <si>
    <t>ТОВ "ВОРОТА 24"</t>
  </si>
  <si>
    <t>ТОВ "ГЛУСКО-КАРТ УКРАЇНА"</t>
  </si>
  <si>
    <t>ТОВ "ДНІПРО ОІЛ ТРЕЙД"</t>
  </si>
  <si>
    <t>ТОВ "ДНІПРОВСЬКІ ЕНЕРГЕТИЧНІ ПОСЛУГИ"</t>
  </si>
  <si>
    <t>ТОВ "ДНІПРОЗЕЛЕНБУД"</t>
  </si>
  <si>
    <t>ТОВ "ДНІПРОЛАНДШАФТ"</t>
  </si>
  <si>
    <t>ТОВ "ДНІПРОПЕТРОВСЬКИЙ ПРОЕКТНО-КОНСТРУКТОРСЬКИЙ ТЕХНОЛОГІЧНИЙ ІНСТИТУТ"</t>
  </si>
  <si>
    <t>ТОВ "Дия Лайт"</t>
  </si>
  <si>
    <t>ТОВ "Днепропарк"</t>
  </si>
  <si>
    <t>ТОВ "ЕКОБУД 77"</t>
  </si>
  <si>
    <t>ТОВ "ЕКСПРЕС - ПРОЕКТ М"</t>
  </si>
  <si>
    <t>ТОВ "Епіцентр К"</t>
  </si>
  <si>
    <t>ТОВ "З ІНОЗЕМНИМИ ІНВЕСТИЦІЯМИ "ТИПОГРАФІЯ "УКРАЇНА""</t>
  </si>
  <si>
    <t>ТОВ "КОМБУД-ЕКО 77"</t>
  </si>
  <si>
    <t>ТОВ "КОМПАНІЯ "БІКО"</t>
  </si>
  <si>
    <t>ТОВ "КОМПАНІЯ "ЕКСПЕРТ ГРУП"</t>
  </si>
  <si>
    <t>ТОВ "КОМПАНІЯ БІКО"</t>
  </si>
  <si>
    <t>ТОВ "КОНСАЛТІНГ СЕРВІС ГРУП"</t>
  </si>
  <si>
    <t>ТОВ "КОНСТАНТА СПЕЦБУД"</t>
  </si>
  <si>
    <t>ТОВ "ЛІВАЙН ТОРГ"</t>
  </si>
  <si>
    <t>ТОВ "ЛЕОН ГУАРД"</t>
  </si>
  <si>
    <t>ТОВ "МОНОЛІТ-ДАП"</t>
  </si>
  <si>
    <t>ТОВ "Мастер Буд"</t>
  </si>
  <si>
    <t>ТОВ "НАУКОВО-ВИРОБНИЧЕ ПІДПРИЄМСТВО "УКРТЕХСЕРВИС"</t>
  </si>
  <si>
    <t>ТОВ "НЬЮ БІЛД ГРУП"</t>
  </si>
  <si>
    <t>ТОВ "ОСВ ТРЕЙДИНГ"</t>
  </si>
  <si>
    <t>ТОВ "ОХОРОННО-КОНСАЛТИНГОВА КОМПАНІЯ "БОРИСФЕН-1"</t>
  </si>
  <si>
    <t>ТОВ "ОХОРОННО-КОНСАЛТИНГОВА КОМПАНІЯ "ФАЛЬКОН БІЗНЕС БЕЗПЕКА"</t>
  </si>
  <si>
    <t>ТОВ "ОХОРОННО-КОНСАЛТИНГОВА КОМПАНІЯ "ФАЛЬКОН БЕЗПЕКА"</t>
  </si>
  <si>
    <t>ТОВ "ПАРКБУД-78"</t>
  </si>
  <si>
    <t>ТОВ "ПОЖЕЖНО-ТЕХНОГЕННИЙ АУДИТ"</t>
  </si>
  <si>
    <t>ТОВ "ПОЖТЕХНОЛОГІЯ"</t>
  </si>
  <si>
    <t>ТОВ "ПРЕМ'ЄРА Л ТА Л"</t>
  </si>
  <si>
    <t>ТОВ "ПРОМПРОЕКТЕНЕРГОБУД"</t>
  </si>
  <si>
    <t>ТОВ "ПРОФСТРОЙПРОЕКТ"</t>
  </si>
  <si>
    <t>ТОВ "Папарацци-Про"</t>
  </si>
  <si>
    <t>ТОВ "РЕМОНТНО-БУДІВЕЛЬНА КОМПАНІЯ МТВ"</t>
  </si>
  <si>
    <t>ТОВ "Рулонні газони"</t>
  </si>
  <si>
    <t>ТОВ "СВІКОМ"</t>
  </si>
  <si>
    <t>ТОВ "СЕРВІС ЕКСПЕРТ М"</t>
  </si>
  <si>
    <t>ТОВ "СЕРВІС ПРО"</t>
  </si>
  <si>
    <t>ТОВ "СОДЕЛЬ"</t>
  </si>
  <si>
    <t>ТОВ "СОЮЗ-ГАРАНТІЯ ПАРТНЕР"</t>
  </si>
  <si>
    <t>ТОВ "СХІДБУДПОСТАЧ"</t>
  </si>
  <si>
    <t>ТОВ "ТД МАЙСТЕР БУД"</t>
  </si>
  <si>
    <t>ТОВ "ТД Майстер Буд"</t>
  </si>
  <si>
    <t>ТОВ "ТЕХНОЦЕНТР "ХОЛОД"</t>
  </si>
  <si>
    <t>ТОВ "ТОРГОВЕЛЬНО-ПРОМИСЛОВА КОМПАНІЯ "АУРУМ ЛТД""</t>
  </si>
  <si>
    <t>ТОВ "Торгівельний Дім "Н'ю-Лайн"</t>
  </si>
  <si>
    <t>ТОВ "ФІОЛЕНТ ГРУП"</t>
  </si>
  <si>
    <t>ТОВ "ФІРМА ПОЛЮС-АЙС"</t>
  </si>
  <si>
    <t>ТОВ "ФАРММЕДАЛЬЯНС"</t>
  </si>
  <si>
    <t>ТОВ «ТЕХНОЦЕНТР» «ХОЛОД»</t>
  </si>
  <si>
    <t>ТОВ АВКАС</t>
  </si>
  <si>
    <t>ТОВ БЮРО ОЦІНКИ</t>
  </si>
  <si>
    <t>ТОВ Ведо</t>
  </si>
  <si>
    <t>ТОВ ЕКОКОМТРАНС</t>
  </si>
  <si>
    <t>ТОВ Кілоампер</t>
  </si>
  <si>
    <t>ТОВ ЛЕОН ГУАРД</t>
  </si>
  <si>
    <t>ТОВ МАГІСТРАЛЬ</t>
  </si>
  <si>
    <t>ТОВ МЕТА ОІЛ</t>
  </si>
  <si>
    <t>ТОВ НВФ "Проммет"</t>
  </si>
  <si>
    <t>ТОВ СІТІПАРКІНГ</t>
  </si>
  <si>
    <t>ТОВ СЕРВІССТАР-7</t>
  </si>
  <si>
    <t>ТОВ ТВФ "АСТРА" ТОВ</t>
  </si>
  <si>
    <t>ТОВ Укрчерметавтоматика</t>
  </si>
  <si>
    <t>ТОВ Центр</t>
  </si>
  <si>
    <t>ТОВАРИСТВО З ОБМЕЖЕНОЮ ВІДПОВІДАЛЬНІСТЮ "АВЕРС КАНЦЕЛЯРІЯ"</t>
  </si>
  <si>
    <t>ТОВАРИСТВО З ОБМЕЖЕНОЮ ВІДПОВІДАЛЬНІСТЮ "АВКАС"</t>
  </si>
  <si>
    <t>ТОВАРИСТВО З ОБМЕЖЕНОЮ ВІДПОВІДАЛЬНІСТЮ "АЛЬФАКОМ"</t>
  </si>
  <si>
    <t>ТОВАРИСТВО З ОБМЕЖЕНОЮ ВІДПОВІДАЛЬНІСТЮ "АРЕЛА-БУДІНВЕСТ"</t>
  </si>
  <si>
    <t>ТОВАРИСТВО З ОБМЕЖЕНОЮ ВІДПОВІДАЛЬНІСТЮ "АРКАНСІЕЛЬ"</t>
  </si>
  <si>
    <t>ТОВАРИСТВО З ОБМЕЖЕНОЮ ВІДПОВІДАЛЬНІСТЮ "АУРУМ-Д"</t>
  </si>
  <si>
    <t>ТОВАРИСТВО З ОБМЕЖЕНОЮ ВІДПОВІДАЛЬНІСТЮ "БАНТОН 32"</t>
  </si>
  <si>
    <t>ТОВАРИСТВО З ОБМЕЖЕНОЮ ВІДПОВІДАЛЬНІСТЮ "БЕЗПЕКА-КОМПЛЕКС"</t>
  </si>
  <si>
    <t>ТОВАРИСТВО З ОБМЕЖЕНОЮ ВІДПОВІДАЛЬНІСТЮ "БК ОН ЛАЙН ДНІПРО"</t>
  </si>
  <si>
    <t>ТОВАРИСТВО З ОБМЕЖЕНОЮ ВІДПОВІДАЛЬНІСТЮ "БЛАГОУСТРІЙ 2018"</t>
  </si>
  <si>
    <t>ТОВАРИСТВО З ОБМЕЖЕНОЮ ВІДПОВІДАЛЬНІСТЮ "БЮРО ОЦІНКИ"</t>
  </si>
  <si>
    <t>ТОВАРИСТВО З ОБМЕЖЕНОЮ ВІДПОВІДАЛЬНІСТЮ "ВІСТІ ПРИДНІПРОВ'Я"</t>
  </si>
  <si>
    <t>ТОВАРИСТВО З ОБМЕЖЕНОЮ ВІДПОВІДАЛЬНІСТЮ "ДНІПРОВСЬКІ ЕНЕРГЕТИЧНІ ПОСЛУГИ"</t>
  </si>
  <si>
    <t>ТОВАРИСТВО З ОБМЕЖЕНОЮ ВІДПОВІДАЛЬНІСТЮ "ДОРОЖНИК АКТИВ"</t>
  </si>
  <si>
    <t>ТОВАРИСТВО З ОБМЕЖЕНОЮ ВІДПОВІДАЛЬНІСТЮ "ЕКОЛОГІЯ-Д"</t>
  </si>
  <si>
    <t>ТОВАРИСТВО З ОБМЕЖЕНОЮ ВІДПОВІДАЛЬНІСТЮ "ЕКСПРЕС - ПРОЕКТ М"</t>
  </si>
  <si>
    <t>ТОВАРИСТВО З ОБМЕЖЕНОЮ ВІДПОВІДАЛЬНІСТЮ "ЕПІЦЕНТР К"</t>
  </si>
  <si>
    <t>ТОВАРИСТВО З ОБМЕЖЕНОЮ ВІДПОВІДАЛЬНІСТЮ "ЕРНЕРІНГ"</t>
  </si>
  <si>
    <t>ТОВАРИСТВО З ОБМЕЖЕНОЮ ВІДПОВІДАЛЬНІСТЮ "ЗАВОД ПОЛІМЕРНИХ ІЗДЄЛІЙ"</t>
  </si>
  <si>
    <t>ТОВАРИСТВО З ОБМЕЖЕНОЮ ВІДПОВІДАЛЬНІСТЮ "КАБЕЛЬНІ-ТЕХНОЛОГІЇ"</t>
  </si>
  <si>
    <t>ТОВАРИСТВО З ОБМЕЖЕНОЮ ВІДПОВІДАЛЬНІСТЮ "КОМБУД-ЕКО 77"</t>
  </si>
  <si>
    <t>ТОВАРИСТВО З ОБМЕЖЕНОЮ ВІДПОВІДАЛЬНІСТЮ "КОМПАНІЯ "ЕКСПЕРТ ГРУП"</t>
  </si>
  <si>
    <t>ТОВАРИСТВО З ОБМЕЖЕНОЮ ВІДПОВІДАЛЬНІСТЮ "КОРПОРАЦІЯ ЛОГІСТИК ГРУП"</t>
  </si>
  <si>
    <t>ТОВАРИСТВО З ОБМЕЖЕНОЮ ВІДПОВІДАЛЬНІСТЮ "ЛІВАЙН ТОРГ"</t>
  </si>
  <si>
    <t>ТОВАРИСТВО З ОБМЕЖЕНОЮ ВІДПОВІДАЛЬНІСТЮ "ЛОТОС КОРП"</t>
  </si>
  <si>
    <t>ТОВАРИСТВО З ОБМЕЖЕНОЮ ВІДПОВІДАЛЬНІСТЮ "МІЖНАРОДНИЙ ЦЕНТР ФІНАНСОВО-ЕКОНОМІЧНОГО РОЗВИТКУ-УКРАЇНА"</t>
  </si>
  <si>
    <t>ТОВАРИСТВО З ОБМЕЖЕНОЮ ВІДПОВІДАЛЬНІСТЮ "МАГІСТРАЛЬ"</t>
  </si>
  <si>
    <t>ТОВАРИСТВО З ОБМЕЖЕНОЮ ВІДПОВІДАЛЬНІСТЮ "МЕГА СЕРВІС УКРАЇНА"</t>
  </si>
  <si>
    <t>ТОВАРИСТВО З ОБМЕЖЕНОЮ ВІДПОВІДАЛЬНІСТЮ "МЕТРОНОМ 2009"</t>
  </si>
  <si>
    <t>ТОВАРИСТВО З ОБМЕЖЕНОЮ ВІДПОВІДАЛЬНІСТЮ "МОСТ АЙ ТІ"</t>
  </si>
  <si>
    <t>ТОВАРИСТВО З ОБМЕЖЕНОЮ ВІДПОВІДАЛЬНІСТЮ "НАГЕЛЬ БУД"</t>
  </si>
  <si>
    <t>ТОВАРИСТВО З ОБМЕЖЕНОЮ ВІДПОВІДАЛЬНІСТЮ "НАУКОВО-ВИРОБНИЧА ФІРМА "ІНПРОЕКТ"</t>
  </si>
  <si>
    <t>ТОВАРИСТВО З ОБМЕЖЕНОЮ ВІДПОВІДАЛЬНІСТЮ "НЬЮ БІЛД ГРУП"</t>
  </si>
  <si>
    <t>ТОВАРИСТВО З ОБМЕЖЕНОЮ ВІДПОВІДАЛЬНІСТЮ "О-2"</t>
  </si>
  <si>
    <t>ТОВАРИСТВО З ОБМЕЖЕНОЮ ВІДПОВІДАЛЬНІСТЮ "ОХОРОННО-КОНСАЛТИНГОВА КОМПАНІЯ "ФАЛЬКОН БІЗНЕС БЕЗПЕКА"</t>
  </si>
  <si>
    <t>ТОВАРИСТВО З ОБМЕЖЕНОЮ ВІДПОВІДАЛЬНІСТЮ "ОХОРОННО-КОНСАЛТИНГОВА КОМПАНІЯ "ФАЛЬКОН БЕЗПЕКА"</t>
  </si>
  <si>
    <t>ТОВАРИСТВО З ОБМЕЖЕНОЮ ВІДПОВІДАЛЬНІСТЮ "ПАПІРСЕРВІС"</t>
  </si>
  <si>
    <t>ТОВАРИСТВО З ОБМЕЖЕНОЮ ВІДПОВІДАЛЬНІСТЮ "ПРОМПРОЕКТЕНЕРГОБУД"</t>
  </si>
  <si>
    <t>ТОВАРИСТВО З ОБМЕЖЕНОЮ ВІДПОВІДАЛЬНІСТЮ "РАД ФАРМ"</t>
  </si>
  <si>
    <t>ТОВАРИСТВО З ОБМЕЖЕНОЮ ВІДПОВІДАЛЬНІСТЮ "РЕМОНТНО-БУДІВЕЛЬНА КОМПАНІЯ МТВ"</t>
  </si>
  <si>
    <t>ТОВАРИСТВО З ОБМЕЖЕНОЮ ВІДПОВІДАЛЬНІСТЮ "СЕР ЇЖАЧОК"</t>
  </si>
  <si>
    <t>ТОВАРИСТВО З ОБМЕЖЕНОЮ ВІДПОВІДАЛЬНІСТЮ "СЕРВІС ПРО"</t>
  </si>
  <si>
    <t>ТОВАРИСТВО З ОБМЕЖЕНОЮ ВІДПОВІДАЛЬНІСТЮ "СОЮЗ-ГАРАНТІЯ ПАРТНЕР"</t>
  </si>
  <si>
    <t>ТОВАРИСТВО З ОБМЕЖЕНОЮ ВІДПОВІДАЛЬНІСТЮ "СТРОЙБУД 2015"</t>
  </si>
  <si>
    <t>ТОВАРИСТВО З ОБМЕЖЕНОЮ ВІДПОВІДАЛЬНІСТЮ "СТРОНГДІЛ"</t>
  </si>
  <si>
    <t>ТОВАРИСТВО З ОБМЕЖЕНОЮ ВІДПОВІДАЛЬНІСТЮ "ТЕЛЕМІСТ 2012"</t>
  </si>
  <si>
    <t>ТОВАРИСТВО З ОБМЕЖЕНОЮ ВІДПОВІДАЛЬНІСТЮ "ТОРГОВИЙ ДІМ "КОМУНАЛЬНА ТЕХНІКА"</t>
  </si>
  <si>
    <t>ТОВАРИСТВО З ОБМЕЖЕНОЮ ВІДПОВІДАЛЬНІСТЮ "ТРЕЙД-СЕРВІС ГК"</t>
  </si>
  <si>
    <t>ТОВАРИСТВО З ОБМЕЖЕНОЮ ВІДПОВІДАЛЬНІСТЮ "УКРАЇНСЬКИЙ ПАПІР"</t>
  </si>
  <si>
    <t>ТОВАРИСТВО З ОБМЕЖЕНОЮ ВІДПОВІДАЛЬНІСТЮ "УКРЧЕРМЕТАВТОМАТИКА"</t>
  </si>
  <si>
    <t>ТОВАРИСТВО З ОБМЕЖЕНОЮ ВІДПОВІДАЛЬНІСТЮ "ФІОЛЕНТ ГРУП"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</si>
  <si>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</si>
  <si>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"ЦЕНТР СЕРТИФІКАЦІЇ КЛЮЧІВ "УКРАЇНА"</t>
  </si>
  <si>
    <t>ТОВАРИСТВО З ОБМЕЖЕНОЮ ВІДПОВІДАЛЬНІСТЮ "ЮМП-СОФТ"</t>
  </si>
  <si>
    <t>ТОВАРИСТВО З ОБМЕЖЕНОЮ ВІДПОВІДАЛЬНІСТЮ "ЮРИДИЧНА КОМПАНІЯ"ЮРИСТ-ДНІПРО"</t>
  </si>
  <si>
    <t>ТОВАРИСТВО З ОБМЕЖЕНОЮ ВІДПОВІДАЛЬНІСТЮ "ЯРТАС"</t>
  </si>
  <si>
    <t>ТОВАРИСТВО З ОБМЕЖЕНОЮ ВІДПОВІДАЛЬНІСТЮ 'АУРУМ-Д'</t>
  </si>
  <si>
    <t>ТОВАРИСТВО З ОБМЕЖЕНОЮ ВІДПОВІДАЛЬНІСТЮ «КВІТИ ДНІПРА»</t>
  </si>
  <si>
    <t>ТОВАРИСТВО З ОБМЕЖЕНОЮ ВІДПОВІДАЛЬНІСТЮ НАУКОВО-ВИРОБНИЧА ФІРМА "ПРОММЕТ"</t>
  </si>
  <si>
    <t>ТОВАРИСТВО З ОБМЕЖЕНОЮ ВІДПОВІДАЛЬНІСТЮ ТОРГОВЕЛЬНО-ПРОМИСЛОВА КОМПАНІЯ "АУРУМ ЛТД"</t>
  </si>
  <si>
    <t>Теки ДК 021:2015 Код 2285200-7 Теки</t>
  </si>
  <si>
    <t xml:space="preserve">Телевізор з кріпленням  </t>
  </si>
  <si>
    <t>Телевізори</t>
  </si>
  <si>
    <t>Технічний нагляд за виконанням робіт у межах охоронної зони електромереж</t>
  </si>
  <si>
    <t xml:space="preserve">Технічний нагляд за проведенням проектно-вишукувальних робіт з дотриманням вимог існуючого законодавства з розроблення проектно-кошторисної документації по об'єкту " Капітальний ремонит Парку ім. Писаржевського у м. Дніпрі"
</t>
  </si>
  <si>
    <t>ТзОВ"Компанія"ВІП-ОЙЛ"</t>
  </si>
  <si>
    <t>Тип процедури</t>
  </si>
  <si>
    <t>Тканинні ролети</t>
  </si>
  <si>
    <t xml:space="preserve">Тканинні ролети </t>
  </si>
  <si>
    <t>Товариство з обмеженою відповідальністю "Руд Екзост Сістем"</t>
  </si>
  <si>
    <t>Товариство з обмеженою відповідальністю "ТОТАЛ ПРОДАКШН"</t>
  </si>
  <si>
    <t>Товариство з обмеженою відповідальністю "Торговий дім  "Кловін"</t>
  </si>
  <si>
    <t>Товариство з обмеженою відповідальністю "Український папір"</t>
  </si>
  <si>
    <t>Товариство з обмеженою відповідальністю "Фиолент груп""</t>
  </si>
  <si>
    <t>Товариство з обмеженою відповідальністю «Дніпропетровський завод «Продмаш»</t>
  </si>
  <si>
    <t xml:space="preserve">Топографо-геодезичні роботи  (топографічна зйомка  змін місцевості масштабу 1:500) по об'єкту: Парк Зелений Гай
</t>
  </si>
  <si>
    <t xml:space="preserve">Топіарні рослини </t>
  </si>
  <si>
    <t xml:space="preserve">Трактор з навісним обладнанням </t>
  </si>
  <si>
    <t>Трактори у комплекті За ДК 021:2015 Код 16700000-2 Трактори</t>
  </si>
  <si>
    <t xml:space="preserve">Транспортні послуги </t>
  </si>
  <si>
    <t>Транспортні послуги автомобільних цистерн для поливу зелених насаджень у парках СPV 60100000-9 Послуги з автотранспортних перевезень</t>
  </si>
  <si>
    <t xml:space="preserve">Транспотрні послуги </t>
  </si>
  <si>
    <t>Тренажери</t>
  </si>
  <si>
    <t>Тюбінг</t>
  </si>
  <si>
    <t xml:space="preserve">Тіньовий навіс (Джерело фінансування: міський бюджет м. Дніпра) 
</t>
  </si>
  <si>
    <t>Улаштування покриття з дерева в парку Зелений Гай</t>
  </si>
  <si>
    <t>Універсальний дезінфікуючий засіб</t>
  </si>
  <si>
    <t>Урна дерев'яна комбінована</t>
  </si>
  <si>
    <t>Урна дерев’яна комбінована</t>
  </si>
  <si>
    <t xml:space="preserve">Урна дерев’яна комбінована </t>
  </si>
  <si>
    <t>Урна та огорожа</t>
  </si>
  <si>
    <t>Урни</t>
  </si>
  <si>
    <t>Урни  СPV 34928480-6 Контейнери та урни для відходів і сміття.</t>
  </si>
  <si>
    <t>Урни (Джерело фінансування: місцевий бюджет м. Дніпра)</t>
  </si>
  <si>
    <t xml:space="preserve">Урни (Джерело фінансування: міський бюджет м. Дніпра) </t>
  </si>
  <si>
    <t>Урни для органічних відходів CPV –34920000-2 дорожнє обладнання (Урни)</t>
  </si>
  <si>
    <t>Урни та огорожа</t>
  </si>
  <si>
    <t>ФІЗИЧНА ОСОБА-ПІДПРИЄМЕЦЬ БІЛОУСОВ ЯН ГРИГОРОВИЧ</t>
  </si>
  <si>
    <t>ФІЗИЧНА ОСОБА-ПІДПРИЄМЕЦЬ КИРКО РУСЛАН ПАВЛОВИЧ</t>
  </si>
  <si>
    <t>ФІЗИЧНА ОСОБА-ПІДПРИЄМЕЦЬ МАЛИШЕВСЬКИЙ МАКСИМ ВІКТОРОВИЧ</t>
  </si>
  <si>
    <t>ФІЗИЧНА ОСОБА-ПІДПРИЄМЕЦЬ ПІТЬКО СЕРГІЙ МИХАЙЛОВИЧ</t>
  </si>
  <si>
    <t>ФІЗИЧНА ОСОБА-ПІДПРИЄМЕЦЬ ФЕДОРЕНКО ОЛЕКСАНДР ЮРІЙОВИЧ</t>
  </si>
  <si>
    <t>ФЛП Девяткин Николай Борисович</t>
  </si>
  <si>
    <t>ФЛП Попов Михаил Дмитриевич</t>
  </si>
  <si>
    <t>ФЛП Чикалов Дмитрий Александрович</t>
  </si>
  <si>
    <t>ФОП  СУШИЧ ОЛЕКСАНДР АНДРІЙОВИЧ</t>
  </si>
  <si>
    <t>ФОП " ШИТОВ ОЛЕКСІЙ АНАТОЛІЙОВИЧ"</t>
  </si>
  <si>
    <t>ФОП "БЄЛІКОВ РОМАН ВІКТОРОВИЧ"</t>
  </si>
  <si>
    <t>ФОП "БАЛАЄВ АНДРІЙ ВІКТОРОВИЧ
"</t>
  </si>
  <si>
    <t>ФОП "БЛАЖКО АНАТОЛІЙ АНДРІЙОВИЧ"</t>
  </si>
  <si>
    <t>ФОП "БОГДАН РОМАН ЮРІЙОВИЧ"</t>
  </si>
  <si>
    <t>ФОП "БОГДАНОВ ДАВИД ДЕНИСОВИЧ"</t>
  </si>
  <si>
    <t>ФОП "БОГДАНОВИЧ ЕДУАРД ВОЛОДИМИРОВИЧ"</t>
  </si>
  <si>
    <t>ФОП "БОНДАРЕНКО МИКОЛА АНАТОЛІЙОВИЧ"</t>
  </si>
  <si>
    <t>ФОП "БРУСЕНЦЕВ ДМИТРО ІВАНОВИЧ"</t>
  </si>
  <si>
    <t>ФОП "Богданова Олександра Всеволодівна"</t>
  </si>
  <si>
    <t>ФОП "ГЕРМАШ ВЛАДИСЛАВ ПАВЛОВИЧ"</t>
  </si>
  <si>
    <t>ФОП "ДЕМЕНТЬЄВА МАРИНА ВОЛОДИМИРІВНА"</t>
  </si>
  <si>
    <t>ФОП "ДЕМЧЕНКО ЄВГЕНІЙ ДМИТРОВИЧ"</t>
  </si>
  <si>
    <t>ФОП "ЖДАН ДМИТРО ЮРІЙОВИЧ"</t>
  </si>
  <si>
    <t>ФОП "ЖИЦЬКА ОЛЬГА ГРИГОРІВНА"</t>
  </si>
  <si>
    <t>ФОП "ЗАВ'ЯЛОВ ВОЛОДИМИР ГЕННАДІЙОВИЧ"</t>
  </si>
  <si>
    <t>ФОП "ЗАХАРОВА ОКСАНА ЄВГЕНІВНА"</t>
  </si>
  <si>
    <t>ФОП "КАПУСТА ВІКТОРІЯ АНАТОЛІЇВНА"</t>
  </si>
  <si>
    <t>ФОП "КОБИЛЯЦЬКИЙ ВІКТОР АНДРІЙОВИЧ"</t>
  </si>
  <si>
    <t>ФОП "КОВТУН ІВАН ОЛЕГОВИЧ"</t>
  </si>
  <si>
    <t>ФОП "КОНДРУСЬ ВІКТОР МИКОЛАЙОВИЧ"</t>
  </si>
  <si>
    <t>ФОП "КОСКОР ЛІЛІЯ АЛЬБЕРТІВНА"</t>
  </si>
  <si>
    <t>ФОП "КУЗНЕЦОВ АРТЕМ СЕРГІЙОВИЧ"</t>
  </si>
  <si>
    <t>ФОП "ЛИНДЯ ПАВЛО СЕРГІЙОВИЧ"</t>
  </si>
  <si>
    <t>ФОП "ЛИСИЙ ВІТАЛІЙ ЯРОСЛАВОВИЧ"</t>
  </si>
  <si>
    <t>ФОП "ЛИСИЦЯ МИКОЛА ВОЛОДИМИРОВИЧ"</t>
  </si>
  <si>
    <t>ФОП "МІЩУК ВАЛЕРІЙ СЕРГІЙОВИЧ"</t>
  </si>
  <si>
    <t>ФОП "МОРОЗ ІГОР ЛЕОНІДОВИЧ"</t>
  </si>
  <si>
    <t>ФОП "Москальченко Леонід Гаврилович"</t>
  </si>
  <si>
    <t>ФОП "НАЗАРОВ МЕЛОР ЮРІЙОВИЧ"</t>
  </si>
  <si>
    <t>ФОП "НЕТЕЦЬКИЙ ВІТАЛІЙ ОЛЕГОВИЧ"</t>
  </si>
  <si>
    <t>ФОП "ОБУХОВ МИКОЛА ВІКТОРОВИЧ"</t>
  </si>
  <si>
    <t>ФОП "ОРЕЛ ОЛЕКСІЙ ГРИГОРОВИЧ"</t>
  </si>
  <si>
    <t>ФОП "ОШЕГА НАТАЛІЯ АНАТОЛІЇВНА"</t>
  </si>
  <si>
    <t>ФОП "ПАВЛОВ ДЕНИС ІГОРОВИЧ"</t>
  </si>
  <si>
    <t>ФОП "ПУЧКОВ АНДРІЙ ОЛЕКСАНДРОВИЧ"</t>
  </si>
  <si>
    <t>ФОП "РЗАЄВ ВУГАР РЗА ОГЛИ"</t>
  </si>
  <si>
    <t>ФОП "СІЛЬВАНОВИЧ СВІТЛАНА ЮРІЇВНА"</t>
  </si>
  <si>
    <t>ФОП "СОКУР КОСТЯНТИН МИКОЛАЙОВИЧ"</t>
  </si>
  <si>
    <t>ФОП "СТЕФАНСЬКИЙ МИХАЙЛО ВАДИМОВИЧ"</t>
  </si>
  <si>
    <t>ФОП "ТАНЦЮРА АНАСТАСІЯ ВІТАЛІЇВНА"</t>
  </si>
  <si>
    <t>ФОП "ТАНЦЮРА ВІТАЛІЙ ЄВГЕНОВИЧ"</t>
  </si>
  <si>
    <t>ФОП "ТАНЦЮРА МИХАЙЛО ЮРІЙОВИЧ
"</t>
  </si>
  <si>
    <t>ФОП "УСТИМЧУК АНДРІЙ ВОЛОДИМИРОВИЧ"</t>
  </si>
  <si>
    <t>ФОП "ХОЛОД ОЛЕГ РОМАНОВИЧ"</t>
  </si>
  <si>
    <t>ФОП "Черевченко Олексій Борисович"</t>
  </si>
  <si>
    <t>ФОП "ШАПОВАЛ ІВАН ІВАНОВИЧ"</t>
  </si>
  <si>
    <t>ФОП "ШРАМКО ДАРІЯ ДМИТРІЇВНА"</t>
  </si>
  <si>
    <t>ФОП Бердник В.А.</t>
  </si>
  <si>
    <t>ФОП ВИТЯГАНЕЦЬ ЛЮБОВ СЕРГІЇВНА</t>
  </si>
  <si>
    <t>ФОП Горак П.О.</t>
  </si>
  <si>
    <t>ФОП Дем'яненко Віктор Анатолійович</t>
  </si>
  <si>
    <t>ФОП Дунай Дмитро Олександрович</t>
  </si>
  <si>
    <t>ФОП ЖИЛАЧ ОЛЕКСАНДР СЕРГІЙОВИЧ</t>
  </si>
  <si>
    <t>ФОП КАНІБОЛОЦЬКА ІРИНА ВАЛЕРІЇВНА</t>
  </si>
  <si>
    <t>ФОП КРЕМЕНЕЦЬКА ОЛЕНА ГРИГОРІВНА</t>
  </si>
  <si>
    <t>ФОП КУЗЬМЕНКО МАКСИМ ПЕТРОВИЧ</t>
  </si>
  <si>
    <t xml:space="preserve">ФОП Кіслухін Олексій Анатолійович </t>
  </si>
  <si>
    <t>ФОП Лисиця Микола Володимирович</t>
  </si>
  <si>
    <t>ФОП Марченко Антон Віталійович</t>
  </si>
  <si>
    <t>ФОП Мединський Володимир Володимирович</t>
  </si>
  <si>
    <t>ФОП Мельніков Сергій Сергійович</t>
  </si>
  <si>
    <t>ФОП Мороз Ігор Леонідович</t>
  </si>
  <si>
    <t>ФОП Москальченко Л.Г.</t>
  </si>
  <si>
    <t>ФОП Полюшкін С.С.</t>
  </si>
  <si>
    <t>ФОП Полюшкін Сергій Сергійович</t>
  </si>
  <si>
    <t>ФОП СИРУНЯН ВАРДГЕС СУРЕНОВИЧ</t>
  </si>
  <si>
    <t>ФОП Садика Віктор Іванович</t>
  </si>
  <si>
    <t>ФОП Танцюра Віталій Євгенович</t>
  </si>
  <si>
    <t>ФОП Тристан Г.С.</t>
  </si>
  <si>
    <t>ФОП Чикалов Дмитрий</t>
  </si>
  <si>
    <t>ФОП ШЕВЦОВ ДМИТРО ЮРІЙОВИЧ</t>
  </si>
  <si>
    <t>ФОП ШЕЛЕГ ПАВЛО ВАЛЕРІЙОВИЧ</t>
  </si>
  <si>
    <t>ФОП Юрченко Ірина Григорівна</t>
  </si>
  <si>
    <t>Фактичний переможець</t>
  </si>
  <si>
    <t>Флеш-накопичувачі ДК 021:2015 Код 30233180-6 Флеш-накопичувачі</t>
  </si>
  <si>
    <t>Фотоапарат</t>
  </si>
  <si>
    <t>Фізична особа - підприємєць Полюшкін Сергій Сергійович</t>
  </si>
  <si>
    <t>Фізична особа- підприємець Полюшкін Сергій Сергійович</t>
  </si>
  <si>
    <t>Фізична особа-підприємець Чабан Анатолій Вікторович</t>
  </si>
  <si>
    <t>Холодильник</t>
  </si>
  <si>
    <t>Цибулинні квіти</t>
  </si>
  <si>
    <t>Частини для лісогосподарської техніки CPV –16800000-3 Частини для сільськогосподарської та лісогосподарської техніки</t>
  </si>
  <si>
    <t>Черевченко Олексій Борисович</t>
  </si>
  <si>
    <t>Шатер За ДК 021:2015 Код 39522530-1 Намет</t>
  </si>
  <si>
    <t>Шафи</t>
  </si>
  <si>
    <t xml:space="preserve">Шафи для переодягання </t>
  </si>
  <si>
    <t>Шилін Олександр Анатолійович</t>
  </si>
  <si>
    <t>Шини, камери гумові та колеса для спецтехніки</t>
  </si>
  <si>
    <t xml:space="preserve">Шини, камери гумові та колеса для спецтехніки </t>
  </si>
  <si>
    <t>Шлагбаум</t>
  </si>
  <si>
    <t>Шлак</t>
  </si>
  <si>
    <t>Шпаківниці та годівниці</t>
  </si>
  <si>
    <t>Штучна трава Монофіламентна</t>
  </si>
  <si>
    <t>Штучна трава Фібрильована</t>
  </si>
  <si>
    <t>Штучна трава та декоративні вироби</t>
  </si>
  <si>
    <t>ЮРЧЕНКО ІРИНА ГРИГОРІВНА</t>
  </si>
  <si>
    <t>Югхолодторг, Товариство З Обмеженою Відповідальністю</t>
  </si>
  <si>
    <t>Юридичні послуги на умовах аутсорсингу</t>
  </si>
  <si>
    <t xml:space="preserve">Юридичні послуги на умовах аутсорсингу
</t>
  </si>
  <si>
    <t>Якимович Лариса Геннадіївна</t>
  </si>
  <si>
    <t>активна</t>
  </si>
  <si>
    <t>аукціон не передбачено</t>
  </si>
  <si>
    <t>аукціон не проводився</t>
  </si>
  <si>
    <t>буде відома у момент початку прийому пропозицій</t>
  </si>
  <si>
    <t>гумове покриття</t>
  </si>
  <si>
    <t xml:space="preserve">гумове покриття Тартан </t>
  </si>
  <si>
    <t>декоративні вироби</t>
  </si>
  <si>
    <t>дошка для облицювання  лавок</t>
  </si>
  <si>
    <t>завершений</t>
  </si>
  <si>
    <t>завершено</t>
  </si>
  <si>
    <t>закупівля не відбулась</t>
  </si>
  <si>
    <t xml:space="preserve">истема контролю та управління доступом у комплекті </t>
  </si>
  <si>
    <t>канцелярські товари</t>
  </si>
  <si>
    <t>кваліфікація</t>
  </si>
  <si>
    <t>наливне покриття для багатофункціонального майданчика</t>
  </si>
  <si>
    <t>наливне покриття для баскетбольного поля</t>
  </si>
  <si>
    <t>огорожа для дитячого майданчика</t>
  </si>
  <si>
    <t>огорожа для спортивних полів</t>
  </si>
  <si>
    <t>покриття</t>
  </si>
  <si>
    <t>покриття штучне</t>
  </si>
  <si>
    <t>послуги з доступу до мережі інтернет</t>
  </si>
  <si>
    <t>прийом пропозицій</t>
  </si>
  <si>
    <t>пропозиції розглянуті</t>
  </si>
  <si>
    <t>скасована</t>
  </si>
  <si>
    <t>скасований</t>
  </si>
  <si>
    <t>труби та супутня продукція</t>
  </si>
  <si>
    <t>урни металеві</t>
  </si>
  <si>
    <t>урни пластикові</t>
  </si>
  <si>
    <t xml:space="preserve">Ґрунт для клумб та субстрат 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</si>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</sst>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my.zakupki.prom.ua/remote/dispatcher/state_purchase_view/9096686" TargetMode="External"/><Relationship Id="rId170" Type="http://schemas.openxmlformats.org/officeDocument/2006/relationships/hyperlink" Target="https://my.zakupki.prom.ua/remote/dispatcher/state_purchase_view/3377081" TargetMode="External"/><Relationship Id="rId268" Type="http://schemas.openxmlformats.org/officeDocument/2006/relationships/hyperlink" Target="https://my.zakupki.prom.ua/remote/dispatcher/state_purchase_view/3572922" TargetMode="External"/><Relationship Id="rId475" Type="http://schemas.openxmlformats.org/officeDocument/2006/relationships/hyperlink" Target="https://my.zakupki.prom.ua/remote/dispatcher/state_purchase_view/10791798" TargetMode="External"/><Relationship Id="rId682" Type="http://schemas.openxmlformats.org/officeDocument/2006/relationships/hyperlink" Target="https://my.zakupki.prom.ua/remote/dispatcher/state_purchase_view/3717474" TargetMode="External"/><Relationship Id="rId128" Type="http://schemas.openxmlformats.org/officeDocument/2006/relationships/hyperlink" Target="https://my.zakupki.prom.ua/remote/dispatcher/state_purchase_view/13504731" TargetMode="External"/><Relationship Id="rId335" Type="http://schemas.openxmlformats.org/officeDocument/2006/relationships/hyperlink" Target="https://my.zakupki.prom.ua/remote/dispatcher/state_purchase_view/3632574" TargetMode="External"/><Relationship Id="rId542" Type="http://schemas.openxmlformats.org/officeDocument/2006/relationships/hyperlink" Target="https://my.zakupki.prom.ua/remote/dispatcher/state_purchase_view/2220101" TargetMode="External"/><Relationship Id="rId987" Type="http://schemas.openxmlformats.org/officeDocument/2006/relationships/hyperlink" Target="https://my.zakupki.prom.ua/remote/dispatcher/state_purchase_view/18583034" TargetMode="External"/><Relationship Id="rId402" Type="http://schemas.openxmlformats.org/officeDocument/2006/relationships/hyperlink" Target="https://my.zakupki.prom.ua/remote/dispatcher/state_purchase_view/751673" TargetMode="External"/><Relationship Id="rId847" Type="http://schemas.openxmlformats.org/officeDocument/2006/relationships/hyperlink" Target="https://my.zakupki.prom.ua/remote/dispatcher/state_purchase_view/21332149" TargetMode="External"/><Relationship Id="rId1032" Type="http://schemas.openxmlformats.org/officeDocument/2006/relationships/hyperlink" Target="https://my.zakupki.prom.ua/remote/dispatcher/state_purchase_view/32043993" TargetMode="External"/><Relationship Id="rId707" Type="http://schemas.openxmlformats.org/officeDocument/2006/relationships/hyperlink" Target="https://my.zakupki.prom.ua/remote/dispatcher/state_purchase_view/12970986" TargetMode="External"/><Relationship Id="rId914" Type="http://schemas.openxmlformats.org/officeDocument/2006/relationships/hyperlink" Target="https://my.zakupki.prom.ua/remote/dispatcher/state_purchase_view/33870760" TargetMode="External"/><Relationship Id="rId43" Type="http://schemas.openxmlformats.org/officeDocument/2006/relationships/hyperlink" Target="https://my.zakupki.prom.ua/remote/dispatcher/state_purchase_view/17373409" TargetMode="External"/><Relationship Id="rId192" Type="http://schemas.openxmlformats.org/officeDocument/2006/relationships/hyperlink" Target="https://my.zakupki.prom.ua/remote/dispatcher/state_purchase_view/8174141" TargetMode="External"/><Relationship Id="rId497" Type="http://schemas.openxmlformats.org/officeDocument/2006/relationships/hyperlink" Target="https://my.zakupki.prom.ua/remote/dispatcher/state_purchase_view/4035465" TargetMode="External"/><Relationship Id="rId357" Type="http://schemas.openxmlformats.org/officeDocument/2006/relationships/hyperlink" Target="https://my.zakupki.prom.ua/remote/dispatcher/state_purchase_view/13310202" TargetMode="External"/><Relationship Id="rId217" Type="http://schemas.openxmlformats.org/officeDocument/2006/relationships/hyperlink" Target="https://my.zakupki.prom.ua/remote/dispatcher/state_purchase_view/4797912" TargetMode="External"/><Relationship Id="rId564" Type="http://schemas.openxmlformats.org/officeDocument/2006/relationships/hyperlink" Target="https://my.zakupki.prom.ua/remote/dispatcher/state_purchase_view/15093794" TargetMode="External"/><Relationship Id="rId771" Type="http://schemas.openxmlformats.org/officeDocument/2006/relationships/hyperlink" Target="https://my.zakupki.prom.ua/remote/dispatcher/state_purchase_view/12656910" TargetMode="External"/><Relationship Id="rId869" Type="http://schemas.openxmlformats.org/officeDocument/2006/relationships/hyperlink" Target="https://my.zakupki.prom.ua/remote/dispatcher/state_purchase_view/21222143" TargetMode="External"/><Relationship Id="rId424" Type="http://schemas.openxmlformats.org/officeDocument/2006/relationships/hyperlink" Target="https://my.zakupki.prom.ua/remote/dispatcher/state_purchase_view/6482631" TargetMode="External"/><Relationship Id="rId631" Type="http://schemas.openxmlformats.org/officeDocument/2006/relationships/hyperlink" Target="https://my.zakupki.prom.ua/remote/dispatcher/state_purchase_view/12540744" TargetMode="External"/><Relationship Id="rId729" Type="http://schemas.openxmlformats.org/officeDocument/2006/relationships/hyperlink" Target="https://my.zakupki.prom.ua/remote/dispatcher/state_purchase_view/15756833" TargetMode="External"/><Relationship Id="rId1054" Type="http://schemas.openxmlformats.org/officeDocument/2006/relationships/hyperlink" Target="https://my.zakupki.prom.ua/remote/dispatcher/state_purchase_view/15775892" TargetMode="External"/><Relationship Id="rId936" Type="http://schemas.openxmlformats.org/officeDocument/2006/relationships/hyperlink" Target="https://my.zakupki.prom.ua/remote/dispatcher/state_purchase_view/28608404" TargetMode="External"/><Relationship Id="rId1121" Type="http://schemas.openxmlformats.org/officeDocument/2006/relationships/hyperlink" Target="https://my.zakupki.prom.ua/remote/dispatcher/state_purchase_view/18991029" TargetMode="External"/><Relationship Id="rId65" Type="http://schemas.openxmlformats.org/officeDocument/2006/relationships/hyperlink" Target="https://my.zakupki.prom.ua/remote/dispatcher/state_purchase_view/739126" TargetMode="External"/><Relationship Id="rId281" Type="http://schemas.openxmlformats.org/officeDocument/2006/relationships/hyperlink" Target="https://my.zakupki.prom.ua/remote/dispatcher/state_purchase_view/4550003" TargetMode="External"/><Relationship Id="rId141" Type="http://schemas.openxmlformats.org/officeDocument/2006/relationships/hyperlink" Target="https://my.zakupki.prom.ua/remote/dispatcher/state_purchase_view/3996280" TargetMode="External"/><Relationship Id="rId379" Type="http://schemas.openxmlformats.org/officeDocument/2006/relationships/hyperlink" Target="https://my.zakupki.prom.ua/remote/dispatcher/state_purchase_view/12501454" TargetMode="External"/><Relationship Id="rId586" Type="http://schemas.openxmlformats.org/officeDocument/2006/relationships/hyperlink" Target="https://my.zakupki.prom.ua/remote/dispatcher/state_purchase_view/4278949" TargetMode="External"/><Relationship Id="rId793" Type="http://schemas.openxmlformats.org/officeDocument/2006/relationships/hyperlink" Target="https://my.zakupki.prom.ua/remote/dispatcher/state_purchase_view/21372364" TargetMode="External"/><Relationship Id="rId7" Type="http://schemas.openxmlformats.org/officeDocument/2006/relationships/hyperlink" Target="https://my.zakupki.prom.ua/remote/dispatcher/state_purchase_view/9064530" TargetMode="External"/><Relationship Id="rId239" Type="http://schemas.openxmlformats.org/officeDocument/2006/relationships/hyperlink" Target="https://my.zakupki.prom.ua/remote/dispatcher/state_purchase_view/6120835" TargetMode="External"/><Relationship Id="rId446" Type="http://schemas.openxmlformats.org/officeDocument/2006/relationships/hyperlink" Target="https://my.zakupki.prom.ua/remote/dispatcher/state_purchase_view/3497869" TargetMode="External"/><Relationship Id="rId653" Type="http://schemas.openxmlformats.org/officeDocument/2006/relationships/hyperlink" Target="https://my.zakupki.prom.ua/remote/dispatcher/state_purchase_view/13786717" TargetMode="External"/><Relationship Id="rId1076" Type="http://schemas.openxmlformats.org/officeDocument/2006/relationships/hyperlink" Target="https://my.zakupki.prom.ua/remote/dispatcher/state_purchase_view/24291093" TargetMode="External"/><Relationship Id="rId306" Type="http://schemas.openxmlformats.org/officeDocument/2006/relationships/hyperlink" Target="https://my.zakupki.prom.ua/remote/dispatcher/state_purchase_view/13217343" TargetMode="External"/><Relationship Id="rId860" Type="http://schemas.openxmlformats.org/officeDocument/2006/relationships/hyperlink" Target="https://my.zakupki.prom.ua/remote/dispatcher/state_purchase_view/32648544" TargetMode="External"/><Relationship Id="rId958" Type="http://schemas.openxmlformats.org/officeDocument/2006/relationships/hyperlink" Target="https://my.zakupki.prom.ua/remote/dispatcher/state_purchase_view/24522787" TargetMode="External"/><Relationship Id="rId1143" Type="http://schemas.openxmlformats.org/officeDocument/2006/relationships/hyperlink" Target="https://my.zakupki.prom.ua/remote/dispatcher/state_purchase_view/25166331" TargetMode="External"/><Relationship Id="rId87" Type="http://schemas.openxmlformats.org/officeDocument/2006/relationships/hyperlink" Target="https://my.zakupki.prom.ua/remote/dispatcher/state_purchase_view/11296931" TargetMode="External"/><Relationship Id="rId513" Type="http://schemas.openxmlformats.org/officeDocument/2006/relationships/hyperlink" Target="https://my.zakupki.prom.ua/remote/dispatcher/state_purchase_view/11284785" TargetMode="External"/><Relationship Id="rId720" Type="http://schemas.openxmlformats.org/officeDocument/2006/relationships/hyperlink" Target="https://my.zakupki.prom.ua/remote/dispatcher/state_purchase_view/16501623" TargetMode="External"/><Relationship Id="rId818" Type="http://schemas.openxmlformats.org/officeDocument/2006/relationships/hyperlink" Target="https://my.zakupki.prom.ua/remote/dispatcher/state_purchase_view/27954893" TargetMode="External"/><Relationship Id="rId1003" Type="http://schemas.openxmlformats.org/officeDocument/2006/relationships/hyperlink" Target="https://my.zakupki.prom.ua/remote/dispatcher/state_purchase_view/17819092" TargetMode="External"/><Relationship Id="rId14" Type="http://schemas.openxmlformats.org/officeDocument/2006/relationships/hyperlink" Target="https://my.zakupki.prom.ua/remote/dispatcher/state_purchase_view/855261" TargetMode="External"/><Relationship Id="rId163" Type="http://schemas.openxmlformats.org/officeDocument/2006/relationships/hyperlink" Target="https://my.zakupki.prom.ua/remote/dispatcher/state_purchase_view/3682565" TargetMode="External"/><Relationship Id="rId370" Type="http://schemas.openxmlformats.org/officeDocument/2006/relationships/hyperlink" Target="https://my.zakupki.prom.ua/remote/dispatcher/state_purchase_view/11669949" TargetMode="External"/><Relationship Id="rId230" Type="http://schemas.openxmlformats.org/officeDocument/2006/relationships/hyperlink" Target="https://my.zakupki.prom.ua/remote/dispatcher/state_purchase_view/893282" TargetMode="External"/><Relationship Id="rId468" Type="http://schemas.openxmlformats.org/officeDocument/2006/relationships/hyperlink" Target="https://my.zakupki.prom.ua/remote/dispatcher/state_purchase_view/12510995" TargetMode="External"/><Relationship Id="rId675" Type="http://schemas.openxmlformats.org/officeDocument/2006/relationships/hyperlink" Target="https://my.zakupki.prom.ua/remote/dispatcher/state_purchase_view/15466752" TargetMode="External"/><Relationship Id="rId882" Type="http://schemas.openxmlformats.org/officeDocument/2006/relationships/hyperlink" Target="https://my.zakupki.prom.ua/remote/dispatcher/state_purchase_view/31151894" TargetMode="External"/><Relationship Id="rId1098" Type="http://schemas.openxmlformats.org/officeDocument/2006/relationships/hyperlink" Target="https://my.zakupki.prom.ua/remote/dispatcher/state_purchase_view/23046391" TargetMode="External"/><Relationship Id="rId328" Type="http://schemas.openxmlformats.org/officeDocument/2006/relationships/hyperlink" Target="https://my.zakupki.prom.ua/remote/dispatcher/state_purchase_view/6917379" TargetMode="External"/><Relationship Id="rId535" Type="http://schemas.openxmlformats.org/officeDocument/2006/relationships/hyperlink" Target="https://my.zakupki.prom.ua/remote/dispatcher/state_purchase_view/4558785" TargetMode="External"/><Relationship Id="rId742" Type="http://schemas.openxmlformats.org/officeDocument/2006/relationships/hyperlink" Target="https://my.zakupki.prom.ua/remote/dispatcher/state_purchase_view/2666467" TargetMode="External"/><Relationship Id="rId602" Type="http://schemas.openxmlformats.org/officeDocument/2006/relationships/hyperlink" Target="https://my.zakupki.prom.ua/remote/dispatcher/state_purchase_view/9072579" TargetMode="External"/><Relationship Id="rId1025" Type="http://schemas.openxmlformats.org/officeDocument/2006/relationships/hyperlink" Target="https://my.zakupki.prom.ua/remote/dispatcher/state_purchase_view/32850543" TargetMode="External"/><Relationship Id="rId907" Type="http://schemas.openxmlformats.org/officeDocument/2006/relationships/hyperlink" Target="https://my.zakupki.prom.ua/remote/dispatcher/state_purchase_view/27069974" TargetMode="External"/><Relationship Id="rId36" Type="http://schemas.openxmlformats.org/officeDocument/2006/relationships/hyperlink" Target="https://my.zakupki.prom.ua/remote/dispatcher/state_purchase_view/7120619" TargetMode="External"/><Relationship Id="rId185" Type="http://schemas.openxmlformats.org/officeDocument/2006/relationships/hyperlink" Target="https://my.zakupki.prom.ua/remote/dispatcher/state_purchase_view/967276" TargetMode="External"/><Relationship Id="rId392" Type="http://schemas.openxmlformats.org/officeDocument/2006/relationships/hyperlink" Target="https://my.zakupki.prom.ua/remote/dispatcher/state_purchase_view/3487982" TargetMode="External"/><Relationship Id="rId697" Type="http://schemas.openxmlformats.org/officeDocument/2006/relationships/hyperlink" Target="https://my.zakupki.prom.ua/remote/dispatcher/state_purchase_view/2999740" TargetMode="External"/><Relationship Id="rId252" Type="http://schemas.openxmlformats.org/officeDocument/2006/relationships/hyperlink" Target="https://my.zakupki.prom.ua/remote/dispatcher/state_purchase_view/15751497" TargetMode="External"/><Relationship Id="rId112" Type="http://schemas.openxmlformats.org/officeDocument/2006/relationships/hyperlink" Target="https://my.zakupki.prom.ua/remote/dispatcher/state_purchase_view/504635" TargetMode="External"/><Relationship Id="rId557" Type="http://schemas.openxmlformats.org/officeDocument/2006/relationships/hyperlink" Target="https://my.zakupki.prom.ua/remote/dispatcher/state_purchase_view/13579560" TargetMode="External"/><Relationship Id="rId764" Type="http://schemas.openxmlformats.org/officeDocument/2006/relationships/hyperlink" Target="https://my.zakupki.prom.ua/remote/dispatcher/state_purchase_view/6553034" TargetMode="External"/><Relationship Id="rId971" Type="http://schemas.openxmlformats.org/officeDocument/2006/relationships/hyperlink" Target="https://my.zakupki.prom.ua/remote/dispatcher/state_purchase_view/32153205" TargetMode="External"/><Relationship Id="rId196" Type="http://schemas.openxmlformats.org/officeDocument/2006/relationships/hyperlink" Target="https://my.zakupki.prom.ua/remote/dispatcher/state_purchase_view/15810421" TargetMode="External"/><Relationship Id="rId417" Type="http://schemas.openxmlformats.org/officeDocument/2006/relationships/hyperlink" Target="https://my.zakupki.prom.ua/remote/dispatcher/state_purchase_view/4045308" TargetMode="External"/><Relationship Id="rId624" Type="http://schemas.openxmlformats.org/officeDocument/2006/relationships/hyperlink" Target="https://my.zakupki.prom.ua/remote/dispatcher/state_purchase_view/18946304" TargetMode="External"/><Relationship Id="rId831" Type="http://schemas.openxmlformats.org/officeDocument/2006/relationships/hyperlink" Target="https://my.zakupki.prom.ua/remote/dispatcher/state_purchase_view/23957039" TargetMode="External"/><Relationship Id="rId1047" Type="http://schemas.openxmlformats.org/officeDocument/2006/relationships/hyperlink" Target="https://my.zakupki.prom.ua/remote/dispatcher/state_purchase_view/12168814" TargetMode="External"/><Relationship Id="rId263" Type="http://schemas.openxmlformats.org/officeDocument/2006/relationships/hyperlink" Target="https://my.zakupki.prom.ua/remote/dispatcher/state_purchase_view/17910090" TargetMode="External"/><Relationship Id="rId470" Type="http://schemas.openxmlformats.org/officeDocument/2006/relationships/hyperlink" Target="https://my.zakupki.prom.ua/remote/dispatcher/state_purchase_view/12155875" TargetMode="External"/><Relationship Id="rId929" Type="http://schemas.openxmlformats.org/officeDocument/2006/relationships/hyperlink" Target="https://my.zakupki.prom.ua/remote/dispatcher/state_purchase_view/27259252" TargetMode="External"/><Relationship Id="rId1114" Type="http://schemas.openxmlformats.org/officeDocument/2006/relationships/hyperlink" Target="https://my.zakupki.prom.ua/remote/dispatcher/state_purchase_view/32602476" TargetMode="External"/><Relationship Id="rId58" Type="http://schemas.openxmlformats.org/officeDocument/2006/relationships/hyperlink" Target="https://my.zakupki.prom.ua/remote/dispatcher/state_purchase_view/4633906" TargetMode="External"/><Relationship Id="rId123" Type="http://schemas.openxmlformats.org/officeDocument/2006/relationships/hyperlink" Target="https://my.zakupki.prom.ua/remote/dispatcher/state_purchase_view/10959070" TargetMode="External"/><Relationship Id="rId330" Type="http://schemas.openxmlformats.org/officeDocument/2006/relationships/hyperlink" Target="https://my.zakupki.prom.ua/remote/dispatcher/state_purchase_view/739171" TargetMode="External"/><Relationship Id="rId568" Type="http://schemas.openxmlformats.org/officeDocument/2006/relationships/hyperlink" Target="https://my.zakupki.prom.ua/remote/dispatcher/state_purchase_view/16121905" TargetMode="External"/><Relationship Id="rId775" Type="http://schemas.openxmlformats.org/officeDocument/2006/relationships/hyperlink" Target="https://my.zakupki.prom.ua/remote/dispatcher/state_purchase_view/10940353" TargetMode="External"/><Relationship Id="rId982" Type="http://schemas.openxmlformats.org/officeDocument/2006/relationships/hyperlink" Target="https://my.zakupki.prom.ua/remote/dispatcher/state_purchase_view/17819970" TargetMode="External"/><Relationship Id="rId428" Type="http://schemas.openxmlformats.org/officeDocument/2006/relationships/hyperlink" Target="https://my.zakupki.prom.ua/remote/dispatcher/state_purchase_view/3673809" TargetMode="External"/><Relationship Id="rId635" Type="http://schemas.openxmlformats.org/officeDocument/2006/relationships/hyperlink" Target="https://my.zakupki.prom.ua/remote/dispatcher/state_purchase_view/8352143" TargetMode="External"/><Relationship Id="rId842" Type="http://schemas.openxmlformats.org/officeDocument/2006/relationships/hyperlink" Target="https://my.zakupki.prom.ua/remote/dispatcher/state_purchase_view/14142706" TargetMode="External"/><Relationship Id="rId1058" Type="http://schemas.openxmlformats.org/officeDocument/2006/relationships/hyperlink" Target="https://my.zakupki.prom.ua/remote/dispatcher/state_purchase_view/23820305" TargetMode="External"/><Relationship Id="rId274" Type="http://schemas.openxmlformats.org/officeDocument/2006/relationships/hyperlink" Target="https://my.zakupki.prom.ua/remote/dispatcher/state_purchase_view/1784130" TargetMode="External"/><Relationship Id="rId481" Type="http://schemas.openxmlformats.org/officeDocument/2006/relationships/hyperlink" Target="https://my.zakupki.prom.ua/remote/dispatcher/state_purchase_view/6694592" TargetMode="External"/><Relationship Id="rId702" Type="http://schemas.openxmlformats.org/officeDocument/2006/relationships/hyperlink" Target="https://my.zakupki.prom.ua/remote/dispatcher/state_purchase_view/8002513" TargetMode="External"/><Relationship Id="rId1125" Type="http://schemas.openxmlformats.org/officeDocument/2006/relationships/hyperlink" Target="https://my.zakupki.prom.ua/remote/dispatcher/state_purchase_view/28039098" TargetMode="External"/><Relationship Id="rId69" Type="http://schemas.openxmlformats.org/officeDocument/2006/relationships/hyperlink" Target="https://my.zakupki.prom.ua/remote/dispatcher/state_purchase_view/847207" TargetMode="External"/><Relationship Id="rId134" Type="http://schemas.openxmlformats.org/officeDocument/2006/relationships/hyperlink" Target="https://my.zakupki.prom.ua/remote/dispatcher/state_purchase_view/3456503" TargetMode="External"/><Relationship Id="rId579" Type="http://schemas.openxmlformats.org/officeDocument/2006/relationships/hyperlink" Target="https://my.zakupki.prom.ua/remote/dispatcher/state_purchase_view/4350530" TargetMode="External"/><Relationship Id="rId786" Type="http://schemas.openxmlformats.org/officeDocument/2006/relationships/hyperlink" Target="https://my.zakupki.prom.ua/remote/dispatcher/state_purchase_view/18145750" TargetMode="External"/><Relationship Id="rId993" Type="http://schemas.openxmlformats.org/officeDocument/2006/relationships/hyperlink" Target="https://my.zakupki.prom.ua/remote/dispatcher/state_purchase_view/24783335" TargetMode="External"/><Relationship Id="rId341" Type="http://schemas.openxmlformats.org/officeDocument/2006/relationships/hyperlink" Target="https://my.zakupki.prom.ua/remote/dispatcher/state_purchase_view/7353585" TargetMode="External"/><Relationship Id="rId439" Type="http://schemas.openxmlformats.org/officeDocument/2006/relationships/hyperlink" Target="https://my.zakupki.prom.ua/remote/dispatcher/state_purchase_view/1101148" TargetMode="External"/><Relationship Id="rId646" Type="http://schemas.openxmlformats.org/officeDocument/2006/relationships/hyperlink" Target="https://my.zakupki.prom.ua/remote/dispatcher/state_purchase_view/1927420" TargetMode="External"/><Relationship Id="rId1069" Type="http://schemas.openxmlformats.org/officeDocument/2006/relationships/hyperlink" Target="https://my.zakupki.prom.ua/remote/dispatcher/state_purchase_view/22465766" TargetMode="External"/><Relationship Id="rId201" Type="http://schemas.openxmlformats.org/officeDocument/2006/relationships/hyperlink" Target="https://my.zakupki.prom.ua/remote/dispatcher/state_purchase_view/14701529" TargetMode="External"/><Relationship Id="rId285" Type="http://schemas.openxmlformats.org/officeDocument/2006/relationships/hyperlink" Target="https://my.zakupki.prom.ua/remote/dispatcher/state_purchase_view/6718196" TargetMode="External"/><Relationship Id="rId506" Type="http://schemas.openxmlformats.org/officeDocument/2006/relationships/hyperlink" Target="https://my.zakupki.prom.ua/remote/dispatcher/state_purchase_view/6869312" TargetMode="External"/><Relationship Id="rId853" Type="http://schemas.openxmlformats.org/officeDocument/2006/relationships/hyperlink" Target="https://my.zakupki.prom.ua/remote/dispatcher/state_purchase_view/29351209" TargetMode="External"/><Relationship Id="rId1136" Type="http://schemas.openxmlformats.org/officeDocument/2006/relationships/hyperlink" Target="https://my.zakupki.prom.ua/remote/dispatcher/state_purchase_view/19799556" TargetMode="External"/><Relationship Id="rId492" Type="http://schemas.openxmlformats.org/officeDocument/2006/relationships/hyperlink" Target="https://my.zakupki.prom.ua/remote/dispatcher/state_purchase_view/978017" TargetMode="External"/><Relationship Id="rId713" Type="http://schemas.openxmlformats.org/officeDocument/2006/relationships/hyperlink" Target="https://my.zakupki.prom.ua/remote/dispatcher/state_purchase_view/11331428" TargetMode="External"/><Relationship Id="rId797" Type="http://schemas.openxmlformats.org/officeDocument/2006/relationships/hyperlink" Target="https://my.zakupki.prom.ua/remote/dispatcher/state_purchase_view/26325484" TargetMode="External"/><Relationship Id="rId920" Type="http://schemas.openxmlformats.org/officeDocument/2006/relationships/hyperlink" Target="https://my.zakupki.prom.ua/remote/dispatcher/state_purchase_view/33997237" TargetMode="External"/><Relationship Id="rId145" Type="http://schemas.openxmlformats.org/officeDocument/2006/relationships/hyperlink" Target="https://my.zakupki.prom.ua/remote/dispatcher/state_purchase_view/7276427" TargetMode="External"/><Relationship Id="rId352" Type="http://schemas.openxmlformats.org/officeDocument/2006/relationships/hyperlink" Target="https://my.zakupki.prom.ua/remote/dispatcher/state_purchase_view/16506549" TargetMode="External"/><Relationship Id="rId212" Type="http://schemas.openxmlformats.org/officeDocument/2006/relationships/hyperlink" Target="https://my.zakupki.prom.ua/remote/dispatcher/state_purchase_view/13449396" TargetMode="External"/><Relationship Id="rId657" Type="http://schemas.openxmlformats.org/officeDocument/2006/relationships/hyperlink" Target="https://my.zakupki.prom.ua/remote/dispatcher/state_purchase_view/4163122" TargetMode="External"/><Relationship Id="rId864" Type="http://schemas.openxmlformats.org/officeDocument/2006/relationships/hyperlink" Target="https://my.zakupki.prom.ua/remote/dispatcher/state_purchase_view/11519718" TargetMode="External"/><Relationship Id="rId296" Type="http://schemas.openxmlformats.org/officeDocument/2006/relationships/hyperlink" Target="https://my.zakupki.prom.ua/remote/dispatcher/state_purchase_view/11811959" TargetMode="External"/><Relationship Id="rId517" Type="http://schemas.openxmlformats.org/officeDocument/2006/relationships/hyperlink" Target="https://my.zakupki.prom.ua/remote/dispatcher/state_purchase_view/13353956" TargetMode="External"/><Relationship Id="rId724" Type="http://schemas.openxmlformats.org/officeDocument/2006/relationships/hyperlink" Target="https://my.zakupki.prom.ua/remote/dispatcher/state_purchase_view/13242131" TargetMode="External"/><Relationship Id="rId931" Type="http://schemas.openxmlformats.org/officeDocument/2006/relationships/hyperlink" Target="https://my.zakupki.prom.ua/remote/dispatcher/state_purchase_view/26946873" TargetMode="External"/><Relationship Id="rId1147" Type="http://schemas.openxmlformats.org/officeDocument/2006/relationships/hyperlink" Target="https://my.zakupki.prom.ua/remote/dispatcher/state_purchase_view/27992801" TargetMode="External"/><Relationship Id="rId60" Type="http://schemas.openxmlformats.org/officeDocument/2006/relationships/hyperlink" Target="https://my.zakupki.prom.ua/remote/dispatcher/state_purchase_view/2241633" TargetMode="External"/><Relationship Id="rId156" Type="http://schemas.openxmlformats.org/officeDocument/2006/relationships/hyperlink" Target="https://my.zakupki.prom.ua/remote/dispatcher/state_purchase_view/14527807" TargetMode="External"/><Relationship Id="rId363" Type="http://schemas.openxmlformats.org/officeDocument/2006/relationships/hyperlink" Target="https://my.zakupki.prom.ua/remote/dispatcher/state_purchase_view/9436683" TargetMode="External"/><Relationship Id="rId570" Type="http://schemas.openxmlformats.org/officeDocument/2006/relationships/hyperlink" Target="https://my.zakupki.prom.ua/remote/dispatcher/state_purchase_view/14099203" TargetMode="External"/><Relationship Id="rId1007" Type="http://schemas.openxmlformats.org/officeDocument/2006/relationships/hyperlink" Target="https://my.zakupki.prom.ua/remote/dispatcher/state_purchase_view/24690286" TargetMode="External"/><Relationship Id="rId223" Type="http://schemas.openxmlformats.org/officeDocument/2006/relationships/hyperlink" Target="https://my.zakupki.prom.ua/remote/dispatcher/state_purchase_view/3648450" TargetMode="External"/><Relationship Id="rId430" Type="http://schemas.openxmlformats.org/officeDocument/2006/relationships/hyperlink" Target="https://my.zakupki.prom.ua/remote/dispatcher/state_purchase_view/3673809" TargetMode="External"/><Relationship Id="rId668" Type="http://schemas.openxmlformats.org/officeDocument/2006/relationships/hyperlink" Target="https://my.zakupki.prom.ua/remote/dispatcher/state_purchase_view/3991939" TargetMode="External"/><Relationship Id="rId875" Type="http://schemas.openxmlformats.org/officeDocument/2006/relationships/hyperlink" Target="https://my.zakupki.prom.ua/remote/dispatcher/state_purchase_view/28530336" TargetMode="External"/><Relationship Id="rId1060" Type="http://schemas.openxmlformats.org/officeDocument/2006/relationships/hyperlink" Target="https://my.zakupki.prom.ua/remote/dispatcher/state_purchase_view/28377885" TargetMode="External"/><Relationship Id="rId18" Type="http://schemas.openxmlformats.org/officeDocument/2006/relationships/hyperlink" Target="https://my.zakupki.prom.ua/remote/dispatcher/state_purchase_view/1963963" TargetMode="External"/><Relationship Id="rId528" Type="http://schemas.openxmlformats.org/officeDocument/2006/relationships/hyperlink" Target="https://my.zakupki.prom.ua/remote/dispatcher/state_purchase_view/3728915" TargetMode="External"/><Relationship Id="rId735" Type="http://schemas.openxmlformats.org/officeDocument/2006/relationships/hyperlink" Target="https://my.zakupki.prom.ua/remote/dispatcher/state_purchase_view/19051107" TargetMode="External"/><Relationship Id="rId942" Type="http://schemas.openxmlformats.org/officeDocument/2006/relationships/hyperlink" Target="https://my.zakupki.prom.ua/remote/dispatcher/state_purchase_view/12549047" TargetMode="External"/><Relationship Id="rId1158" Type="http://schemas.openxmlformats.org/officeDocument/2006/relationships/hyperlink" Target="https://my.zakupki.prom.ua/remote/dispatcher/state_purchase_view/32328638" TargetMode="External"/><Relationship Id="rId167" Type="http://schemas.openxmlformats.org/officeDocument/2006/relationships/hyperlink" Target="https://my.zakupki.prom.ua/remote/dispatcher/state_purchase_view/4515041" TargetMode="External"/><Relationship Id="rId374" Type="http://schemas.openxmlformats.org/officeDocument/2006/relationships/hyperlink" Target="https://my.zakupki.prom.ua/remote/dispatcher/state_purchase_view/11910771" TargetMode="External"/><Relationship Id="rId581" Type="http://schemas.openxmlformats.org/officeDocument/2006/relationships/hyperlink" Target="https://my.zakupki.prom.ua/remote/dispatcher/state_purchase_view/4601717" TargetMode="External"/><Relationship Id="rId1018" Type="http://schemas.openxmlformats.org/officeDocument/2006/relationships/hyperlink" Target="https://my.zakupki.prom.ua/remote/dispatcher/state_purchase_view/33445238" TargetMode="External"/><Relationship Id="rId71" Type="http://schemas.openxmlformats.org/officeDocument/2006/relationships/hyperlink" Target="https://my.zakupki.prom.ua/remote/dispatcher/state_purchase_view/6676272" TargetMode="External"/><Relationship Id="rId234" Type="http://schemas.openxmlformats.org/officeDocument/2006/relationships/hyperlink" Target="https://my.zakupki.prom.ua/remote/dispatcher/state_purchase_view/1023078" TargetMode="External"/><Relationship Id="rId679" Type="http://schemas.openxmlformats.org/officeDocument/2006/relationships/hyperlink" Target="https://my.zakupki.prom.ua/remote/dispatcher/state_purchase_view/14608395" TargetMode="External"/><Relationship Id="rId802" Type="http://schemas.openxmlformats.org/officeDocument/2006/relationships/hyperlink" Target="https://my.zakupki.prom.ua/remote/dispatcher/state_purchase_view/30397658" TargetMode="External"/><Relationship Id="rId886" Type="http://schemas.openxmlformats.org/officeDocument/2006/relationships/hyperlink" Target="https://my.zakupki.prom.ua/remote/dispatcher/state_purchase_view/28404745" TargetMode="External"/><Relationship Id="rId2" Type="http://schemas.openxmlformats.org/officeDocument/2006/relationships/hyperlink" Target="https://my.zakupki.prom.ua/remote/dispatcher/state_purchase_view/7649874" TargetMode="External"/><Relationship Id="rId29" Type="http://schemas.openxmlformats.org/officeDocument/2006/relationships/hyperlink" Target="https://my.zakupki.prom.ua/remote/dispatcher/state_purchase_view/3918705" TargetMode="External"/><Relationship Id="rId441" Type="http://schemas.openxmlformats.org/officeDocument/2006/relationships/hyperlink" Target="https://my.zakupki.prom.ua/remote/dispatcher/state_purchase_view/3675874" TargetMode="External"/><Relationship Id="rId539" Type="http://schemas.openxmlformats.org/officeDocument/2006/relationships/hyperlink" Target="https://my.zakupki.prom.ua/remote/dispatcher/state_purchase_view/2671162" TargetMode="External"/><Relationship Id="rId746" Type="http://schemas.openxmlformats.org/officeDocument/2006/relationships/hyperlink" Target="https://my.zakupki.prom.ua/remote/dispatcher/state_purchase_view/4607965" TargetMode="External"/><Relationship Id="rId1071" Type="http://schemas.openxmlformats.org/officeDocument/2006/relationships/hyperlink" Target="https://my.zakupki.prom.ua/remote/dispatcher/state_purchase_view/33939029" TargetMode="External"/><Relationship Id="rId178" Type="http://schemas.openxmlformats.org/officeDocument/2006/relationships/hyperlink" Target="https://my.zakupki.prom.ua/remote/dispatcher/state_purchase_view/4044732" TargetMode="External"/><Relationship Id="rId301" Type="http://schemas.openxmlformats.org/officeDocument/2006/relationships/hyperlink" Target="https://my.zakupki.prom.ua/remote/dispatcher/state_purchase_view/11493878" TargetMode="External"/><Relationship Id="rId953" Type="http://schemas.openxmlformats.org/officeDocument/2006/relationships/hyperlink" Target="https://my.zakupki.prom.ua/remote/dispatcher/state_purchase_view/20967233" TargetMode="External"/><Relationship Id="rId1029" Type="http://schemas.openxmlformats.org/officeDocument/2006/relationships/hyperlink" Target="https://my.zakupki.prom.ua/remote/dispatcher/state_purchase_view/27826860" TargetMode="External"/><Relationship Id="rId82" Type="http://schemas.openxmlformats.org/officeDocument/2006/relationships/hyperlink" Target="https://my.zakupki.prom.ua/remote/dispatcher/state_purchase_view/7627834" TargetMode="External"/><Relationship Id="rId385" Type="http://schemas.openxmlformats.org/officeDocument/2006/relationships/hyperlink" Target="https://my.zakupki.prom.ua/remote/dispatcher/state_purchase_view/1269319" TargetMode="External"/><Relationship Id="rId592" Type="http://schemas.openxmlformats.org/officeDocument/2006/relationships/hyperlink" Target="https://my.zakupki.prom.ua/remote/dispatcher/state_purchase_view/3790572" TargetMode="External"/><Relationship Id="rId606" Type="http://schemas.openxmlformats.org/officeDocument/2006/relationships/hyperlink" Target="https://my.zakupki.prom.ua/remote/dispatcher/state_purchase_view/15410699" TargetMode="External"/><Relationship Id="rId813" Type="http://schemas.openxmlformats.org/officeDocument/2006/relationships/hyperlink" Target="https://my.zakupki.prom.ua/remote/dispatcher/state_purchase_view/23835809" TargetMode="External"/><Relationship Id="rId245" Type="http://schemas.openxmlformats.org/officeDocument/2006/relationships/hyperlink" Target="https://my.zakupki.prom.ua/remote/dispatcher/state_purchase_view/13056890" TargetMode="External"/><Relationship Id="rId452" Type="http://schemas.openxmlformats.org/officeDocument/2006/relationships/hyperlink" Target="https://my.zakupki.prom.ua/remote/dispatcher/state_purchase_view/14457272" TargetMode="External"/><Relationship Id="rId897" Type="http://schemas.openxmlformats.org/officeDocument/2006/relationships/hyperlink" Target="https://my.zakupki.prom.ua/remote/dispatcher/state_purchase_view/23794175" TargetMode="External"/><Relationship Id="rId1082" Type="http://schemas.openxmlformats.org/officeDocument/2006/relationships/hyperlink" Target="https://my.zakupki.prom.ua/remote/dispatcher/state_purchase_view/25335086" TargetMode="External"/><Relationship Id="rId105" Type="http://schemas.openxmlformats.org/officeDocument/2006/relationships/hyperlink" Target="https://my.zakupki.prom.ua/remote/dispatcher/state_purchase_view/16490505" TargetMode="External"/><Relationship Id="rId312" Type="http://schemas.openxmlformats.org/officeDocument/2006/relationships/hyperlink" Target="https://my.zakupki.prom.ua/remote/dispatcher/state_purchase_view/13432395" TargetMode="External"/><Relationship Id="rId757" Type="http://schemas.openxmlformats.org/officeDocument/2006/relationships/hyperlink" Target="https://my.zakupki.prom.ua/remote/dispatcher/state_purchase_view/4489121" TargetMode="External"/><Relationship Id="rId964" Type="http://schemas.openxmlformats.org/officeDocument/2006/relationships/hyperlink" Target="https://my.zakupki.prom.ua/remote/dispatcher/state_purchase_view/29372399" TargetMode="External"/><Relationship Id="rId93" Type="http://schemas.openxmlformats.org/officeDocument/2006/relationships/hyperlink" Target="https://my.zakupki.prom.ua/remote/dispatcher/state_purchase_view/12168120" TargetMode="External"/><Relationship Id="rId189" Type="http://schemas.openxmlformats.org/officeDocument/2006/relationships/hyperlink" Target="https://my.zakupki.prom.ua/remote/dispatcher/state_purchase_view/1109065" TargetMode="External"/><Relationship Id="rId396" Type="http://schemas.openxmlformats.org/officeDocument/2006/relationships/hyperlink" Target="https://my.zakupki.prom.ua/remote/dispatcher/state_purchase_view/2544589" TargetMode="External"/><Relationship Id="rId617" Type="http://schemas.openxmlformats.org/officeDocument/2006/relationships/hyperlink" Target="https://my.zakupki.prom.ua/remote/dispatcher/state_purchase_view/16335941" TargetMode="External"/><Relationship Id="rId824" Type="http://schemas.openxmlformats.org/officeDocument/2006/relationships/hyperlink" Target="https://my.zakupki.prom.ua/remote/dispatcher/state_purchase_view/29205007" TargetMode="External"/><Relationship Id="rId256" Type="http://schemas.openxmlformats.org/officeDocument/2006/relationships/hyperlink" Target="https://my.zakupki.prom.ua/remote/dispatcher/state_purchase_view/16396210" TargetMode="External"/><Relationship Id="rId463" Type="http://schemas.openxmlformats.org/officeDocument/2006/relationships/hyperlink" Target="https://my.zakupki.prom.ua/remote/dispatcher/state_purchase_view/17636344" TargetMode="External"/><Relationship Id="rId670" Type="http://schemas.openxmlformats.org/officeDocument/2006/relationships/hyperlink" Target="https://my.zakupki.prom.ua/remote/dispatcher/state_purchase_view/17259840" TargetMode="External"/><Relationship Id="rId1093" Type="http://schemas.openxmlformats.org/officeDocument/2006/relationships/hyperlink" Target="https://my.zakupki.prom.ua/remote/dispatcher/state_purchase_view/33950051" TargetMode="External"/><Relationship Id="rId1107" Type="http://schemas.openxmlformats.org/officeDocument/2006/relationships/hyperlink" Target="https://my.zakupki.prom.ua/remote/dispatcher/state_purchase_view/26673300" TargetMode="External"/><Relationship Id="rId116" Type="http://schemas.openxmlformats.org/officeDocument/2006/relationships/hyperlink" Target="https://my.zakupki.prom.ua/remote/dispatcher/state_purchase_view/12660290" TargetMode="External"/><Relationship Id="rId323" Type="http://schemas.openxmlformats.org/officeDocument/2006/relationships/hyperlink" Target="https://my.zakupki.prom.ua/remote/dispatcher/state_purchase_view/3682159" TargetMode="External"/><Relationship Id="rId530" Type="http://schemas.openxmlformats.org/officeDocument/2006/relationships/hyperlink" Target="https://my.zakupki.prom.ua/remote/dispatcher/state_purchase_view/3973566" TargetMode="External"/><Relationship Id="rId768" Type="http://schemas.openxmlformats.org/officeDocument/2006/relationships/hyperlink" Target="https://my.zakupki.prom.ua/remote/dispatcher/state_purchase_view/13057533" TargetMode="External"/><Relationship Id="rId975" Type="http://schemas.openxmlformats.org/officeDocument/2006/relationships/hyperlink" Target="https://my.zakupki.prom.ua/remote/dispatcher/state_purchase_view/15714882" TargetMode="External"/><Relationship Id="rId20" Type="http://schemas.openxmlformats.org/officeDocument/2006/relationships/hyperlink" Target="https://my.zakupki.prom.ua/remote/dispatcher/state_purchase_view/8809110" TargetMode="External"/><Relationship Id="rId628" Type="http://schemas.openxmlformats.org/officeDocument/2006/relationships/hyperlink" Target="https://my.zakupki.prom.ua/remote/dispatcher/state_purchase_view/20914542" TargetMode="External"/><Relationship Id="rId835" Type="http://schemas.openxmlformats.org/officeDocument/2006/relationships/hyperlink" Target="https://my.zakupki.prom.ua/remote/dispatcher/state_purchase_view/18186104" TargetMode="External"/><Relationship Id="rId267" Type="http://schemas.openxmlformats.org/officeDocument/2006/relationships/hyperlink" Target="https://my.zakupki.prom.ua/remote/dispatcher/state_purchase_view/3136158" TargetMode="External"/><Relationship Id="rId474" Type="http://schemas.openxmlformats.org/officeDocument/2006/relationships/hyperlink" Target="https://my.zakupki.prom.ua/remote/dispatcher/state_purchase_view/7553944" TargetMode="External"/><Relationship Id="rId1020" Type="http://schemas.openxmlformats.org/officeDocument/2006/relationships/hyperlink" Target="https://my.zakupki.prom.ua/remote/dispatcher/state_purchase_view/25465162" TargetMode="External"/><Relationship Id="rId1118" Type="http://schemas.openxmlformats.org/officeDocument/2006/relationships/hyperlink" Target="https://my.zakupki.prom.ua/remote/dispatcher/state_purchase_view/32747106" TargetMode="External"/><Relationship Id="rId127" Type="http://schemas.openxmlformats.org/officeDocument/2006/relationships/hyperlink" Target="https://my.zakupki.prom.ua/remote/dispatcher/state_purchase_view/13620358" TargetMode="External"/><Relationship Id="rId681" Type="http://schemas.openxmlformats.org/officeDocument/2006/relationships/hyperlink" Target="https://my.zakupki.prom.ua/remote/dispatcher/state_purchase_view/21335768" TargetMode="External"/><Relationship Id="rId779" Type="http://schemas.openxmlformats.org/officeDocument/2006/relationships/hyperlink" Target="https://my.zakupki.prom.ua/remote/dispatcher/state_purchase_view/17572690" TargetMode="External"/><Relationship Id="rId902" Type="http://schemas.openxmlformats.org/officeDocument/2006/relationships/hyperlink" Target="https://my.zakupki.prom.ua/remote/dispatcher/state_purchase_view/21123608" TargetMode="External"/><Relationship Id="rId986" Type="http://schemas.openxmlformats.org/officeDocument/2006/relationships/hyperlink" Target="https://my.zakupki.prom.ua/remote/dispatcher/state_purchase_view/23750379" TargetMode="External"/><Relationship Id="rId31" Type="http://schemas.openxmlformats.org/officeDocument/2006/relationships/hyperlink" Target="https://my.zakupki.prom.ua/remote/dispatcher/state_purchase_view/4577047" TargetMode="External"/><Relationship Id="rId334" Type="http://schemas.openxmlformats.org/officeDocument/2006/relationships/hyperlink" Target="https://my.zakupki.prom.ua/remote/dispatcher/state_purchase_view/3159524" TargetMode="External"/><Relationship Id="rId541" Type="http://schemas.openxmlformats.org/officeDocument/2006/relationships/hyperlink" Target="https://my.zakupki.prom.ua/remote/dispatcher/state_purchase_view/1316725" TargetMode="External"/><Relationship Id="rId639" Type="http://schemas.openxmlformats.org/officeDocument/2006/relationships/hyperlink" Target="https://my.zakupki.prom.ua/remote/dispatcher/state_purchase_view/11299060" TargetMode="External"/><Relationship Id="rId180" Type="http://schemas.openxmlformats.org/officeDocument/2006/relationships/hyperlink" Target="https://my.zakupki.prom.ua/remote/dispatcher/state_purchase_view/7146879" TargetMode="External"/><Relationship Id="rId278" Type="http://schemas.openxmlformats.org/officeDocument/2006/relationships/hyperlink" Target="https://my.zakupki.prom.ua/remote/dispatcher/state_purchase_view/2766320" TargetMode="External"/><Relationship Id="rId401" Type="http://schemas.openxmlformats.org/officeDocument/2006/relationships/hyperlink" Target="https://my.zakupki.prom.ua/remote/dispatcher/state_purchase_view/812663" TargetMode="External"/><Relationship Id="rId846" Type="http://schemas.openxmlformats.org/officeDocument/2006/relationships/hyperlink" Target="https://my.zakupki.prom.ua/remote/dispatcher/state_purchase_view/24506112" TargetMode="External"/><Relationship Id="rId1031" Type="http://schemas.openxmlformats.org/officeDocument/2006/relationships/hyperlink" Target="https://my.zakupki.prom.ua/remote/dispatcher/state_purchase_view/31716783" TargetMode="External"/><Relationship Id="rId1129" Type="http://schemas.openxmlformats.org/officeDocument/2006/relationships/hyperlink" Target="https://my.zakupki.prom.ua/remote/dispatcher/state_purchase_view/31532402" TargetMode="External"/><Relationship Id="rId485" Type="http://schemas.openxmlformats.org/officeDocument/2006/relationships/hyperlink" Target="https://my.zakupki.prom.ua/remote/dispatcher/state_purchase_view/3790025" TargetMode="External"/><Relationship Id="rId692" Type="http://schemas.openxmlformats.org/officeDocument/2006/relationships/hyperlink" Target="https://my.zakupki.prom.ua/remote/dispatcher/state_purchase_view/7263747" TargetMode="External"/><Relationship Id="rId706" Type="http://schemas.openxmlformats.org/officeDocument/2006/relationships/hyperlink" Target="https://my.zakupki.prom.ua/remote/dispatcher/state_purchase_view/10271304" TargetMode="External"/><Relationship Id="rId913" Type="http://schemas.openxmlformats.org/officeDocument/2006/relationships/hyperlink" Target="https://my.zakupki.prom.ua/remote/dispatcher/state_purchase_view/31547074" TargetMode="External"/><Relationship Id="rId42" Type="http://schemas.openxmlformats.org/officeDocument/2006/relationships/hyperlink" Target="https://my.zakupki.prom.ua/remote/dispatcher/state_purchase_view/15633528" TargetMode="External"/><Relationship Id="rId138" Type="http://schemas.openxmlformats.org/officeDocument/2006/relationships/hyperlink" Target="https://my.zakupki.prom.ua/remote/dispatcher/state_purchase_view/3648249" TargetMode="External"/><Relationship Id="rId345" Type="http://schemas.openxmlformats.org/officeDocument/2006/relationships/hyperlink" Target="https://my.zakupki.prom.ua/remote/dispatcher/state_purchase_view/8406296" TargetMode="External"/><Relationship Id="rId552" Type="http://schemas.openxmlformats.org/officeDocument/2006/relationships/hyperlink" Target="https://my.zakupki.prom.ua/remote/dispatcher/state_purchase_view/6836735" TargetMode="External"/><Relationship Id="rId997" Type="http://schemas.openxmlformats.org/officeDocument/2006/relationships/hyperlink" Target="https://my.zakupki.prom.ua/remote/dispatcher/state_purchase_view/14076450" TargetMode="External"/><Relationship Id="rId191" Type="http://schemas.openxmlformats.org/officeDocument/2006/relationships/hyperlink" Target="https://my.zakupki.prom.ua/remote/dispatcher/state_purchase_view/1041534" TargetMode="External"/><Relationship Id="rId205" Type="http://schemas.openxmlformats.org/officeDocument/2006/relationships/hyperlink" Target="https://my.zakupki.prom.ua/remote/dispatcher/state_purchase_view/17598240" TargetMode="External"/><Relationship Id="rId412" Type="http://schemas.openxmlformats.org/officeDocument/2006/relationships/hyperlink" Target="https://my.zakupki.prom.ua/remote/dispatcher/state_purchase_view/2439200" TargetMode="External"/><Relationship Id="rId857" Type="http://schemas.openxmlformats.org/officeDocument/2006/relationships/hyperlink" Target="https://my.zakupki.prom.ua/remote/dispatcher/state_purchase_view/30143933" TargetMode="External"/><Relationship Id="rId1042" Type="http://schemas.openxmlformats.org/officeDocument/2006/relationships/hyperlink" Target="https://my.zakupki.prom.ua/remote/dispatcher/state_purchase_view/12434175" TargetMode="External"/><Relationship Id="rId289" Type="http://schemas.openxmlformats.org/officeDocument/2006/relationships/hyperlink" Target="https://my.zakupki.prom.ua/remote/dispatcher/state_purchase_view/7557508" TargetMode="External"/><Relationship Id="rId496" Type="http://schemas.openxmlformats.org/officeDocument/2006/relationships/hyperlink" Target="https://my.zakupki.prom.ua/remote/dispatcher/state_purchase_view/1210349" TargetMode="External"/><Relationship Id="rId717" Type="http://schemas.openxmlformats.org/officeDocument/2006/relationships/hyperlink" Target="https://my.zakupki.prom.ua/remote/dispatcher/state_purchase_view/14473623" TargetMode="External"/><Relationship Id="rId924" Type="http://schemas.openxmlformats.org/officeDocument/2006/relationships/hyperlink" Target="https://my.zakupki.prom.ua/remote/dispatcher/state_purchase_view/18902697" TargetMode="External"/><Relationship Id="rId53" Type="http://schemas.openxmlformats.org/officeDocument/2006/relationships/hyperlink" Target="https://my.zakupki.prom.ua/remote/dispatcher/state_purchase_view/2706273" TargetMode="External"/><Relationship Id="rId149" Type="http://schemas.openxmlformats.org/officeDocument/2006/relationships/hyperlink" Target="https://my.zakupki.prom.ua/remote/dispatcher/state_purchase_view/7644129" TargetMode="External"/><Relationship Id="rId356" Type="http://schemas.openxmlformats.org/officeDocument/2006/relationships/hyperlink" Target="https://my.zakupki.prom.ua/remote/dispatcher/state_purchase_view/13432081" TargetMode="External"/><Relationship Id="rId563" Type="http://schemas.openxmlformats.org/officeDocument/2006/relationships/hyperlink" Target="https://my.zakupki.prom.ua/remote/dispatcher/state_purchase_view/15489226" TargetMode="External"/><Relationship Id="rId770" Type="http://schemas.openxmlformats.org/officeDocument/2006/relationships/hyperlink" Target="https://my.zakupki.prom.ua/remote/dispatcher/state_purchase_view/10390398" TargetMode="External"/><Relationship Id="rId216" Type="http://schemas.openxmlformats.org/officeDocument/2006/relationships/hyperlink" Target="https://my.zakupki.prom.ua/remote/dispatcher/state_purchase_view/1975280" TargetMode="External"/><Relationship Id="rId423" Type="http://schemas.openxmlformats.org/officeDocument/2006/relationships/hyperlink" Target="https://my.zakupki.prom.ua/remote/dispatcher/state_purchase_view/6460946" TargetMode="External"/><Relationship Id="rId868" Type="http://schemas.openxmlformats.org/officeDocument/2006/relationships/hyperlink" Target="https://my.zakupki.prom.ua/remote/dispatcher/state_purchase_view/19013471" TargetMode="External"/><Relationship Id="rId1053" Type="http://schemas.openxmlformats.org/officeDocument/2006/relationships/hyperlink" Target="https://my.zakupki.prom.ua/remote/dispatcher/state_purchase_view/15806879" TargetMode="External"/><Relationship Id="rId630" Type="http://schemas.openxmlformats.org/officeDocument/2006/relationships/hyperlink" Target="https://my.zakupki.prom.ua/remote/dispatcher/state_purchase_view/21373119" TargetMode="External"/><Relationship Id="rId728" Type="http://schemas.openxmlformats.org/officeDocument/2006/relationships/hyperlink" Target="https://my.zakupki.prom.ua/remote/dispatcher/state_purchase_view/14474130" TargetMode="External"/><Relationship Id="rId935" Type="http://schemas.openxmlformats.org/officeDocument/2006/relationships/hyperlink" Target="https://my.zakupki.prom.ua/remote/dispatcher/state_purchase_view/27911132" TargetMode="External"/><Relationship Id="rId64" Type="http://schemas.openxmlformats.org/officeDocument/2006/relationships/hyperlink" Target="https://my.zakupki.prom.ua/remote/dispatcher/state_purchase_view/739126" TargetMode="External"/><Relationship Id="rId367" Type="http://schemas.openxmlformats.org/officeDocument/2006/relationships/hyperlink" Target="https://my.zakupki.prom.ua/remote/dispatcher/state_purchase_view/9346649" TargetMode="External"/><Relationship Id="rId574" Type="http://schemas.openxmlformats.org/officeDocument/2006/relationships/hyperlink" Target="https://my.zakupki.prom.ua/remote/dispatcher/state_purchase_view/20610641" TargetMode="External"/><Relationship Id="rId1120" Type="http://schemas.openxmlformats.org/officeDocument/2006/relationships/hyperlink" Target="https://my.zakupki.prom.ua/remote/dispatcher/state_purchase_view/33273997" TargetMode="External"/><Relationship Id="rId227" Type="http://schemas.openxmlformats.org/officeDocument/2006/relationships/hyperlink" Target="https://my.zakupki.prom.ua/remote/dispatcher/state_purchase_view/3809843" TargetMode="External"/><Relationship Id="rId781" Type="http://schemas.openxmlformats.org/officeDocument/2006/relationships/hyperlink" Target="https://my.zakupki.prom.ua/remote/dispatcher/state_purchase_view/15387729" TargetMode="External"/><Relationship Id="rId879" Type="http://schemas.openxmlformats.org/officeDocument/2006/relationships/hyperlink" Target="https://my.zakupki.prom.ua/remote/dispatcher/state_purchase_view/25025115" TargetMode="External"/><Relationship Id="rId434" Type="http://schemas.openxmlformats.org/officeDocument/2006/relationships/hyperlink" Target="https://my.zakupki.prom.ua/remote/dispatcher/state_purchase_view/3682023" TargetMode="External"/><Relationship Id="rId641" Type="http://schemas.openxmlformats.org/officeDocument/2006/relationships/hyperlink" Target="https://my.zakupki.prom.ua/remote/dispatcher/state_purchase_view/504307" TargetMode="External"/><Relationship Id="rId739" Type="http://schemas.openxmlformats.org/officeDocument/2006/relationships/hyperlink" Target="https://my.zakupki.prom.ua/remote/dispatcher/state_purchase_view/2706003" TargetMode="External"/><Relationship Id="rId1064" Type="http://schemas.openxmlformats.org/officeDocument/2006/relationships/hyperlink" Target="https://my.zakupki.prom.ua/remote/dispatcher/state_purchase_view/31286105" TargetMode="External"/><Relationship Id="rId280" Type="http://schemas.openxmlformats.org/officeDocument/2006/relationships/hyperlink" Target="https://my.zakupki.prom.ua/remote/dispatcher/state_purchase_view/4278568" TargetMode="External"/><Relationship Id="rId501" Type="http://schemas.openxmlformats.org/officeDocument/2006/relationships/hyperlink" Target="https://my.zakupki.prom.ua/remote/dispatcher/state_purchase_view/3644867" TargetMode="External"/><Relationship Id="rId946" Type="http://schemas.openxmlformats.org/officeDocument/2006/relationships/hyperlink" Target="https://my.zakupki.prom.ua/remote/dispatcher/state_purchase_view/13042758" TargetMode="External"/><Relationship Id="rId1131" Type="http://schemas.openxmlformats.org/officeDocument/2006/relationships/hyperlink" Target="https://my.zakupki.prom.ua/remote/dispatcher/state_purchase_view/29241468" TargetMode="External"/><Relationship Id="rId75" Type="http://schemas.openxmlformats.org/officeDocument/2006/relationships/hyperlink" Target="https://my.zakupki.prom.ua/remote/dispatcher/state_purchase_view/7262497" TargetMode="External"/><Relationship Id="rId140" Type="http://schemas.openxmlformats.org/officeDocument/2006/relationships/hyperlink" Target="https://my.zakupki.prom.ua/remote/dispatcher/state_purchase_view/3676006" TargetMode="External"/><Relationship Id="rId378" Type="http://schemas.openxmlformats.org/officeDocument/2006/relationships/hyperlink" Target="https://my.zakupki.prom.ua/remote/dispatcher/state_purchase_view/13049424" TargetMode="External"/><Relationship Id="rId585" Type="http://schemas.openxmlformats.org/officeDocument/2006/relationships/hyperlink" Target="https://my.zakupki.prom.ua/remote/dispatcher/state_purchase_view/2379435" TargetMode="External"/><Relationship Id="rId792" Type="http://schemas.openxmlformats.org/officeDocument/2006/relationships/hyperlink" Target="https://my.zakupki.prom.ua/remote/dispatcher/state_purchase_view/23061400" TargetMode="External"/><Relationship Id="rId806" Type="http://schemas.openxmlformats.org/officeDocument/2006/relationships/hyperlink" Target="https://my.zakupki.prom.ua/remote/dispatcher/state_purchase_view/30164227" TargetMode="External"/><Relationship Id="rId6" Type="http://schemas.openxmlformats.org/officeDocument/2006/relationships/hyperlink" Target="https://my.zakupki.prom.ua/remote/dispatcher/state_purchase_view/7850988" TargetMode="External"/><Relationship Id="rId238" Type="http://schemas.openxmlformats.org/officeDocument/2006/relationships/hyperlink" Target="https://my.zakupki.prom.ua/remote/dispatcher/state_purchase_view/6573259" TargetMode="External"/><Relationship Id="rId445" Type="http://schemas.openxmlformats.org/officeDocument/2006/relationships/hyperlink" Target="https://my.zakupki.prom.ua/remote/dispatcher/state_purchase_view/4891197" TargetMode="External"/><Relationship Id="rId652" Type="http://schemas.openxmlformats.org/officeDocument/2006/relationships/hyperlink" Target="https://my.zakupki.prom.ua/remote/dispatcher/state_purchase_view/9832930" TargetMode="External"/><Relationship Id="rId1075" Type="http://schemas.openxmlformats.org/officeDocument/2006/relationships/hyperlink" Target="https://my.zakupki.prom.ua/remote/dispatcher/state_purchase_view/24290690" TargetMode="External"/><Relationship Id="rId291" Type="http://schemas.openxmlformats.org/officeDocument/2006/relationships/hyperlink" Target="https://my.zakupki.prom.ua/remote/dispatcher/state_purchase_view/6495977" TargetMode="External"/><Relationship Id="rId305" Type="http://schemas.openxmlformats.org/officeDocument/2006/relationships/hyperlink" Target="https://my.zakupki.prom.ua/remote/dispatcher/state_purchase_view/15775779" TargetMode="External"/><Relationship Id="rId512" Type="http://schemas.openxmlformats.org/officeDocument/2006/relationships/hyperlink" Target="https://my.zakupki.prom.ua/remote/dispatcher/state_purchase_view/15751058" TargetMode="External"/><Relationship Id="rId957" Type="http://schemas.openxmlformats.org/officeDocument/2006/relationships/hyperlink" Target="https://my.zakupki.prom.ua/remote/dispatcher/state_purchase_view/24289303" TargetMode="External"/><Relationship Id="rId1142" Type="http://schemas.openxmlformats.org/officeDocument/2006/relationships/hyperlink" Target="https://my.zakupki.prom.ua/remote/dispatcher/state_purchase_view/26039457" TargetMode="External"/><Relationship Id="rId86" Type="http://schemas.openxmlformats.org/officeDocument/2006/relationships/hyperlink" Target="https://my.zakupki.prom.ua/remote/dispatcher/state_purchase_view/9392958" TargetMode="External"/><Relationship Id="rId151" Type="http://schemas.openxmlformats.org/officeDocument/2006/relationships/hyperlink" Target="https://my.zakupki.prom.ua/remote/dispatcher/state_purchase_view/6467337" TargetMode="External"/><Relationship Id="rId389" Type="http://schemas.openxmlformats.org/officeDocument/2006/relationships/hyperlink" Target="https://my.zakupki.prom.ua/remote/dispatcher/state_purchase_view/2786794" TargetMode="External"/><Relationship Id="rId596" Type="http://schemas.openxmlformats.org/officeDocument/2006/relationships/hyperlink" Target="https://my.zakupki.prom.ua/remote/dispatcher/state_purchase_view/7339630" TargetMode="External"/><Relationship Id="rId817" Type="http://schemas.openxmlformats.org/officeDocument/2006/relationships/hyperlink" Target="https://my.zakupki.prom.ua/remote/dispatcher/state_purchase_view/27841358" TargetMode="External"/><Relationship Id="rId1002" Type="http://schemas.openxmlformats.org/officeDocument/2006/relationships/hyperlink" Target="https://my.zakupki.prom.ua/remote/dispatcher/state_purchase_view/18726991" TargetMode="External"/><Relationship Id="rId249" Type="http://schemas.openxmlformats.org/officeDocument/2006/relationships/hyperlink" Target="https://my.zakupki.prom.ua/remote/dispatcher/state_purchase_view/10067174" TargetMode="External"/><Relationship Id="rId456" Type="http://schemas.openxmlformats.org/officeDocument/2006/relationships/hyperlink" Target="https://my.zakupki.prom.ua/remote/dispatcher/state_purchase_view/15927391" TargetMode="External"/><Relationship Id="rId663" Type="http://schemas.openxmlformats.org/officeDocument/2006/relationships/hyperlink" Target="https://my.zakupki.prom.ua/remote/dispatcher/state_purchase_view/7153126" TargetMode="External"/><Relationship Id="rId870" Type="http://schemas.openxmlformats.org/officeDocument/2006/relationships/hyperlink" Target="https://my.zakupki.prom.ua/remote/dispatcher/state_purchase_view/21419831" TargetMode="External"/><Relationship Id="rId1086" Type="http://schemas.openxmlformats.org/officeDocument/2006/relationships/hyperlink" Target="https://my.zakupki.prom.ua/remote/dispatcher/state_purchase_view/24555156" TargetMode="External"/><Relationship Id="rId13" Type="http://schemas.openxmlformats.org/officeDocument/2006/relationships/hyperlink" Target="https://my.zakupki.prom.ua/remote/dispatcher/state_purchase_view/855261" TargetMode="External"/><Relationship Id="rId109" Type="http://schemas.openxmlformats.org/officeDocument/2006/relationships/hyperlink" Target="https://my.zakupki.prom.ua/remote/dispatcher/state_purchase_view/1072185" TargetMode="External"/><Relationship Id="rId316" Type="http://schemas.openxmlformats.org/officeDocument/2006/relationships/hyperlink" Target="https://my.zakupki.prom.ua/remote/dispatcher/state_purchase_view/4846077" TargetMode="External"/><Relationship Id="rId523" Type="http://schemas.openxmlformats.org/officeDocument/2006/relationships/hyperlink" Target="https://my.zakupki.prom.ua/remote/dispatcher/state_purchase_view/24237714" TargetMode="External"/><Relationship Id="rId968" Type="http://schemas.openxmlformats.org/officeDocument/2006/relationships/hyperlink" Target="https://my.zakupki.prom.ua/remote/dispatcher/state_purchase_view/29245688" TargetMode="External"/><Relationship Id="rId1153" Type="http://schemas.openxmlformats.org/officeDocument/2006/relationships/hyperlink" Target="https://my.zakupki.prom.ua/remote/dispatcher/state_purchase_view/29203688" TargetMode="External"/><Relationship Id="rId97" Type="http://schemas.openxmlformats.org/officeDocument/2006/relationships/hyperlink" Target="https://my.zakupki.prom.ua/remote/dispatcher/state_purchase_view/18950019" TargetMode="External"/><Relationship Id="rId730" Type="http://schemas.openxmlformats.org/officeDocument/2006/relationships/hyperlink" Target="https://my.zakupki.prom.ua/remote/dispatcher/state_purchase_view/22162590" TargetMode="External"/><Relationship Id="rId828" Type="http://schemas.openxmlformats.org/officeDocument/2006/relationships/hyperlink" Target="https://my.zakupki.prom.ua/remote/dispatcher/state_purchase_view/29352480" TargetMode="External"/><Relationship Id="rId1013" Type="http://schemas.openxmlformats.org/officeDocument/2006/relationships/hyperlink" Target="https://my.zakupki.prom.ua/remote/dispatcher/state_purchase_view/25677344" TargetMode="External"/><Relationship Id="rId162" Type="http://schemas.openxmlformats.org/officeDocument/2006/relationships/hyperlink" Target="https://my.zakupki.prom.ua/remote/dispatcher/state_purchase_view/3682565" TargetMode="External"/><Relationship Id="rId467" Type="http://schemas.openxmlformats.org/officeDocument/2006/relationships/hyperlink" Target="https://my.zakupki.prom.ua/remote/dispatcher/state_purchase_view/12310420" TargetMode="External"/><Relationship Id="rId1097" Type="http://schemas.openxmlformats.org/officeDocument/2006/relationships/hyperlink" Target="https://my.zakupki.prom.ua/remote/dispatcher/state_purchase_view/20875366" TargetMode="External"/><Relationship Id="rId674" Type="http://schemas.openxmlformats.org/officeDocument/2006/relationships/hyperlink" Target="https://my.zakupki.prom.ua/remote/dispatcher/state_purchase_view/18902176" TargetMode="External"/><Relationship Id="rId881" Type="http://schemas.openxmlformats.org/officeDocument/2006/relationships/hyperlink" Target="https://my.zakupki.prom.ua/remote/dispatcher/state_purchase_view/25808859" TargetMode="External"/><Relationship Id="rId979" Type="http://schemas.openxmlformats.org/officeDocument/2006/relationships/hyperlink" Target="https://my.zakupki.prom.ua/remote/dispatcher/state_purchase_view/15928142" TargetMode="External"/><Relationship Id="rId24" Type="http://schemas.openxmlformats.org/officeDocument/2006/relationships/hyperlink" Target="https://my.zakupki.prom.ua/remote/dispatcher/state_purchase_view/11940593" TargetMode="External"/><Relationship Id="rId327" Type="http://schemas.openxmlformats.org/officeDocument/2006/relationships/hyperlink" Target="https://my.zakupki.prom.ua/remote/dispatcher/state_purchase_view/6739872" TargetMode="External"/><Relationship Id="rId534" Type="http://schemas.openxmlformats.org/officeDocument/2006/relationships/hyperlink" Target="https://my.zakupki.prom.ua/remote/dispatcher/state_purchase_view/4735795" TargetMode="External"/><Relationship Id="rId741" Type="http://schemas.openxmlformats.org/officeDocument/2006/relationships/hyperlink" Target="https://my.zakupki.prom.ua/remote/dispatcher/state_purchase_view/3351382" TargetMode="External"/><Relationship Id="rId839" Type="http://schemas.openxmlformats.org/officeDocument/2006/relationships/hyperlink" Target="https://my.zakupki.prom.ua/remote/dispatcher/state_purchase_view/16506305" TargetMode="External"/><Relationship Id="rId173" Type="http://schemas.openxmlformats.org/officeDocument/2006/relationships/hyperlink" Target="https://my.zakupki.prom.ua/remote/dispatcher/state_purchase_view/4656133" TargetMode="External"/><Relationship Id="rId380" Type="http://schemas.openxmlformats.org/officeDocument/2006/relationships/hyperlink" Target="https://my.zakupki.prom.ua/remote/dispatcher/state_purchase_view/11010672" TargetMode="External"/><Relationship Id="rId601" Type="http://schemas.openxmlformats.org/officeDocument/2006/relationships/hyperlink" Target="https://my.zakupki.prom.ua/remote/dispatcher/state_purchase_view/7555417" TargetMode="External"/><Relationship Id="rId1024" Type="http://schemas.openxmlformats.org/officeDocument/2006/relationships/hyperlink" Target="https://my.zakupki.prom.ua/remote/dispatcher/state_purchase_view/27691845" TargetMode="External"/><Relationship Id="rId240" Type="http://schemas.openxmlformats.org/officeDocument/2006/relationships/hyperlink" Target="https://my.zakupki.prom.ua/remote/dispatcher/state_purchase_view/8417024" TargetMode="External"/><Relationship Id="rId478" Type="http://schemas.openxmlformats.org/officeDocument/2006/relationships/hyperlink" Target="https://my.zakupki.prom.ua/remote/dispatcher/state_purchase_view/3632778" TargetMode="External"/><Relationship Id="rId685" Type="http://schemas.openxmlformats.org/officeDocument/2006/relationships/hyperlink" Target="https://my.zakupki.prom.ua/remote/dispatcher/state_purchase_view/3717474" TargetMode="External"/><Relationship Id="rId892" Type="http://schemas.openxmlformats.org/officeDocument/2006/relationships/hyperlink" Target="https://my.zakupki.prom.ua/remote/dispatcher/state_purchase_view/27906959" TargetMode="External"/><Relationship Id="rId906" Type="http://schemas.openxmlformats.org/officeDocument/2006/relationships/hyperlink" Target="https://my.zakupki.prom.ua/remote/dispatcher/state_purchase_view/25163094" TargetMode="External"/><Relationship Id="rId35" Type="http://schemas.openxmlformats.org/officeDocument/2006/relationships/hyperlink" Target="https://my.zakupki.prom.ua/remote/dispatcher/state_purchase_view/4503555" TargetMode="External"/><Relationship Id="rId100" Type="http://schemas.openxmlformats.org/officeDocument/2006/relationships/hyperlink" Target="https://my.zakupki.prom.ua/remote/dispatcher/state_purchase_view/16226005" TargetMode="External"/><Relationship Id="rId338" Type="http://schemas.openxmlformats.org/officeDocument/2006/relationships/hyperlink" Target="https://my.zakupki.prom.ua/remote/dispatcher/state_purchase_view/4025406" TargetMode="External"/><Relationship Id="rId545" Type="http://schemas.openxmlformats.org/officeDocument/2006/relationships/hyperlink" Target="https://my.zakupki.prom.ua/remote/dispatcher/state_purchase_view/8369776" TargetMode="External"/><Relationship Id="rId752" Type="http://schemas.openxmlformats.org/officeDocument/2006/relationships/hyperlink" Target="https://my.zakupki.prom.ua/remote/dispatcher/state_purchase_view/6487424" TargetMode="External"/><Relationship Id="rId184" Type="http://schemas.openxmlformats.org/officeDocument/2006/relationships/hyperlink" Target="https://my.zakupki.prom.ua/remote/dispatcher/state_purchase_view/977848" TargetMode="External"/><Relationship Id="rId391" Type="http://schemas.openxmlformats.org/officeDocument/2006/relationships/hyperlink" Target="https://my.zakupki.prom.ua/remote/dispatcher/state_purchase_view/3675349" TargetMode="External"/><Relationship Id="rId405" Type="http://schemas.openxmlformats.org/officeDocument/2006/relationships/hyperlink" Target="https://my.zakupki.prom.ua/remote/dispatcher/state_purchase_view/6942510" TargetMode="External"/><Relationship Id="rId612" Type="http://schemas.openxmlformats.org/officeDocument/2006/relationships/hyperlink" Target="https://my.zakupki.prom.ua/remote/dispatcher/state_purchase_view/13087166" TargetMode="External"/><Relationship Id="rId1035" Type="http://schemas.openxmlformats.org/officeDocument/2006/relationships/hyperlink" Target="https://my.zakupki.prom.ua/remote/dispatcher/state_purchase_view/23115113" TargetMode="External"/><Relationship Id="rId251" Type="http://schemas.openxmlformats.org/officeDocument/2006/relationships/hyperlink" Target="https://my.zakupki.prom.ua/remote/dispatcher/state_purchase_view/12188276" TargetMode="External"/><Relationship Id="rId489" Type="http://schemas.openxmlformats.org/officeDocument/2006/relationships/hyperlink" Target="https://my.zakupki.prom.ua/remote/dispatcher/state_purchase_view/7042807" TargetMode="External"/><Relationship Id="rId696" Type="http://schemas.openxmlformats.org/officeDocument/2006/relationships/hyperlink" Target="https://my.zakupki.prom.ua/remote/dispatcher/state_purchase_view/2756391" TargetMode="External"/><Relationship Id="rId917" Type="http://schemas.openxmlformats.org/officeDocument/2006/relationships/hyperlink" Target="https://my.zakupki.prom.ua/remote/dispatcher/state_purchase_view/19529703" TargetMode="External"/><Relationship Id="rId1102" Type="http://schemas.openxmlformats.org/officeDocument/2006/relationships/hyperlink" Target="https://my.zakupki.prom.ua/remote/dispatcher/state_purchase_view/23537603" TargetMode="External"/><Relationship Id="rId46" Type="http://schemas.openxmlformats.org/officeDocument/2006/relationships/hyperlink" Target="https://my.zakupki.prom.ua/remote/dispatcher/state_purchase_view/14497352" TargetMode="External"/><Relationship Id="rId349" Type="http://schemas.openxmlformats.org/officeDocument/2006/relationships/hyperlink" Target="https://my.zakupki.prom.ua/remote/dispatcher/state_purchase_view/13953982" TargetMode="External"/><Relationship Id="rId556" Type="http://schemas.openxmlformats.org/officeDocument/2006/relationships/hyperlink" Target="https://my.zakupki.prom.ua/remote/dispatcher/state_purchase_view/14925686" TargetMode="External"/><Relationship Id="rId763" Type="http://schemas.openxmlformats.org/officeDocument/2006/relationships/hyperlink" Target="https://my.zakupki.prom.ua/remote/dispatcher/state_purchase_view/4445715" TargetMode="External"/><Relationship Id="rId111" Type="http://schemas.openxmlformats.org/officeDocument/2006/relationships/hyperlink" Target="https://my.zakupki.prom.ua/remote/dispatcher/state_purchase_view/1784707" TargetMode="External"/><Relationship Id="rId195" Type="http://schemas.openxmlformats.org/officeDocument/2006/relationships/hyperlink" Target="https://my.zakupki.prom.ua/remote/dispatcher/state_purchase_view/8807131" TargetMode="External"/><Relationship Id="rId209" Type="http://schemas.openxmlformats.org/officeDocument/2006/relationships/hyperlink" Target="https://my.zakupki.prom.ua/remote/dispatcher/state_purchase_view/12548918" TargetMode="External"/><Relationship Id="rId416" Type="http://schemas.openxmlformats.org/officeDocument/2006/relationships/hyperlink" Target="https://my.zakupki.prom.ua/remote/dispatcher/state_purchase_view/4459604" TargetMode="External"/><Relationship Id="rId970" Type="http://schemas.openxmlformats.org/officeDocument/2006/relationships/hyperlink" Target="https://my.zakupki.prom.ua/remote/dispatcher/state_purchase_view/32001469" TargetMode="External"/><Relationship Id="rId1046" Type="http://schemas.openxmlformats.org/officeDocument/2006/relationships/hyperlink" Target="https://my.zakupki.prom.ua/remote/dispatcher/state_purchase_view/13191362" TargetMode="External"/><Relationship Id="rId623" Type="http://schemas.openxmlformats.org/officeDocument/2006/relationships/hyperlink" Target="https://my.zakupki.prom.ua/remote/dispatcher/state_purchase_view/18858578" TargetMode="External"/><Relationship Id="rId830" Type="http://schemas.openxmlformats.org/officeDocument/2006/relationships/hyperlink" Target="https://my.zakupki.prom.ua/remote/dispatcher/state_purchase_view/22961608" TargetMode="External"/><Relationship Id="rId928" Type="http://schemas.openxmlformats.org/officeDocument/2006/relationships/hyperlink" Target="https://my.zakupki.prom.ua/remote/dispatcher/state_purchase_view/27275373" TargetMode="External"/><Relationship Id="rId57" Type="http://schemas.openxmlformats.org/officeDocument/2006/relationships/hyperlink" Target="https://my.zakupki.prom.ua/remote/dispatcher/state_purchase_view/4608330" TargetMode="External"/><Relationship Id="rId262" Type="http://schemas.openxmlformats.org/officeDocument/2006/relationships/hyperlink" Target="https://my.zakupki.prom.ua/remote/dispatcher/state_purchase_view/15913693" TargetMode="External"/><Relationship Id="rId567" Type="http://schemas.openxmlformats.org/officeDocument/2006/relationships/hyperlink" Target="https://my.zakupki.prom.ua/remote/dispatcher/state_purchase_view/16121803" TargetMode="External"/><Relationship Id="rId1113" Type="http://schemas.openxmlformats.org/officeDocument/2006/relationships/hyperlink" Target="https://my.zakupki.prom.ua/remote/dispatcher/state_purchase_view/32412463" TargetMode="External"/><Relationship Id="rId122" Type="http://schemas.openxmlformats.org/officeDocument/2006/relationships/hyperlink" Target="https://my.zakupki.prom.ua/remote/dispatcher/state_purchase_view/8695741" TargetMode="External"/><Relationship Id="rId774" Type="http://schemas.openxmlformats.org/officeDocument/2006/relationships/hyperlink" Target="https://my.zakupki.prom.ua/remote/dispatcher/state_purchase_view/10903954" TargetMode="External"/><Relationship Id="rId981" Type="http://schemas.openxmlformats.org/officeDocument/2006/relationships/hyperlink" Target="https://my.zakupki.prom.ua/remote/dispatcher/state_purchase_view/18270553" TargetMode="External"/><Relationship Id="rId1057" Type="http://schemas.openxmlformats.org/officeDocument/2006/relationships/hyperlink" Target="https://my.zakupki.prom.ua/remote/dispatcher/state_purchase_view/22899687" TargetMode="External"/><Relationship Id="rId427" Type="http://schemas.openxmlformats.org/officeDocument/2006/relationships/hyperlink" Target="https://my.zakupki.prom.ua/remote/dispatcher/state_purchase_view/3673809" TargetMode="External"/><Relationship Id="rId634" Type="http://schemas.openxmlformats.org/officeDocument/2006/relationships/hyperlink" Target="https://my.zakupki.prom.ua/remote/dispatcher/state_purchase_view/8252146" TargetMode="External"/><Relationship Id="rId841" Type="http://schemas.openxmlformats.org/officeDocument/2006/relationships/hyperlink" Target="https://my.zakupki.prom.ua/remote/dispatcher/state_purchase_view/16207904" TargetMode="External"/><Relationship Id="rId273" Type="http://schemas.openxmlformats.org/officeDocument/2006/relationships/hyperlink" Target="https://my.zakupki.prom.ua/remote/dispatcher/state_purchase_view/1417698" TargetMode="External"/><Relationship Id="rId480" Type="http://schemas.openxmlformats.org/officeDocument/2006/relationships/hyperlink" Target="https://my.zakupki.prom.ua/remote/dispatcher/state_purchase_view/6694592" TargetMode="External"/><Relationship Id="rId701" Type="http://schemas.openxmlformats.org/officeDocument/2006/relationships/hyperlink" Target="https://my.zakupki.prom.ua/remote/dispatcher/state_purchase_view/7128641" TargetMode="External"/><Relationship Id="rId939" Type="http://schemas.openxmlformats.org/officeDocument/2006/relationships/hyperlink" Target="https://my.zakupki.prom.ua/remote/dispatcher/state_purchase_view/31621983" TargetMode="External"/><Relationship Id="rId1124" Type="http://schemas.openxmlformats.org/officeDocument/2006/relationships/hyperlink" Target="https://my.zakupki.prom.ua/remote/dispatcher/state_purchase_view/19854632" TargetMode="External"/><Relationship Id="rId68" Type="http://schemas.openxmlformats.org/officeDocument/2006/relationships/hyperlink" Target="https://my.zakupki.prom.ua/remote/dispatcher/state_purchase_view/842402" TargetMode="External"/><Relationship Id="rId133" Type="http://schemas.openxmlformats.org/officeDocument/2006/relationships/hyperlink" Target="https://my.zakupki.prom.ua/remote/dispatcher/state_purchase_view/9475457" TargetMode="External"/><Relationship Id="rId340" Type="http://schemas.openxmlformats.org/officeDocument/2006/relationships/hyperlink" Target="https://my.zakupki.prom.ua/remote/dispatcher/state_purchase_view/7810011" TargetMode="External"/><Relationship Id="rId578" Type="http://schemas.openxmlformats.org/officeDocument/2006/relationships/hyperlink" Target="https://my.zakupki.prom.ua/remote/dispatcher/state_purchase_view/9403250" TargetMode="External"/><Relationship Id="rId785" Type="http://schemas.openxmlformats.org/officeDocument/2006/relationships/hyperlink" Target="https://my.zakupki.prom.ua/remote/dispatcher/state_purchase_view/14036781" TargetMode="External"/><Relationship Id="rId992" Type="http://schemas.openxmlformats.org/officeDocument/2006/relationships/hyperlink" Target="https://my.zakupki.prom.ua/remote/dispatcher/state_purchase_view/32210722" TargetMode="External"/><Relationship Id="rId200" Type="http://schemas.openxmlformats.org/officeDocument/2006/relationships/hyperlink" Target="https://my.zakupki.prom.ua/remote/dispatcher/state_purchase_view/14701012" TargetMode="External"/><Relationship Id="rId438" Type="http://schemas.openxmlformats.org/officeDocument/2006/relationships/hyperlink" Target="https://my.zakupki.prom.ua/remote/dispatcher/state_purchase_view/1065576" TargetMode="External"/><Relationship Id="rId645" Type="http://schemas.openxmlformats.org/officeDocument/2006/relationships/hyperlink" Target="https://my.zakupki.prom.ua/remote/dispatcher/state_purchase_view/2223795" TargetMode="External"/><Relationship Id="rId852" Type="http://schemas.openxmlformats.org/officeDocument/2006/relationships/hyperlink" Target="https://my.zakupki.prom.ua/remote/dispatcher/state_purchase_view/27474233" TargetMode="External"/><Relationship Id="rId1068" Type="http://schemas.openxmlformats.org/officeDocument/2006/relationships/hyperlink" Target="https://my.zakupki.prom.ua/remote/dispatcher/state_purchase_view/32319993" TargetMode="External"/><Relationship Id="rId284" Type="http://schemas.openxmlformats.org/officeDocument/2006/relationships/hyperlink" Target="https://my.zakupki.prom.ua/remote/dispatcher/state_purchase_view/8590057" TargetMode="External"/><Relationship Id="rId491" Type="http://schemas.openxmlformats.org/officeDocument/2006/relationships/hyperlink" Target="https://my.zakupki.prom.ua/remote/dispatcher/state_purchase_view/978494" TargetMode="External"/><Relationship Id="rId505" Type="http://schemas.openxmlformats.org/officeDocument/2006/relationships/hyperlink" Target="https://my.zakupki.prom.ua/remote/dispatcher/state_purchase_view/8296759" TargetMode="External"/><Relationship Id="rId712" Type="http://schemas.openxmlformats.org/officeDocument/2006/relationships/hyperlink" Target="https://my.zakupki.prom.ua/remote/dispatcher/state_purchase_view/11762661" TargetMode="External"/><Relationship Id="rId1135" Type="http://schemas.openxmlformats.org/officeDocument/2006/relationships/hyperlink" Target="https://my.zakupki.prom.ua/remote/dispatcher/state_purchase_view/18238171" TargetMode="External"/><Relationship Id="rId79" Type="http://schemas.openxmlformats.org/officeDocument/2006/relationships/hyperlink" Target="https://my.zakupki.prom.ua/remote/dispatcher/state_purchase_view/8650780" TargetMode="External"/><Relationship Id="rId144" Type="http://schemas.openxmlformats.org/officeDocument/2006/relationships/hyperlink" Target="https://my.zakupki.prom.ua/remote/dispatcher/state_purchase_view/6942184" TargetMode="External"/><Relationship Id="rId589" Type="http://schemas.openxmlformats.org/officeDocument/2006/relationships/hyperlink" Target="https://my.zakupki.prom.ua/remote/dispatcher/state_purchase_view/1783995" TargetMode="External"/><Relationship Id="rId796" Type="http://schemas.openxmlformats.org/officeDocument/2006/relationships/hyperlink" Target="https://my.zakupki.prom.ua/remote/dispatcher/state_purchase_view/26309359" TargetMode="External"/><Relationship Id="rId351" Type="http://schemas.openxmlformats.org/officeDocument/2006/relationships/hyperlink" Target="https://my.zakupki.prom.ua/remote/dispatcher/state_purchase_view/13854410" TargetMode="External"/><Relationship Id="rId449" Type="http://schemas.openxmlformats.org/officeDocument/2006/relationships/hyperlink" Target="https://my.zakupki.prom.ua/remote/dispatcher/state_purchase_view/7779029" TargetMode="External"/><Relationship Id="rId656" Type="http://schemas.openxmlformats.org/officeDocument/2006/relationships/hyperlink" Target="https://my.zakupki.prom.ua/remote/dispatcher/state_purchase_view/4163122" TargetMode="External"/><Relationship Id="rId863" Type="http://schemas.openxmlformats.org/officeDocument/2006/relationships/hyperlink" Target="https://my.zakupki.prom.ua/remote/dispatcher/state_purchase_view/32608795" TargetMode="External"/><Relationship Id="rId1079" Type="http://schemas.openxmlformats.org/officeDocument/2006/relationships/hyperlink" Target="https://my.zakupki.prom.ua/remote/dispatcher/state_purchase_view/21565348" TargetMode="External"/><Relationship Id="rId211" Type="http://schemas.openxmlformats.org/officeDocument/2006/relationships/hyperlink" Target="https://my.zakupki.prom.ua/remote/dispatcher/state_purchase_view/12937634" TargetMode="External"/><Relationship Id="rId295" Type="http://schemas.openxmlformats.org/officeDocument/2006/relationships/hyperlink" Target="https://my.zakupki.prom.ua/remote/dispatcher/state_purchase_view/11667135" TargetMode="External"/><Relationship Id="rId309" Type="http://schemas.openxmlformats.org/officeDocument/2006/relationships/hyperlink" Target="https://my.zakupki.prom.ua/remote/dispatcher/state_purchase_view/9768547" TargetMode="External"/><Relationship Id="rId516" Type="http://schemas.openxmlformats.org/officeDocument/2006/relationships/hyperlink" Target="https://my.zakupki.prom.ua/remote/dispatcher/state_purchase_view/13356215" TargetMode="External"/><Relationship Id="rId1146" Type="http://schemas.openxmlformats.org/officeDocument/2006/relationships/hyperlink" Target="https://my.zakupki.prom.ua/remote/dispatcher/state_purchase_view/24650151" TargetMode="External"/><Relationship Id="rId723" Type="http://schemas.openxmlformats.org/officeDocument/2006/relationships/hyperlink" Target="https://my.zakupki.prom.ua/remote/dispatcher/state_purchase_view/13524036" TargetMode="External"/><Relationship Id="rId930" Type="http://schemas.openxmlformats.org/officeDocument/2006/relationships/hyperlink" Target="https://my.zakupki.prom.ua/remote/dispatcher/state_purchase_view/25219676" TargetMode="External"/><Relationship Id="rId1006" Type="http://schemas.openxmlformats.org/officeDocument/2006/relationships/hyperlink" Target="https://my.zakupki.prom.ua/remote/dispatcher/state_purchase_view/25369000" TargetMode="External"/><Relationship Id="rId155" Type="http://schemas.openxmlformats.org/officeDocument/2006/relationships/hyperlink" Target="https://my.zakupki.prom.ua/remote/dispatcher/state_purchase_view/14525411" TargetMode="External"/><Relationship Id="rId362" Type="http://schemas.openxmlformats.org/officeDocument/2006/relationships/hyperlink" Target="https://my.zakupki.prom.ua/remote/dispatcher/state_purchase_view/9108951" TargetMode="External"/><Relationship Id="rId222" Type="http://schemas.openxmlformats.org/officeDocument/2006/relationships/hyperlink" Target="https://my.zakupki.prom.ua/remote/dispatcher/state_purchase_view/5385617" TargetMode="External"/><Relationship Id="rId667" Type="http://schemas.openxmlformats.org/officeDocument/2006/relationships/hyperlink" Target="https://my.zakupki.prom.ua/remote/dispatcher/state_purchase_view/3727882" TargetMode="External"/><Relationship Id="rId874" Type="http://schemas.openxmlformats.org/officeDocument/2006/relationships/hyperlink" Target="https://my.zakupki.prom.ua/remote/dispatcher/state_purchase_view/27909117" TargetMode="External"/><Relationship Id="rId17" Type="http://schemas.openxmlformats.org/officeDocument/2006/relationships/hyperlink" Target="https://my.zakupki.prom.ua/remote/dispatcher/state_purchase_view/1784504" TargetMode="External"/><Relationship Id="rId527" Type="http://schemas.openxmlformats.org/officeDocument/2006/relationships/hyperlink" Target="https://my.zakupki.prom.ua/remote/dispatcher/state_purchase_view/26339560" TargetMode="External"/><Relationship Id="rId734" Type="http://schemas.openxmlformats.org/officeDocument/2006/relationships/hyperlink" Target="https://my.zakupki.prom.ua/remote/dispatcher/state_purchase_view/18860222" TargetMode="External"/><Relationship Id="rId941" Type="http://schemas.openxmlformats.org/officeDocument/2006/relationships/hyperlink" Target="https://my.zakupki.prom.ua/remote/dispatcher/state_purchase_view/33952319" TargetMode="External"/><Relationship Id="rId1157" Type="http://schemas.openxmlformats.org/officeDocument/2006/relationships/hyperlink" Target="https://my.zakupki.prom.ua/remote/dispatcher/state_purchase_view/32400796" TargetMode="External"/><Relationship Id="rId70" Type="http://schemas.openxmlformats.org/officeDocument/2006/relationships/hyperlink" Target="https://my.zakupki.prom.ua/remote/dispatcher/state_purchase_view/6997358" TargetMode="External"/><Relationship Id="rId166" Type="http://schemas.openxmlformats.org/officeDocument/2006/relationships/hyperlink" Target="https://my.zakupki.prom.ua/remote/dispatcher/state_purchase_view/4102237" TargetMode="External"/><Relationship Id="rId373" Type="http://schemas.openxmlformats.org/officeDocument/2006/relationships/hyperlink" Target="https://my.zakupki.prom.ua/remote/dispatcher/state_purchase_view/8886765" TargetMode="External"/><Relationship Id="rId580" Type="http://schemas.openxmlformats.org/officeDocument/2006/relationships/hyperlink" Target="https://my.zakupki.prom.ua/remote/dispatcher/state_purchase_view/4350530" TargetMode="External"/><Relationship Id="rId801" Type="http://schemas.openxmlformats.org/officeDocument/2006/relationships/hyperlink" Target="https://my.zakupki.prom.ua/remote/dispatcher/state_purchase_view/30889387" TargetMode="External"/><Relationship Id="rId1017" Type="http://schemas.openxmlformats.org/officeDocument/2006/relationships/hyperlink" Target="https://my.zakupki.prom.ua/remote/dispatcher/state_purchase_view/31379277" TargetMode="External"/><Relationship Id="rId1" Type="http://schemas.openxmlformats.org/officeDocument/2006/relationships/hyperlink" Target="https://my.zakupki.prom.ua/remote/dispatcher/state_purchase_view/10256078" TargetMode="External"/><Relationship Id="rId233" Type="http://schemas.openxmlformats.org/officeDocument/2006/relationships/hyperlink" Target="https://my.zakupki.prom.ua/remote/dispatcher/state_purchase_view/1013600" TargetMode="External"/><Relationship Id="rId440" Type="http://schemas.openxmlformats.org/officeDocument/2006/relationships/hyperlink" Target="https://my.zakupki.prom.ua/remote/dispatcher/state_purchase_view/1974844" TargetMode="External"/><Relationship Id="rId678" Type="http://schemas.openxmlformats.org/officeDocument/2006/relationships/hyperlink" Target="https://my.zakupki.prom.ua/remote/dispatcher/state_purchase_view/13191613" TargetMode="External"/><Relationship Id="rId885" Type="http://schemas.openxmlformats.org/officeDocument/2006/relationships/hyperlink" Target="https://my.zakupki.prom.ua/remote/dispatcher/state_purchase_view/32753541" TargetMode="External"/><Relationship Id="rId1070" Type="http://schemas.openxmlformats.org/officeDocument/2006/relationships/hyperlink" Target="https://my.zakupki.prom.ua/remote/dispatcher/state_purchase_view/33833167" TargetMode="External"/><Relationship Id="rId28" Type="http://schemas.openxmlformats.org/officeDocument/2006/relationships/hyperlink" Target="https://my.zakupki.prom.ua/remote/dispatcher/state_purchase_view/3675806" TargetMode="External"/><Relationship Id="rId300" Type="http://schemas.openxmlformats.org/officeDocument/2006/relationships/hyperlink" Target="https://my.zakupki.prom.ua/remote/dispatcher/state_purchase_view/7567486" TargetMode="External"/><Relationship Id="rId538" Type="http://schemas.openxmlformats.org/officeDocument/2006/relationships/hyperlink" Target="https://my.zakupki.prom.ua/remote/dispatcher/state_purchase_view/2666767" TargetMode="External"/><Relationship Id="rId745" Type="http://schemas.openxmlformats.org/officeDocument/2006/relationships/hyperlink" Target="https://my.zakupki.prom.ua/remote/dispatcher/state_purchase_view/1800414" TargetMode="External"/><Relationship Id="rId952" Type="http://schemas.openxmlformats.org/officeDocument/2006/relationships/hyperlink" Target="https://my.zakupki.prom.ua/remote/dispatcher/state_purchase_view/19474832" TargetMode="External"/><Relationship Id="rId81" Type="http://schemas.openxmlformats.org/officeDocument/2006/relationships/hyperlink" Target="https://my.zakupki.prom.ua/remote/dispatcher/state_purchase_view/7446782" TargetMode="External"/><Relationship Id="rId177" Type="http://schemas.openxmlformats.org/officeDocument/2006/relationships/hyperlink" Target="https://my.zakupki.prom.ua/remote/dispatcher/state_purchase_view/3899694" TargetMode="External"/><Relationship Id="rId384" Type="http://schemas.openxmlformats.org/officeDocument/2006/relationships/hyperlink" Target="https://my.zakupki.prom.ua/remote/dispatcher/state_purchase_view/10584062" TargetMode="External"/><Relationship Id="rId591" Type="http://schemas.openxmlformats.org/officeDocument/2006/relationships/hyperlink" Target="https://my.zakupki.prom.ua/remote/dispatcher/state_purchase_view/683100" TargetMode="External"/><Relationship Id="rId605" Type="http://schemas.openxmlformats.org/officeDocument/2006/relationships/hyperlink" Target="https://my.zakupki.prom.ua/remote/dispatcher/state_purchase_view/11305485" TargetMode="External"/><Relationship Id="rId812" Type="http://schemas.openxmlformats.org/officeDocument/2006/relationships/hyperlink" Target="https://my.zakupki.prom.ua/remote/dispatcher/state_purchase_view/23050828" TargetMode="External"/><Relationship Id="rId1028" Type="http://schemas.openxmlformats.org/officeDocument/2006/relationships/hyperlink" Target="https://my.zakupki.prom.ua/remote/dispatcher/state_purchase_view/29829390" TargetMode="External"/><Relationship Id="rId244" Type="http://schemas.openxmlformats.org/officeDocument/2006/relationships/hyperlink" Target="https://my.zakupki.prom.ua/remote/dispatcher/state_purchase_view/6691951" TargetMode="External"/><Relationship Id="rId689" Type="http://schemas.openxmlformats.org/officeDocument/2006/relationships/hyperlink" Target="https://my.zakupki.prom.ua/remote/dispatcher/state_purchase_view/833977" TargetMode="External"/><Relationship Id="rId896" Type="http://schemas.openxmlformats.org/officeDocument/2006/relationships/hyperlink" Target="https://my.zakupki.prom.ua/remote/dispatcher/state_purchase_view/23692631" TargetMode="External"/><Relationship Id="rId1081" Type="http://schemas.openxmlformats.org/officeDocument/2006/relationships/hyperlink" Target="https://my.zakupki.prom.ua/remote/dispatcher/state_purchase_view/25186378" TargetMode="External"/><Relationship Id="rId39" Type="http://schemas.openxmlformats.org/officeDocument/2006/relationships/hyperlink" Target="https://my.zakupki.prom.ua/remote/dispatcher/state_purchase_view/4206256" TargetMode="External"/><Relationship Id="rId451" Type="http://schemas.openxmlformats.org/officeDocument/2006/relationships/hyperlink" Target="https://my.zakupki.prom.ua/remote/dispatcher/state_purchase_view/14405080" TargetMode="External"/><Relationship Id="rId549" Type="http://schemas.openxmlformats.org/officeDocument/2006/relationships/hyperlink" Target="https://my.zakupki.prom.ua/remote/dispatcher/state_purchase_view/7766854" TargetMode="External"/><Relationship Id="rId756" Type="http://schemas.openxmlformats.org/officeDocument/2006/relationships/hyperlink" Target="https://my.zakupki.prom.ua/remote/dispatcher/state_purchase_view/8406477" TargetMode="External"/><Relationship Id="rId104" Type="http://schemas.openxmlformats.org/officeDocument/2006/relationships/hyperlink" Target="https://my.zakupki.prom.ua/remote/dispatcher/state_purchase_view/15191409" TargetMode="External"/><Relationship Id="rId188" Type="http://schemas.openxmlformats.org/officeDocument/2006/relationships/hyperlink" Target="https://my.zakupki.prom.ua/remote/dispatcher/state_purchase_view/1785544" TargetMode="External"/><Relationship Id="rId311" Type="http://schemas.openxmlformats.org/officeDocument/2006/relationships/hyperlink" Target="https://my.zakupki.prom.ua/remote/dispatcher/state_purchase_view/11213023" TargetMode="External"/><Relationship Id="rId395" Type="http://schemas.openxmlformats.org/officeDocument/2006/relationships/hyperlink" Target="https://my.zakupki.prom.ua/remote/dispatcher/state_purchase_view/2180203" TargetMode="External"/><Relationship Id="rId409" Type="http://schemas.openxmlformats.org/officeDocument/2006/relationships/hyperlink" Target="https://my.zakupki.prom.ua/remote/dispatcher/state_purchase_view/4607468" TargetMode="External"/><Relationship Id="rId963" Type="http://schemas.openxmlformats.org/officeDocument/2006/relationships/hyperlink" Target="https://my.zakupki.prom.ua/remote/dispatcher/state_purchase_view/26846043" TargetMode="External"/><Relationship Id="rId1039" Type="http://schemas.openxmlformats.org/officeDocument/2006/relationships/hyperlink" Target="https://my.zakupki.prom.ua/remote/dispatcher/state_purchase_view/18721335" TargetMode="External"/><Relationship Id="rId92" Type="http://schemas.openxmlformats.org/officeDocument/2006/relationships/hyperlink" Target="https://my.zakupki.prom.ua/remote/dispatcher/state_purchase_view/11998701" TargetMode="External"/><Relationship Id="rId616" Type="http://schemas.openxmlformats.org/officeDocument/2006/relationships/hyperlink" Target="https://my.zakupki.prom.ua/remote/dispatcher/state_purchase_view/16376535" TargetMode="External"/><Relationship Id="rId823" Type="http://schemas.openxmlformats.org/officeDocument/2006/relationships/hyperlink" Target="https://my.zakupki.prom.ua/remote/dispatcher/state_purchase_view/24785409" TargetMode="External"/><Relationship Id="rId255" Type="http://schemas.openxmlformats.org/officeDocument/2006/relationships/hyperlink" Target="https://my.zakupki.prom.ua/remote/dispatcher/state_purchase_view/16506701" TargetMode="External"/><Relationship Id="rId462" Type="http://schemas.openxmlformats.org/officeDocument/2006/relationships/hyperlink" Target="https://my.zakupki.prom.ua/remote/dispatcher/state_purchase_view/17509703" TargetMode="External"/><Relationship Id="rId1092" Type="http://schemas.openxmlformats.org/officeDocument/2006/relationships/hyperlink" Target="https://my.zakupki.prom.ua/remote/dispatcher/state_purchase_view/29240049" TargetMode="External"/><Relationship Id="rId1106" Type="http://schemas.openxmlformats.org/officeDocument/2006/relationships/hyperlink" Target="https://my.zakupki.prom.ua/remote/dispatcher/state_purchase_view/24116237" TargetMode="External"/><Relationship Id="rId115" Type="http://schemas.openxmlformats.org/officeDocument/2006/relationships/hyperlink" Target="https://my.zakupki.prom.ua/remote/dispatcher/state_purchase_view/11212441" TargetMode="External"/><Relationship Id="rId322" Type="http://schemas.openxmlformats.org/officeDocument/2006/relationships/hyperlink" Target="https://my.zakupki.prom.ua/remote/dispatcher/state_purchase_view/3488174" TargetMode="External"/><Relationship Id="rId767" Type="http://schemas.openxmlformats.org/officeDocument/2006/relationships/hyperlink" Target="https://my.zakupki.prom.ua/remote/dispatcher/state_purchase_view/10994829" TargetMode="External"/><Relationship Id="rId974" Type="http://schemas.openxmlformats.org/officeDocument/2006/relationships/hyperlink" Target="https://my.zakupki.prom.ua/remote/dispatcher/state_purchase_view/11812206" TargetMode="External"/><Relationship Id="rId199" Type="http://schemas.openxmlformats.org/officeDocument/2006/relationships/hyperlink" Target="https://my.zakupki.prom.ua/remote/dispatcher/state_purchase_view/14496781" TargetMode="External"/><Relationship Id="rId627" Type="http://schemas.openxmlformats.org/officeDocument/2006/relationships/hyperlink" Target="https://my.zakupki.prom.ua/remote/dispatcher/state_purchase_view/10799186" TargetMode="External"/><Relationship Id="rId834" Type="http://schemas.openxmlformats.org/officeDocument/2006/relationships/hyperlink" Target="https://my.zakupki.prom.ua/remote/dispatcher/state_purchase_view/17293337" TargetMode="External"/><Relationship Id="rId266" Type="http://schemas.openxmlformats.org/officeDocument/2006/relationships/hyperlink" Target="https://my.zakupki.prom.ua/remote/dispatcher/state_purchase_view/3492150" TargetMode="External"/><Relationship Id="rId473" Type="http://schemas.openxmlformats.org/officeDocument/2006/relationships/hyperlink" Target="https://my.zakupki.prom.ua/remote/dispatcher/state_purchase_view/7302471" TargetMode="External"/><Relationship Id="rId680" Type="http://schemas.openxmlformats.org/officeDocument/2006/relationships/hyperlink" Target="https://my.zakupki.prom.ua/remote/dispatcher/state_purchase_view/20912284" TargetMode="External"/><Relationship Id="rId901" Type="http://schemas.openxmlformats.org/officeDocument/2006/relationships/hyperlink" Target="https://my.zakupki.prom.ua/remote/dispatcher/state_purchase_view/21123608" TargetMode="External"/><Relationship Id="rId1117" Type="http://schemas.openxmlformats.org/officeDocument/2006/relationships/hyperlink" Target="https://my.zakupki.prom.ua/remote/dispatcher/state_purchase_view/26805404" TargetMode="External"/><Relationship Id="rId30" Type="http://schemas.openxmlformats.org/officeDocument/2006/relationships/hyperlink" Target="https://my.zakupki.prom.ua/remote/dispatcher/state_purchase_view/2822234" TargetMode="External"/><Relationship Id="rId126" Type="http://schemas.openxmlformats.org/officeDocument/2006/relationships/hyperlink" Target="https://my.zakupki.prom.ua/remote/dispatcher/state_purchase_view/12386810" TargetMode="External"/><Relationship Id="rId333" Type="http://schemas.openxmlformats.org/officeDocument/2006/relationships/hyperlink" Target="https://my.zakupki.prom.ua/remote/dispatcher/state_purchase_view/848112" TargetMode="External"/><Relationship Id="rId540" Type="http://schemas.openxmlformats.org/officeDocument/2006/relationships/hyperlink" Target="https://my.zakupki.prom.ua/remote/dispatcher/state_purchase_view/4713778" TargetMode="External"/><Relationship Id="rId778" Type="http://schemas.openxmlformats.org/officeDocument/2006/relationships/hyperlink" Target="https://my.zakupki.prom.ua/remote/dispatcher/state_purchase_view/10052280" TargetMode="External"/><Relationship Id="rId985" Type="http://schemas.openxmlformats.org/officeDocument/2006/relationships/hyperlink" Target="https://my.zakupki.prom.ua/remote/dispatcher/state_purchase_view/22492234" TargetMode="External"/><Relationship Id="rId638" Type="http://schemas.openxmlformats.org/officeDocument/2006/relationships/hyperlink" Target="https://my.zakupki.prom.ua/remote/dispatcher/state_purchase_view/11812874" TargetMode="External"/><Relationship Id="rId845" Type="http://schemas.openxmlformats.org/officeDocument/2006/relationships/hyperlink" Target="https://my.zakupki.prom.ua/remote/dispatcher/state_purchase_view/19871142" TargetMode="External"/><Relationship Id="rId1030" Type="http://schemas.openxmlformats.org/officeDocument/2006/relationships/hyperlink" Target="https://my.zakupki.prom.ua/remote/dispatcher/state_purchase_view/30986471" TargetMode="External"/><Relationship Id="rId277" Type="http://schemas.openxmlformats.org/officeDocument/2006/relationships/hyperlink" Target="https://my.zakupki.prom.ua/remote/dispatcher/state_purchase_view/4609112" TargetMode="External"/><Relationship Id="rId400" Type="http://schemas.openxmlformats.org/officeDocument/2006/relationships/hyperlink" Target="https://my.zakupki.prom.ua/remote/dispatcher/state_purchase_view/4800626" TargetMode="External"/><Relationship Id="rId484" Type="http://schemas.openxmlformats.org/officeDocument/2006/relationships/hyperlink" Target="https://my.zakupki.prom.ua/remote/dispatcher/state_purchase_view/3727621" TargetMode="External"/><Relationship Id="rId705" Type="http://schemas.openxmlformats.org/officeDocument/2006/relationships/hyperlink" Target="https://my.zakupki.prom.ua/remote/dispatcher/state_purchase_view/8617734" TargetMode="External"/><Relationship Id="rId1128" Type="http://schemas.openxmlformats.org/officeDocument/2006/relationships/hyperlink" Target="https://my.zakupki.prom.ua/remote/dispatcher/state_purchase_view/33951143" TargetMode="External"/><Relationship Id="rId137" Type="http://schemas.openxmlformats.org/officeDocument/2006/relationships/hyperlink" Target="https://my.zakupki.prom.ua/remote/dispatcher/state_purchase_view/3572783" TargetMode="External"/><Relationship Id="rId344" Type="http://schemas.openxmlformats.org/officeDocument/2006/relationships/hyperlink" Target="https://my.zakupki.prom.ua/remote/dispatcher/state_purchase_view/7898254" TargetMode="External"/><Relationship Id="rId691" Type="http://schemas.openxmlformats.org/officeDocument/2006/relationships/hyperlink" Target="https://my.zakupki.prom.ua/remote/dispatcher/state_purchase_view/7247210" TargetMode="External"/><Relationship Id="rId789" Type="http://schemas.openxmlformats.org/officeDocument/2006/relationships/hyperlink" Target="https://my.zakupki.prom.ua/remote/dispatcher/state_purchase_view/18663625" TargetMode="External"/><Relationship Id="rId912" Type="http://schemas.openxmlformats.org/officeDocument/2006/relationships/hyperlink" Target="https://my.zakupki.prom.ua/remote/dispatcher/state_purchase_view/31131239" TargetMode="External"/><Relationship Id="rId996" Type="http://schemas.openxmlformats.org/officeDocument/2006/relationships/hyperlink" Target="https://my.zakupki.prom.ua/remote/dispatcher/state_purchase_view/30143106" TargetMode="External"/><Relationship Id="rId41" Type="http://schemas.openxmlformats.org/officeDocument/2006/relationships/hyperlink" Target="https://my.zakupki.prom.ua/remote/dispatcher/state_purchase_view/15158093" TargetMode="External"/><Relationship Id="rId551" Type="http://schemas.openxmlformats.org/officeDocument/2006/relationships/hyperlink" Target="https://my.zakupki.prom.ua/remote/dispatcher/state_purchase_view/6626140" TargetMode="External"/><Relationship Id="rId649" Type="http://schemas.openxmlformats.org/officeDocument/2006/relationships/hyperlink" Target="https://my.zakupki.prom.ua/remote/dispatcher/state_purchase_view/8406381" TargetMode="External"/><Relationship Id="rId856" Type="http://schemas.openxmlformats.org/officeDocument/2006/relationships/hyperlink" Target="https://my.zakupki.prom.ua/remote/dispatcher/state_purchase_view/29870208" TargetMode="External"/><Relationship Id="rId190" Type="http://schemas.openxmlformats.org/officeDocument/2006/relationships/hyperlink" Target="https://my.zakupki.prom.ua/remote/dispatcher/state_purchase_view/1118278" TargetMode="External"/><Relationship Id="rId204" Type="http://schemas.openxmlformats.org/officeDocument/2006/relationships/hyperlink" Target="https://my.zakupki.prom.ua/remote/dispatcher/state_purchase_view/15410977" TargetMode="External"/><Relationship Id="rId288" Type="http://schemas.openxmlformats.org/officeDocument/2006/relationships/hyperlink" Target="https://my.zakupki.prom.ua/remote/dispatcher/state_purchase_view/7476674" TargetMode="External"/><Relationship Id="rId411" Type="http://schemas.openxmlformats.org/officeDocument/2006/relationships/hyperlink" Target="https://my.zakupki.prom.ua/remote/dispatcher/state_purchase_view/6625855" TargetMode="External"/><Relationship Id="rId509" Type="http://schemas.openxmlformats.org/officeDocument/2006/relationships/hyperlink" Target="https://my.zakupki.prom.ua/remote/dispatcher/state_purchase_view/9284844" TargetMode="External"/><Relationship Id="rId1041" Type="http://schemas.openxmlformats.org/officeDocument/2006/relationships/hyperlink" Target="https://my.zakupki.prom.ua/remote/dispatcher/state_purchase_view/11945937" TargetMode="External"/><Relationship Id="rId1139" Type="http://schemas.openxmlformats.org/officeDocument/2006/relationships/hyperlink" Target="https://my.zakupki.prom.ua/remote/dispatcher/state_purchase_view/18493946" TargetMode="External"/><Relationship Id="rId495" Type="http://schemas.openxmlformats.org/officeDocument/2006/relationships/hyperlink" Target="https://my.zakupki.prom.ua/remote/dispatcher/state_purchase_view/1762684" TargetMode="External"/><Relationship Id="rId716" Type="http://schemas.openxmlformats.org/officeDocument/2006/relationships/hyperlink" Target="https://my.zakupki.prom.ua/remote/dispatcher/state_purchase_view/13829492" TargetMode="External"/><Relationship Id="rId923" Type="http://schemas.openxmlformats.org/officeDocument/2006/relationships/hyperlink" Target="https://my.zakupki.prom.ua/remote/dispatcher/state_purchase_view/16920597" TargetMode="External"/><Relationship Id="rId52" Type="http://schemas.openxmlformats.org/officeDocument/2006/relationships/hyperlink" Target="https://my.zakupki.prom.ua/remote/dispatcher/state_purchase_view/15489418" TargetMode="External"/><Relationship Id="rId148" Type="http://schemas.openxmlformats.org/officeDocument/2006/relationships/hyperlink" Target="https://my.zakupki.prom.ua/remote/dispatcher/state_purchase_view/7765503" TargetMode="External"/><Relationship Id="rId355" Type="http://schemas.openxmlformats.org/officeDocument/2006/relationships/hyperlink" Target="https://my.zakupki.prom.ua/remote/dispatcher/state_purchase_view/13541256" TargetMode="External"/><Relationship Id="rId562" Type="http://schemas.openxmlformats.org/officeDocument/2006/relationships/hyperlink" Target="https://my.zakupki.prom.ua/remote/dispatcher/state_purchase_view/15220821" TargetMode="External"/><Relationship Id="rId215" Type="http://schemas.openxmlformats.org/officeDocument/2006/relationships/hyperlink" Target="https://my.zakupki.prom.ua/remote/dispatcher/state_purchase_view/11720320" TargetMode="External"/><Relationship Id="rId422" Type="http://schemas.openxmlformats.org/officeDocument/2006/relationships/hyperlink" Target="https://my.zakupki.prom.ua/remote/dispatcher/state_purchase_view/6611454" TargetMode="External"/><Relationship Id="rId867" Type="http://schemas.openxmlformats.org/officeDocument/2006/relationships/hyperlink" Target="https://my.zakupki.prom.ua/remote/dispatcher/state_purchase_view/18289529" TargetMode="External"/><Relationship Id="rId1052" Type="http://schemas.openxmlformats.org/officeDocument/2006/relationships/hyperlink" Target="https://my.zakupki.prom.ua/remote/dispatcher/state_purchase_view/15758237" TargetMode="External"/><Relationship Id="rId299" Type="http://schemas.openxmlformats.org/officeDocument/2006/relationships/hyperlink" Target="https://my.zakupki.prom.ua/remote/dispatcher/state_purchase_view/12657361" TargetMode="External"/><Relationship Id="rId727" Type="http://schemas.openxmlformats.org/officeDocument/2006/relationships/hyperlink" Target="https://my.zakupki.prom.ua/remote/dispatcher/state_purchase_view/15158440" TargetMode="External"/><Relationship Id="rId934" Type="http://schemas.openxmlformats.org/officeDocument/2006/relationships/hyperlink" Target="https://my.zakupki.prom.ua/remote/dispatcher/state_purchase_view/30366547" TargetMode="External"/><Relationship Id="rId63" Type="http://schemas.openxmlformats.org/officeDocument/2006/relationships/hyperlink" Target="https://my.zakupki.prom.ua/remote/dispatcher/state_purchase_view/1121085" TargetMode="External"/><Relationship Id="rId159" Type="http://schemas.openxmlformats.org/officeDocument/2006/relationships/hyperlink" Target="https://my.zakupki.prom.ua/remote/dispatcher/state_purchase_view/16058507" TargetMode="External"/><Relationship Id="rId366" Type="http://schemas.openxmlformats.org/officeDocument/2006/relationships/hyperlink" Target="https://my.zakupki.prom.ua/remote/dispatcher/state_purchase_view/9652086" TargetMode="External"/><Relationship Id="rId573" Type="http://schemas.openxmlformats.org/officeDocument/2006/relationships/hyperlink" Target="https://my.zakupki.prom.ua/remote/dispatcher/state_purchase_view/20622419" TargetMode="External"/><Relationship Id="rId780" Type="http://schemas.openxmlformats.org/officeDocument/2006/relationships/hyperlink" Target="https://my.zakupki.prom.ua/remote/dispatcher/state_purchase_view/13579257" TargetMode="External"/><Relationship Id="rId226" Type="http://schemas.openxmlformats.org/officeDocument/2006/relationships/hyperlink" Target="https://my.zakupki.prom.ua/remote/dispatcher/state_purchase_view/4227667" TargetMode="External"/><Relationship Id="rId433" Type="http://schemas.openxmlformats.org/officeDocument/2006/relationships/hyperlink" Target="https://my.zakupki.prom.ua/remote/dispatcher/state_purchase_view/3682023" TargetMode="External"/><Relationship Id="rId878" Type="http://schemas.openxmlformats.org/officeDocument/2006/relationships/hyperlink" Target="https://my.zakupki.prom.ua/remote/dispatcher/state_purchase_view/21946951" TargetMode="External"/><Relationship Id="rId1063" Type="http://schemas.openxmlformats.org/officeDocument/2006/relationships/hyperlink" Target="https://my.zakupki.prom.ua/remote/dispatcher/state_purchase_view/25960946" TargetMode="External"/><Relationship Id="rId640" Type="http://schemas.openxmlformats.org/officeDocument/2006/relationships/hyperlink" Target="https://my.zakupki.prom.ua/remote/dispatcher/state_purchase_view/1204768" TargetMode="External"/><Relationship Id="rId738" Type="http://schemas.openxmlformats.org/officeDocument/2006/relationships/hyperlink" Target="https://my.zakupki.prom.ua/remote/dispatcher/state_purchase_view/1109584" TargetMode="External"/><Relationship Id="rId945" Type="http://schemas.openxmlformats.org/officeDocument/2006/relationships/hyperlink" Target="https://my.zakupki.prom.ua/remote/dispatcher/state_purchase_view/12255106" TargetMode="External"/><Relationship Id="rId74" Type="http://schemas.openxmlformats.org/officeDocument/2006/relationships/hyperlink" Target="https://my.zakupki.prom.ua/remote/dispatcher/state_purchase_view/7875784" TargetMode="External"/><Relationship Id="rId377" Type="http://schemas.openxmlformats.org/officeDocument/2006/relationships/hyperlink" Target="https://my.zakupki.prom.ua/remote/dispatcher/state_purchase_view/12919747" TargetMode="External"/><Relationship Id="rId500" Type="http://schemas.openxmlformats.org/officeDocument/2006/relationships/hyperlink" Target="https://my.zakupki.prom.ua/remote/dispatcher/state_purchase_view/4516186" TargetMode="External"/><Relationship Id="rId584" Type="http://schemas.openxmlformats.org/officeDocument/2006/relationships/hyperlink" Target="https://my.zakupki.prom.ua/remote/dispatcher/state_purchase_view/2530610" TargetMode="External"/><Relationship Id="rId805" Type="http://schemas.openxmlformats.org/officeDocument/2006/relationships/hyperlink" Target="https://my.zakupki.prom.ua/remote/dispatcher/state_purchase_view/33572365" TargetMode="External"/><Relationship Id="rId1130" Type="http://schemas.openxmlformats.org/officeDocument/2006/relationships/hyperlink" Target="https://my.zakupki.prom.ua/remote/dispatcher/state_purchase_view/24784230" TargetMode="External"/><Relationship Id="rId5" Type="http://schemas.openxmlformats.org/officeDocument/2006/relationships/hyperlink" Target="https://my.zakupki.prom.ua/remote/dispatcher/state_purchase_view/8009275" TargetMode="External"/><Relationship Id="rId237" Type="http://schemas.openxmlformats.org/officeDocument/2006/relationships/hyperlink" Target="https://my.zakupki.prom.ua/remote/dispatcher/state_purchase_view/7812799" TargetMode="External"/><Relationship Id="rId791" Type="http://schemas.openxmlformats.org/officeDocument/2006/relationships/hyperlink" Target="https://my.zakupki.prom.ua/remote/dispatcher/state_purchase_view/24198314" TargetMode="External"/><Relationship Id="rId889" Type="http://schemas.openxmlformats.org/officeDocument/2006/relationships/hyperlink" Target="https://my.zakupki.prom.ua/remote/dispatcher/state_purchase_view/17335381" TargetMode="External"/><Relationship Id="rId1074" Type="http://schemas.openxmlformats.org/officeDocument/2006/relationships/hyperlink" Target="https://my.zakupki.prom.ua/remote/dispatcher/state_purchase_view/30941894" TargetMode="External"/><Relationship Id="rId444" Type="http://schemas.openxmlformats.org/officeDocument/2006/relationships/hyperlink" Target="https://my.zakupki.prom.ua/remote/dispatcher/state_purchase_view/3721229" TargetMode="External"/><Relationship Id="rId651" Type="http://schemas.openxmlformats.org/officeDocument/2006/relationships/hyperlink" Target="https://my.zakupki.prom.ua/remote/dispatcher/state_purchase_view/7977371" TargetMode="External"/><Relationship Id="rId749" Type="http://schemas.openxmlformats.org/officeDocument/2006/relationships/hyperlink" Target="https://my.zakupki.prom.ua/remote/dispatcher/state_purchase_view/5988603" TargetMode="External"/><Relationship Id="rId290" Type="http://schemas.openxmlformats.org/officeDocument/2006/relationships/hyperlink" Target="https://my.zakupki.prom.ua/remote/dispatcher/state_purchase_view/7903239" TargetMode="External"/><Relationship Id="rId304" Type="http://schemas.openxmlformats.org/officeDocument/2006/relationships/hyperlink" Target="https://my.zakupki.prom.ua/remote/dispatcher/state_purchase_view/13880143" TargetMode="External"/><Relationship Id="rId388" Type="http://schemas.openxmlformats.org/officeDocument/2006/relationships/hyperlink" Target="https://my.zakupki.prom.ua/remote/dispatcher/state_purchase_view/2727213" TargetMode="External"/><Relationship Id="rId511" Type="http://schemas.openxmlformats.org/officeDocument/2006/relationships/hyperlink" Target="https://my.zakupki.prom.ua/remote/dispatcher/state_purchase_view/16373180" TargetMode="External"/><Relationship Id="rId609" Type="http://schemas.openxmlformats.org/officeDocument/2006/relationships/hyperlink" Target="https://my.zakupki.prom.ua/remote/dispatcher/state_purchase_view/9833876" TargetMode="External"/><Relationship Id="rId956" Type="http://schemas.openxmlformats.org/officeDocument/2006/relationships/hyperlink" Target="https://my.zakupki.prom.ua/remote/dispatcher/state_purchase_view/22706833" TargetMode="External"/><Relationship Id="rId1141" Type="http://schemas.openxmlformats.org/officeDocument/2006/relationships/hyperlink" Target="https://my.zakupki.prom.ua/remote/dispatcher/state_purchase_view/21338595" TargetMode="External"/><Relationship Id="rId85" Type="http://schemas.openxmlformats.org/officeDocument/2006/relationships/hyperlink" Target="https://my.zakupki.prom.ua/remote/dispatcher/state_purchase_view/12297230" TargetMode="External"/><Relationship Id="rId150" Type="http://schemas.openxmlformats.org/officeDocument/2006/relationships/hyperlink" Target="https://my.zakupki.prom.ua/remote/dispatcher/state_purchase_view/6467337" TargetMode="External"/><Relationship Id="rId595" Type="http://schemas.openxmlformats.org/officeDocument/2006/relationships/hyperlink" Target="https://my.zakupki.prom.ua/remote/dispatcher/state_purchase_view/7120148" TargetMode="External"/><Relationship Id="rId816" Type="http://schemas.openxmlformats.org/officeDocument/2006/relationships/hyperlink" Target="https://my.zakupki.prom.ua/remote/dispatcher/state_purchase_view/27401925" TargetMode="External"/><Relationship Id="rId1001" Type="http://schemas.openxmlformats.org/officeDocument/2006/relationships/hyperlink" Target="https://my.zakupki.prom.ua/remote/dispatcher/state_purchase_view/18728236" TargetMode="External"/><Relationship Id="rId248" Type="http://schemas.openxmlformats.org/officeDocument/2006/relationships/hyperlink" Target="https://my.zakupki.prom.ua/remote/dispatcher/state_purchase_view/9651913" TargetMode="External"/><Relationship Id="rId455" Type="http://schemas.openxmlformats.org/officeDocument/2006/relationships/hyperlink" Target="https://my.zakupki.prom.ua/remote/dispatcher/state_purchase_view/15559950" TargetMode="External"/><Relationship Id="rId662" Type="http://schemas.openxmlformats.org/officeDocument/2006/relationships/hyperlink" Target="https://my.zakupki.prom.ua/remote/dispatcher/state_purchase_view/7152800" TargetMode="External"/><Relationship Id="rId1085" Type="http://schemas.openxmlformats.org/officeDocument/2006/relationships/hyperlink" Target="https://my.zakupki.prom.ua/remote/dispatcher/state_purchase_view/26843804" TargetMode="External"/><Relationship Id="rId12" Type="http://schemas.openxmlformats.org/officeDocument/2006/relationships/hyperlink" Target="https://my.zakupki.prom.ua/remote/dispatcher/state_purchase_view/10392142" TargetMode="External"/><Relationship Id="rId108" Type="http://schemas.openxmlformats.org/officeDocument/2006/relationships/hyperlink" Target="https://my.zakupki.prom.ua/remote/dispatcher/state_purchase_view/1168592" TargetMode="External"/><Relationship Id="rId315" Type="http://schemas.openxmlformats.org/officeDocument/2006/relationships/hyperlink" Target="https://my.zakupki.prom.ua/remote/dispatcher/state_purchase_view/19476037" TargetMode="External"/><Relationship Id="rId522" Type="http://schemas.openxmlformats.org/officeDocument/2006/relationships/hyperlink" Target="https://my.zakupki.prom.ua/remote/dispatcher/state_purchase_view/18729735" TargetMode="External"/><Relationship Id="rId967" Type="http://schemas.openxmlformats.org/officeDocument/2006/relationships/hyperlink" Target="https://my.zakupki.prom.ua/remote/dispatcher/state_purchase_view/14526532" TargetMode="External"/><Relationship Id="rId1152" Type="http://schemas.openxmlformats.org/officeDocument/2006/relationships/hyperlink" Target="https://my.zakupki.prom.ua/remote/dispatcher/state_purchase_view/28320625" TargetMode="External"/><Relationship Id="rId96" Type="http://schemas.openxmlformats.org/officeDocument/2006/relationships/hyperlink" Target="https://my.zakupki.prom.ua/remote/dispatcher/state_purchase_view/17390981" TargetMode="External"/><Relationship Id="rId161" Type="http://schemas.openxmlformats.org/officeDocument/2006/relationships/hyperlink" Target="https://my.zakupki.prom.ua/remote/dispatcher/state_purchase_view/3682565" TargetMode="External"/><Relationship Id="rId399" Type="http://schemas.openxmlformats.org/officeDocument/2006/relationships/hyperlink" Target="https://my.zakupki.prom.ua/remote/dispatcher/state_purchase_view/4473458" TargetMode="External"/><Relationship Id="rId827" Type="http://schemas.openxmlformats.org/officeDocument/2006/relationships/hyperlink" Target="https://my.zakupki.prom.ua/remote/dispatcher/state_purchase_view/31016202" TargetMode="External"/><Relationship Id="rId1012" Type="http://schemas.openxmlformats.org/officeDocument/2006/relationships/hyperlink" Target="https://my.zakupki.prom.ua/remote/dispatcher/state_purchase_view/26254639" TargetMode="External"/><Relationship Id="rId259" Type="http://schemas.openxmlformats.org/officeDocument/2006/relationships/hyperlink" Target="https://my.zakupki.prom.ua/remote/dispatcher/state_purchase_view/17120156" TargetMode="External"/><Relationship Id="rId466" Type="http://schemas.openxmlformats.org/officeDocument/2006/relationships/hyperlink" Target="https://my.zakupki.prom.ua/remote/dispatcher/state_purchase_view/11666578" TargetMode="External"/><Relationship Id="rId673" Type="http://schemas.openxmlformats.org/officeDocument/2006/relationships/hyperlink" Target="https://my.zakupki.prom.ua/remote/dispatcher/state_purchase_view/18947652" TargetMode="External"/><Relationship Id="rId880" Type="http://schemas.openxmlformats.org/officeDocument/2006/relationships/hyperlink" Target="https://my.zakupki.prom.ua/remote/dispatcher/state_purchase_view/27298158" TargetMode="External"/><Relationship Id="rId1096" Type="http://schemas.openxmlformats.org/officeDocument/2006/relationships/hyperlink" Target="https://my.zakupki.prom.ua/remote/dispatcher/state_purchase_view/33949538" TargetMode="External"/><Relationship Id="rId23" Type="http://schemas.openxmlformats.org/officeDocument/2006/relationships/hyperlink" Target="https://my.zakupki.prom.ua/remote/dispatcher/state_purchase_view/12254827" TargetMode="External"/><Relationship Id="rId119" Type="http://schemas.openxmlformats.org/officeDocument/2006/relationships/hyperlink" Target="https://my.zakupki.prom.ua/remote/dispatcher/state_purchase_view/10523002" TargetMode="External"/><Relationship Id="rId326" Type="http://schemas.openxmlformats.org/officeDocument/2006/relationships/hyperlink" Target="https://my.zakupki.prom.ua/remote/dispatcher/state_purchase_view/4631152" TargetMode="External"/><Relationship Id="rId533" Type="http://schemas.openxmlformats.org/officeDocument/2006/relationships/hyperlink" Target="https://my.zakupki.prom.ua/remote/dispatcher/state_purchase_view/4394970" TargetMode="External"/><Relationship Id="rId978" Type="http://schemas.openxmlformats.org/officeDocument/2006/relationships/hyperlink" Target="https://my.zakupki.prom.ua/remote/dispatcher/state_purchase_view/14996756" TargetMode="External"/><Relationship Id="rId740" Type="http://schemas.openxmlformats.org/officeDocument/2006/relationships/hyperlink" Target="https://my.zakupki.prom.ua/remote/dispatcher/state_purchase_view/3351982" TargetMode="External"/><Relationship Id="rId838" Type="http://schemas.openxmlformats.org/officeDocument/2006/relationships/hyperlink" Target="https://my.zakupki.prom.ua/remote/dispatcher/state_purchase_view/13277978" TargetMode="External"/><Relationship Id="rId1023" Type="http://schemas.openxmlformats.org/officeDocument/2006/relationships/hyperlink" Target="https://my.zakupki.prom.ua/remote/dispatcher/state_purchase_view/28633304" TargetMode="External"/><Relationship Id="rId172" Type="http://schemas.openxmlformats.org/officeDocument/2006/relationships/hyperlink" Target="https://my.zakupki.prom.ua/remote/dispatcher/state_purchase_view/3377081" TargetMode="External"/><Relationship Id="rId477" Type="http://schemas.openxmlformats.org/officeDocument/2006/relationships/hyperlink" Target="https://my.zakupki.prom.ua/remote/dispatcher/state_purchase_view/3268254" TargetMode="External"/><Relationship Id="rId600" Type="http://schemas.openxmlformats.org/officeDocument/2006/relationships/hyperlink" Target="https://my.zakupki.prom.ua/remote/dispatcher/state_purchase_view/6961463" TargetMode="External"/><Relationship Id="rId684" Type="http://schemas.openxmlformats.org/officeDocument/2006/relationships/hyperlink" Target="https://my.zakupki.prom.ua/remote/dispatcher/state_purchase_view/3717474" TargetMode="External"/><Relationship Id="rId337" Type="http://schemas.openxmlformats.org/officeDocument/2006/relationships/hyperlink" Target="https://my.zakupki.prom.ua/remote/dispatcher/state_purchase_view/3920878" TargetMode="External"/><Relationship Id="rId891" Type="http://schemas.openxmlformats.org/officeDocument/2006/relationships/hyperlink" Target="https://my.zakupki.prom.ua/remote/dispatcher/state_purchase_view/10876485" TargetMode="External"/><Relationship Id="rId905" Type="http://schemas.openxmlformats.org/officeDocument/2006/relationships/hyperlink" Target="https://my.zakupki.prom.ua/remote/dispatcher/state_purchase_view/24576294" TargetMode="External"/><Relationship Id="rId989" Type="http://schemas.openxmlformats.org/officeDocument/2006/relationships/hyperlink" Target="https://my.zakupki.prom.ua/remote/dispatcher/state_purchase_view/22571219" TargetMode="External"/><Relationship Id="rId34" Type="http://schemas.openxmlformats.org/officeDocument/2006/relationships/hyperlink" Target="https://my.zakupki.prom.ua/remote/dispatcher/state_purchase_view/4459280" TargetMode="External"/><Relationship Id="rId544" Type="http://schemas.openxmlformats.org/officeDocument/2006/relationships/hyperlink" Target="https://my.zakupki.prom.ua/remote/dispatcher/state_purchase_view/7516588" TargetMode="External"/><Relationship Id="rId751" Type="http://schemas.openxmlformats.org/officeDocument/2006/relationships/hyperlink" Target="https://my.zakupki.prom.ua/remote/dispatcher/state_purchase_view/6384646" TargetMode="External"/><Relationship Id="rId849" Type="http://schemas.openxmlformats.org/officeDocument/2006/relationships/hyperlink" Target="https://my.zakupki.prom.ua/remote/dispatcher/state_purchase_view/25189911" TargetMode="External"/><Relationship Id="rId183" Type="http://schemas.openxmlformats.org/officeDocument/2006/relationships/hyperlink" Target="https://my.zakupki.prom.ua/remote/dispatcher/state_purchase_view/748482" TargetMode="External"/><Relationship Id="rId390" Type="http://schemas.openxmlformats.org/officeDocument/2006/relationships/hyperlink" Target="https://my.zakupki.prom.ua/remote/dispatcher/state_purchase_view/2942610" TargetMode="External"/><Relationship Id="rId404" Type="http://schemas.openxmlformats.org/officeDocument/2006/relationships/hyperlink" Target="https://my.zakupki.prom.ua/remote/dispatcher/state_purchase_view/4396397" TargetMode="External"/><Relationship Id="rId611" Type="http://schemas.openxmlformats.org/officeDocument/2006/relationships/hyperlink" Target="https://my.zakupki.prom.ua/remote/dispatcher/state_purchase_view/13727054" TargetMode="External"/><Relationship Id="rId1034" Type="http://schemas.openxmlformats.org/officeDocument/2006/relationships/hyperlink" Target="https://my.zakupki.prom.ua/remote/dispatcher/state_purchase_view/28356574" TargetMode="External"/><Relationship Id="rId250" Type="http://schemas.openxmlformats.org/officeDocument/2006/relationships/hyperlink" Target="https://my.zakupki.prom.ua/remote/dispatcher/state_purchase_view/12153341" TargetMode="External"/><Relationship Id="rId488" Type="http://schemas.openxmlformats.org/officeDocument/2006/relationships/hyperlink" Target="https://my.zakupki.prom.ua/remote/dispatcher/state_purchase_view/4421849" TargetMode="External"/><Relationship Id="rId695" Type="http://schemas.openxmlformats.org/officeDocument/2006/relationships/hyperlink" Target="https://my.zakupki.prom.ua/remote/dispatcher/state_purchase_view/2218213" TargetMode="External"/><Relationship Id="rId709" Type="http://schemas.openxmlformats.org/officeDocument/2006/relationships/hyperlink" Target="https://my.zakupki.prom.ua/remote/dispatcher/state_purchase_view/11430446" TargetMode="External"/><Relationship Id="rId916" Type="http://schemas.openxmlformats.org/officeDocument/2006/relationships/hyperlink" Target="https://my.zakupki.prom.ua/remote/dispatcher/state_purchase_view/28791650" TargetMode="External"/><Relationship Id="rId1101" Type="http://schemas.openxmlformats.org/officeDocument/2006/relationships/hyperlink" Target="https://my.zakupki.prom.ua/remote/dispatcher/state_purchase_view/25475806" TargetMode="External"/><Relationship Id="rId45" Type="http://schemas.openxmlformats.org/officeDocument/2006/relationships/hyperlink" Target="https://my.zakupki.prom.ua/remote/dispatcher/state_purchase_view/16738586" TargetMode="External"/><Relationship Id="rId110" Type="http://schemas.openxmlformats.org/officeDocument/2006/relationships/hyperlink" Target="https://my.zakupki.prom.ua/remote/dispatcher/state_purchase_view/1762197" TargetMode="External"/><Relationship Id="rId348" Type="http://schemas.openxmlformats.org/officeDocument/2006/relationships/hyperlink" Target="https://my.zakupki.prom.ua/remote/dispatcher/state_purchase_view/13277691" TargetMode="External"/><Relationship Id="rId555" Type="http://schemas.openxmlformats.org/officeDocument/2006/relationships/hyperlink" Target="https://my.zakupki.prom.ua/remote/dispatcher/state_purchase_view/8807942" TargetMode="External"/><Relationship Id="rId762" Type="http://schemas.openxmlformats.org/officeDocument/2006/relationships/hyperlink" Target="https://my.zakupki.prom.ua/remote/dispatcher/state_purchase_view/9309107" TargetMode="External"/><Relationship Id="rId194" Type="http://schemas.openxmlformats.org/officeDocument/2006/relationships/hyperlink" Target="https://my.zakupki.prom.ua/remote/dispatcher/state_purchase_view/7270374" TargetMode="External"/><Relationship Id="rId208" Type="http://schemas.openxmlformats.org/officeDocument/2006/relationships/hyperlink" Target="https://my.zakupki.prom.ua/remote/dispatcher/state_purchase_view/12548417" TargetMode="External"/><Relationship Id="rId415" Type="http://schemas.openxmlformats.org/officeDocument/2006/relationships/hyperlink" Target="https://my.zakupki.prom.ua/remote/dispatcher/state_purchase_view/4465592" TargetMode="External"/><Relationship Id="rId622" Type="http://schemas.openxmlformats.org/officeDocument/2006/relationships/hyperlink" Target="https://my.zakupki.prom.ua/remote/dispatcher/state_purchase_view/18654738" TargetMode="External"/><Relationship Id="rId1045" Type="http://schemas.openxmlformats.org/officeDocument/2006/relationships/hyperlink" Target="https://my.zakupki.prom.ua/remote/dispatcher/state_purchase_view/10588902" TargetMode="External"/><Relationship Id="rId261" Type="http://schemas.openxmlformats.org/officeDocument/2006/relationships/hyperlink" Target="https://my.zakupki.prom.ua/remote/dispatcher/state_purchase_view/16019140" TargetMode="External"/><Relationship Id="rId499" Type="http://schemas.openxmlformats.org/officeDocument/2006/relationships/hyperlink" Target="https://my.zakupki.prom.ua/remote/dispatcher/state_purchase_view/4425093" TargetMode="External"/><Relationship Id="rId927" Type="http://schemas.openxmlformats.org/officeDocument/2006/relationships/hyperlink" Target="https://my.zakupki.prom.ua/remote/dispatcher/state_purchase_view/31150770" TargetMode="External"/><Relationship Id="rId1112" Type="http://schemas.openxmlformats.org/officeDocument/2006/relationships/hyperlink" Target="https://my.zakupki.prom.ua/remote/dispatcher/state_purchase_view/24784916" TargetMode="External"/><Relationship Id="rId56" Type="http://schemas.openxmlformats.org/officeDocument/2006/relationships/hyperlink" Target="https://my.zakupki.prom.ua/remote/dispatcher/state_purchase_view/4785983" TargetMode="External"/><Relationship Id="rId359" Type="http://schemas.openxmlformats.org/officeDocument/2006/relationships/hyperlink" Target="https://my.zakupki.prom.ua/remote/dispatcher/state_purchase_view/11964062" TargetMode="External"/><Relationship Id="rId566" Type="http://schemas.openxmlformats.org/officeDocument/2006/relationships/hyperlink" Target="https://my.zakupki.prom.ua/remote/dispatcher/state_purchase_view/16370832" TargetMode="External"/><Relationship Id="rId773" Type="http://schemas.openxmlformats.org/officeDocument/2006/relationships/hyperlink" Target="https://my.zakupki.prom.ua/remote/dispatcher/state_purchase_view/11719465" TargetMode="External"/><Relationship Id="rId121" Type="http://schemas.openxmlformats.org/officeDocument/2006/relationships/hyperlink" Target="https://my.zakupki.prom.ua/remote/dispatcher/state_purchase_view/12909519" TargetMode="External"/><Relationship Id="rId219" Type="http://schemas.openxmlformats.org/officeDocument/2006/relationships/hyperlink" Target="https://my.zakupki.prom.ua/remote/dispatcher/state_purchase_view/3497102" TargetMode="External"/><Relationship Id="rId426" Type="http://schemas.openxmlformats.org/officeDocument/2006/relationships/hyperlink" Target="https://my.zakupki.prom.ua/remote/dispatcher/state_purchase_view/4230521" TargetMode="External"/><Relationship Id="rId633" Type="http://schemas.openxmlformats.org/officeDocument/2006/relationships/hyperlink" Target="https://my.zakupki.prom.ua/remote/dispatcher/state_purchase_view/10391121" TargetMode="External"/><Relationship Id="rId980" Type="http://schemas.openxmlformats.org/officeDocument/2006/relationships/hyperlink" Target="https://my.zakupki.prom.ua/remote/dispatcher/state_purchase_view/15974714" TargetMode="External"/><Relationship Id="rId1056" Type="http://schemas.openxmlformats.org/officeDocument/2006/relationships/hyperlink" Target="https://my.zakupki.prom.ua/remote/dispatcher/state_purchase_view/24235621" TargetMode="External"/><Relationship Id="rId840" Type="http://schemas.openxmlformats.org/officeDocument/2006/relationships/hyperlink" Target="https://my.zakupki.prom.ua/remote/dispatcher/state_purchase_view/16086174" TargetMode="External"/><Relationship Id="rId938" Type="http://schemas.openxmlformats.org/officeDocument/2006/relationships/hyperlink" Target="https://my.zakupki.prom.ua/remote/dispatcher/state_purchase_view/28144164" TargetMode="External"/><Relationship Id="rId67" Type="http://schemas.openxmlformats.org/officeDocument/2006/relationships/hyperlink" Target="https://my.zakupki.prom.ua/remote/dispatcher/state_purchase_view/739126" TargetMode="External"/><Relationship Id="rId272" Type="http://schemas.openxmlformats.org/officeDocument/2006/relationships/hyperlink" Target="https://my.zakupki.prom.ua/remote/dispatcher/state_purchase_view/1043310" TargetMode="External"/><Relationship Id="rId577" Type="http://schemas.openxmlformats.org/officeDocument/2006/relationships/hyperlink" Target="https://my.zakupki.prom.ua/remote/dispatcher/state_purchase_view/20672901" TargetMode="External"/><Relationship Id="rId700" Type="http://schemas.openxmlformats.org/officeDocument/2006/relationships/hyperlink" Target="https://my.zakupki.prom.ua/remote/dispatcher/state_purchase_view/6551510" TargetMode="External"/><Relationship Id="rId1123" Type="http://schemas.openxmlformats.org/officeDocument/2006/relationships/hyperlink" Target="https://my.zakupki.prom.ua/remote/dispatcher/state_purchase_view/18561834" TargetMode="External"/><Relationship Id="rId132" Type="http://schemas.openxmlformats.org/officeDocument/2006/relationships/hyperlink" Target="https://my.zakupki.prom.ua/remote/dispatcher/state_purchase_view/9474103" TargetMode="External"/><Relationship Id="rId784" Type="http://schemas.openxmlformats.org/officeDocument/2006/relationships/hyperlink" Target="https://my.zakupki.prom.ua/remote/dispatcher/state_purchase_view/16077815" TargetMode="External"/><Relationship Id="rId991" Type="http://schemas.openxmlformats.org/officeDocument/2006/relationships/hyperlink" Target="https://my.zakupki.prom.ua/remote/dispatcher/state_purchase_view/27868158" TargetMode="External"/><Relationship Id="rId1067" Type="http://schemas.openxmlformats.org/officeDocument/2006/relationships/hyperlink" Target="https://my.zakupki.prom.ua/remote/dispatcher/state_purchase_view/31942984" TargetMode="External"/><Relationship Id="rId437" Type="http://schemas.openxmlformats.org/officeDocument/2006/relationships/hyperlink" Target="https://my.zakupki.prom.ua/remote/dispatcher/state_purchase_view/978189" TargetMode="External"/><Relationship Id="rId644" Type="http://schemas.openxmlformats.org/officeDocument/2006/relationships/hyperlink" Target="https://my.zakupki.prom.ua/remote/dispatcher/state_purchase_view/2217855" TargetMode="External"/><Relationship Id="rId851" Type="http://schemas.openxmlformats.org/officeDocument/2006/relationships/hyperlink" Target="https://my.zakupki.prom.ua/remote/dispatcher/state_purchase_view/25810541" TargetMode="External"/><Relationship Id="rId283" Type="http://schemas.openxmlformats.org/officeDocument/2006/relationships/hyperlink" Target="https://my.zakupki.prom.ua/remote/dispatcher/state_purchase_view/7676452" TargetMode="External"/><Relationship Id="rId490" Type="http://schemas.openxmlformats.org/officeDocument/2006/relationships/hyperlink" Target="https://my.zakupki.prom.ua/remote/dispatcher/state_purchase_view/7372243" TargetMode="External"/><Relationship Id="rId504" Type="http://schemas.openxmlformats.org/officeDocument/2006/relationships/hyperlink" Target="https://my.zakupki.prom.ua/remote/dispatcher/state_purchase_view/8891639" TargetMode="External"/><Relationship Id="rId711" Type="http://schemas.openxmlformats.org/officeDocument/2006/relationships/hyperlink" Target="https://my.zakupki.prom.ua/remote/dispatcher/state_purchase_view/8037822" TargetMode="External"/><Relationship Id="rId949" Type="http://schemas.openxmlformats.org/officeDocument/2006/relationships/hyperlink" Target="https://my.zakupki.prom.ua/remote/dispatcher/state_purchase_view/20210835" TargetMode="External"/><Relationship Id="rId1134" Type="http://schemas.openxmlformats.org/officeDocument/2006/relationships/hyperlink" Target="https://my.zakupki.prom.ua/remote/dispatcher/state_purchase_view/18232844" TargetMode="External"/><Relationship Id="rId78" Type="http://schemas.openxmlformats.org/officeDocument/2006/relationships/hyperlink" Target="https://my.zakupki.prom.ua/remote/dispatcher/state_purchase_view/8479891" TargetMode="External"/><Relationship Id="rId143" Type="http://schemas.openxmlformats.org/officeDocument/2006/relationships/hyperlink" Target="https://my.zakupki.prom.ua/remote/dispatcher/state_purchase_view/3498104" TargetMode="External"/><Relationship Id="rId350" Type="http://schemas.openxmlformats.org/officeDocument/2006/relationships/hyperlink" Target="https://my.zakupki.prom.ua/remote/dispatcher/state_purchase_view/13979215" TargetMode="External"/><Relationship Id="rId588" Type="http://schemas.openxmlformats.org/officeDocument/2006/relationships/hyperlink" Target="https://my.zakupki.prom.ua/remote/dispatcher/state_purchase_view/5079370" TargetMode="External"/><Relationship Id="rId795" Type="http://schemas.openxmlformats.org/officeDocument/2006/relationships/hyperlink" Target="https://my.zakupki.prom.ua/remote/dispatcher/state_purchase_view/26986105" TargetMode="External"/><Relationship Id="rId809" Type="http://schemas.openxmlformats.org/officeDocument/2006/relationships/hyperlink" Target="https://my.zakupki.prom.ua/remote/dispatcher/state_purchase_view/21590160" TargetMode="External"/><Relationship Id="rId9" Type="http://schemas.openxmlformats.org/officeDocument/2006/relationships/hyperlink" Target="https://my.zakupki.prom.ua/remote/dispatcher/state_purchase_view/11233024" TargetMode="External"/><Relationship Id="rId210" Type="http://schemas.openxmlformats.org/officeDocument/2006/relationships/hyperlink" Target="https://my.zakupki.prom.ua/remote/dispatcher/state_purchase_view/9416897" TargetMode="External"/><Relationship Id="rId448" Type="http://schemas.openxmlformats.org/officeDocument/2006/relationships/hyperlink" Target="https://my.zakupki.prom.ua/remote/dispatcher/state_purchase_view/8628095" TargetMode="External"/><Relationship Id="rId655" Type="http://schemas.openxmlformats.org/officeDocument/2006/relationships/hyperlink" Target="https://my.zakupki.prom.ua/remote/dispatcher/state_purchase_view/3351601" TargetMode="External"/><Relationship Id="rId862" Type="http://schemas.openxmlformats.org/officeDocument/2006/relationships/hyperlink" Target="https://my.zakupki.prom.ua/remote/dispatcher/state_purchase_view/23114486" TargetMode="External"/><Relationship Id="rId1078" Type="http://schemas.openxmlformats.org/officeDocument/2006/relationships/hyperlink" Target="https://my.zakupki.prom.ua/remote/dispatcher/state_purchase_view/23045136" TargetMode="External"/><Relationship Id="rId294" Type="http://schemas.openxmlformats.org/officeDocument/2006/relationships/hyperlink" Target="https://my.zakupki.prom.ua/remote/dispatcher/state_purchase_view/11661283" TargetMode="External"/><Relationship Id="rId308" Type="http://schemas.openxmlformats.org/officeDocument/2006/relationships/hyperlink" Target="https://my.zakupki.prom.ua/remote/dispatcher/state_purchase_view/13242630" TargetMode="External"/><Relationship Id="rId515" Type="http://schemas.openxmlformats.org/officeDocument/2006/relationships/hyperlink" Target="https://my.zakupki.prom.ua/remote/dispatcher/state_purchase_view/11329958" TargetMode="External"/><Relationship Id="rId722" Type="http://schemas.openxmlformats.org/officeDocument/2006/relationships/hyperlink" Target="https://my.zakupki.prom.ua/remote/dispatcher/state_purchase_view/13191453" TargetMode="External"/><Relationship Id="rId1145" Type="http://schemas.openxmlformats.org/officeDocument/2006/relationships/hyperlink" Target="https://my.zakupki.prom.ua/remote/dispatcher/state_purchase_view/24931182" TargetMode="External"/><Relationship Id="rId89" Type="http://schemas.openxmlformats.org/officeDocument/2006/relationships/hyperlink" Target="https://my.zakupki.prom.ua/remote/dispatcher/state_purchase_view/11169233" TargetMode="External"/><Relationship Id="rId154" Type="http://schemas.openxmlformats.org/officeDocument/2006/relationships/hyperlink" Target="https://my.zakupki.prom.ua/remote/dispatcher/state_purchase_view/17393155" TargetMode="External"/><Relationship Id="rId361" Type="http://schemas.openxmlformats.org/officeDocument/2006/relationships/hyperlink" Target="https://my.zakupki.prom.ua/remote/dispatcher/state_purchase_view/9064052" TargetMode="External"/><Relationship Id="rId599" Type="http://schemas.openxmlformats.org/officeDocument/2006/relationships/hyperlink" Target="https://my.zakupki.prom.ua/remote/dispatcher/state_purchase_view/6672685" TargetMode="External"/><Relationship Id="rId1005" Type="http://schemas.openxmlformats.org/officeDocument/2006/relationships/hyperlink" Target="https://my.zakupki.prom.ua/remote/dispatcher/state_purchase_view/18458594" TargetMode="External"/><Relationship Id="rId459" Type="http://schemas.openxmlformats.org/officeDocument/2006/relationships/hyperlink" Target="https://my.zakupki.prom.ua/remote/dispatcher/state_purchase_view/13765118" TargetMode="External"/><Relationship Id="rId666" Type="http://schemas.openxmlformats.org/officeDocument/2006/relationships/hyperlink" Target="https://my.zakupki.prom.ua/remote/dispatcher/state_purchase_view/3726642" TargetMode="External"/><Relationship Id="rId873" Type="http://schemas.openxmlformats.org/officeDocument/2006/relationships/hyperlink" Target="https://my.zakupki.prom.ua/remote/dispatcher/state_purchase_view/19279003" TargetMode="External"/><Relationship Id="rId1089" Type="http://schemas.openxmlformats.org/officeDocument/2006/relationships/hyperlink" Target="https://my.zakupki.prom.ua/remote/dispatcher/state_purchase_view/27809293" TargetMode="External"/><Relationship Id="rId16" Type="http://schemas.openxmlformats.org/officeDocument/2006/relationships/hyperlink" Target="https://my.zakupki.prom.ua/remote/dispatcher/state_purchase_view/1035230" TargetMode="External"/><Relationship Id="rId221" Type="http://schemas.openxmlformats.org/officeDocument/2006/relationships/hyperlink" Target="https://my.zakupki.prom.ua/remote/dispatcher/state_purchase_view/2618437" TargetMode="External"/><Relationship Id="rId319" Type="http://schemas.openxmlformats.org/officeDocument/2006/relationships/hyperlink" Target="https://my.zakupki.prom.ua/remote/dispatcher/state_purchase_view/3351717" TargetMode="External"/><Relationship Id="rId526" Type="http://schemas.openxmlformats.org/officeDocument/2006/relationships/hyperlink" Target="https://my.zakupki.prom.ua/remote/dispatcher/state_purchase_view/24596874" TargetMode="External"/><Relationship Id="rId1156" Type="http://schemas.openxmlformats.org/officeDocument/2006/relationships/hyperlink" Target="https://my.zakupki.prom.ua/remote/dispatcher/state_purchase_view/32871258" TargetMode="External"/><Relationship Id="rId733" Type="http://schemas.openxmlformats.org/officeDocument/2006/relationships/hyperlink" Target="https://my.zakupki.prom.ua/remote/dispatcher/state_purchase_view/18526632" TargetMode="External"/><Relationship Id="rId940" Type="http://schemas.openxmlformats.org/officeDocument/2006/relationships/hyperlink" Target="https://my.zakupki.prom.ua/remote/dispatcher/state_purchase_view/23113220" TargetMode="External"/><Relationship Id="rId1016" Type="http://schemas.openxmlformats.org/officeDocument/2006/relationships/hyperlink" Target="https://my.zakupki.prom.ua/remote/dispatcher/state_purchase_view/31368941" TargetMode="External"/><Relationship Id="rId165" Type="http://schemas.openxmlformats.org/officeDocument/2006/relationships/hyperlink" Target="https://my.zakupki.prom.ua/remote/dispatcher/state_purchase_view/4221458" TargetMode="External"/><Relationship Id="rId372" Type="http://schemas.openxmlformats.org/officeDocument/2006/relationships/hyperlink" Target="https://my.zakupki.prom.ua/remote/dispatcher/state_purchase_view/9097566" TargetMode="External"/><Relationship Id="rId677" Type="http://schemas.openxmlformats.org/officeDocument/2006/relationships/hyperlink" Target="https://my.zakupki.prom.ua/remote/dispatcher/state_purchase_view/16122191" TargetMode="External"/><Relationship Id="rId800" Type="http://schemas.openxmlformats.org/officeDocument/2006/relationships/hyperlink" Target="https://my.zakupki.prom.ua/remote/dispatcher/state_purchase_view/29906572" TargetMode="External"/><Relationship Id="rId232" Type="http://schemas.openxmlformats.org/officeDocument/2006/relationships/hyperlink" Target="https://my.zakupki.prom.ua/remote/dispatcher/state_purchase_view/920305" TargetMode="External"/><Relationship Id="rId884" Type="http://schemas.openxmlformats.org/officeDocument/2006/relationships/hyperlink" Target="https://my.zakupki.prom.ua/remote/dispatcher/state_purchase_view/31591982" TargetMode="External"/><Relationship Id="rId27" Type="http://schemas.openxmlformats.org/officeDocument/2006/relationships/hyperlink" Target="https://my.zakupki.prom.ua/remote/dispatcher/state_purchase_view/5125793" TargetMode="External"/><Relationship Id="rId537" Type="http://schemas.openxmlformats.org/officeDocument/2006/relationships/hyperlink" Target="https://my.zakupki.prom.ua/remote/dispatcher/state_purchase_view/4102056" TargetMode="External"/><Relationship Id="rId744" Type="http://schemas.openxmlformats.org/officeDocument/2006/relationships/hyperlink" Target="https://my.zakupki.prom.ua/remote/dispatcher/state_purchase_view/1828955" TargetMode="External"/><Relationship Id="rId951" Type="http://schemas.openxmlformats.org/officeDocument/2006/relationships/hyperlink" Target="https://my.zakupki.prom.ua/remote/dispatcher/state_purchase_view/20460619" TargetMode="External"/><Relationship Id="rId80" Type="http://schemas.openxmlformats.org/officeDocument/2006/relationships/hyperlink" Target="https://my.zakupki.prom.ua/remote/dispatcher/state_purchase_view/7773791" TargetMode="External"/><Relationship Id="rId176" Type="http://schemas.openxmlformats.org/officeDocument/2006/relationships/hyperlink" Target="https://my.zakupki.prom.ua/remote/dispatcher/state_purchase_view/3438344" TargetMode="External"/><Relationship Id="rId383" Type="http://schemas.openxmlformats.org/officeDocument/2006/relationships/hyperlink" Target="https://my.zakupki.prom.ua/remote/dispatcher/state_purchase_view/10654407" TargetMode="External"/><Relationship Id="rId590" Type="http://schemas.openxmlformats.org/officeDocument/2006/relationships/hyperlink" Target="https://my.zakupki.prom.ua/remote/dispatcher/state_purchase_view/737539" TargetMode="External"/><Relationship Id="rId604" Type="http://schemas.openxmlformats.org/officeDocument/2006/relationships/hyperlink" Target="https://my.zakupki.prom.ua/remote/dispatcher/state_purchase_view/9109592" TargetMode="External"/><Relationship Id="rId811" Type="http://schemas.openxmlformats.org/officeDocument/2006/relationships/hyperlink" Target="https://my.zakupki.prom.ua/remote/dispatcher/state_purchase_view/23050828" TargetMode="External"/><Relationship Id="rId1027" Type="http://schemas.openxmlformats.org/officeDocument/2006/relationships/hyperlink" Target="https://my.zakupki.prom.ua/remote/dispatcher/state_purchase_view/32161270" TargetMode="External"/><Relationship Id="rId243" Type="http://schemas.openxmlformats.org/officeDocument/2006/relationships/hyperlink" Target="https://my.zakupki.prom.ua/remote/dispatcher/state_purchase_view/6560704" TargetMode="External"/><Relationship Id="rId450" Type="http://schemas.openxmlformats.org/officeDocument/2006/relationships/hyperlink" Target="https://my.zakupki.prom.ua/remote/dispatcher/state_purchase_view/8964973" TargetMode="External"/><Relationship Id="rId688" Type="http://schemas.openxmlformats.org/officeDocument/2006/relationships/hyperlink" Target="https://my.zakupki.prom.ua/remote/dispatcher/state_purchase_view/3351892" TargetMode="External"/><Relationship Id="rId895" Type="http://schemas.openxmlformats.org/officeDocument/2006/relationships/hyperlink" Target="https://my.zakupki.prom.ua/remote/dispatcher/state_purchase_view/23535466" TargetMode="External"/><Relationship Id="rId909" Type="http://schemas.openxmlformats.org/officeDocument/2006/relationships/hyperlink" Target="https://my.zakupki.prom.ua/remote/dispatcher/state_purchase_view/32605843" TargetMode="External"/><Relationship Id="rId1080" Type="http://schemas.openxmlformats.org/officeDocument/2006/relationships/hyperlink" Target="https://my.zakupki.prom.ua/remote/dispatcher/state_purchase_view/24072784" TargetMode="External"/><Relationship Id="rId38" Type="http://schemas.openxmlformats.org/officeDocument/2006/relationships/hyperlink" Target="https://my.zakupki.prom.ua/remote/dispatcher/state_purchase_view/4043813" TargetMode="External"/><Relationship Id="rId103" Type="http://schemas.openxmlformats.org/officeDocument/2006/relationships/hyperlink" Target="https://my.zakupki.prom.ua/remote/dispatcher/state_purchase_view/15216256" TargetMode="External"/><Relationship Id="rId310" Type="http://schemas.openxmlformats.org/officeDocument/2006/relationships/hyperlink" Target="https://my.zakupki.prom.ua/remote/dispatcher/state_purchase_view/10723889" TargetMode="External"/><Relationship Id="rId548" Type="http://schemas.openxmlformats.org/officeDocument/2006/relationships/hyperlink" Target="https://my.zakupki.prom.ua/remote/dispatcher/state_purchase_view/7563048" TargetMode="External"/><Relationship Id="rId755" Type="http://schemas.openxmlformats.org/officeDocument/2006/relationships/hyperlink" Target="https://my.zakupki.prom.ua/remote/dispatcher/state_purchase_view/8302848" TargetMode="External"/><Relationship Id="rId962" Type="http://schemas.openxmlformats.org/officeDocument/2006/relationships/hyperlink" Target="https://my.zakupki.prom.ua/remote/dispatcher/state_purchase_view/25403839" TargetMode="External"/><Relationship Id="rId91" Type="http://schemas.openxmlformats.org/officeDocument/2006/relationships/hyperlink" Target="https://my.zakupki.prom.ua/remote/dispatcher/state_purchase_view/12660669" TargetMode="External"/><Relationship Id="rId187" Type="http://schemas.openxmlformats.org/officeDocument/2006/relationships/hyperlink" Target="https://my.zakupki.prom.ua/remote/dispatcher/state_purchase_view/1763203" TargetMode="External"/><Relationship Id="rId394" Type="http://schemas.openxmlformats.org/officeDocument/2006/relationships/hyperlink" Target="https://my.zakupki.prom.ua/remote/dispatcher/state_purchase_view/3837444" TargetMode="External"/><Relationship Id="rId408" Type="http://schemas.openxmlformats.org/officeDocument/2006/relationships/hyperlink" Target="https://my.zakupki.prom.ua/remote/dispatcher/state_purchase_view/4767898" TargetMode="External"/><Relationship Id="rId615" Type="http://schemas.openxmlformats.org/officeDocument/2006/relationships/hyperlink" Target="https://my.zakupki.prom.ua/remote/dispatcher/state_purchase_view/12121265" TargetMode="External"/><Relationship Id="rId822" Type="http://schemas.openxmlformats.org/officeDocument/2006/relationships/hyperlink" Target="https://my.zakupki.prom.ua/remote/dispatcher/state_purchase_view/29241341" TargetMode="External"/><Relationship Id="rId1038" Type="http://schemas.openxmlformats.org/officeDocument/2006/relationships/hyperlink" Target="https://my.zakupki.prom.ua/remote/dispatcher/state_purchase_view/33042387" TargetMode="External"/><Relationship Id="rId254" Type="http://schemas.openxmlformats.org/officeDocument/2006/relationships/hyperlink" Target="https://my.zakupki.prom.ua/remote/dispatcher/state_purchase_view/15782215" TargetMode="External"/><Relationship Id="rId699" Type="http://schemas.openxmlformats.org/officeDocument/2006/relationships/hyperlink" Target="https://my.zakupki.prom.ua/remote/dispatcher/state_purchase_view/1352191" TargetMode="External"/><Relationship Id="rId1091" Type="http://schemas.openxmlformats.org/officeDocument/2006/relationships/hyperlink" Target="https://my.zakupki.prom.ua/remote/dispatcher/state_purchase_view/31381237" TargetMode="External"/><Relationship Id="rId1105" Type="http://schemas.openxmlformats.org/officeDocument/2006/relationships/hyperlink" Target="https://my.zakupki.prom.ua/remote/dispatcher/state_purchase_view/24255686" TargetMode="External"/><Relationship Id="rId49" Type="http://schemas.openxmlformats.org/officeDocument/2006/relationships/hyperlink" Target="https://my.zakupki.prom.ua/remote/dispatcher/state_purchase_view/16098831" TargetMode="External"/><Relationship Id="rId114" Type="http://schemas.openxmlformats.org/officeDocument/2006/relationships/hyperlink" Target="https://my.zakupki.prom.ua/remote/dispatcher/state_purchase_view/12254609" TargetMode="External"/><Relationship Id="rId461" Type="http://schemas.openxmlformats.org/officeDocument/2006/relationships/hyperlink" Target="https://my.zakupki.prom.ua/remote/dispatcher/state_purchase_view/15207509" TargetMode="External"/><Relationship Id="rId559" Type="http://schemas.openxmlformats.org/officeDocument/2006/relationships/hyperlink" Target="https://my.zakupki.prom.ua/remote/dispatcher/state_purchase_view/14609797" TargetMode="External"/><Relationship Id="rId766" Type="http://schemas.openxmlformats.org/officeDocument/2006/relationships/hyperlink" Target="https://my.zakupki.prom.ua/remote/dispatcher/state_purchase_view/13221958" TargetMode="External"/><Relationship Id="rId198" Type="http://schemas.openxmlformats.org/officeDocument/2006/relationships/hyperlink" Target="https://my.zakupki.prom.ua/remote/dispatcher/state_purchase_view/16698717" TargetMode="External"/><Relationship Id="rId321" Type="http://schemas.openxmlformats.org/officeDocument/2006/relationships/hyperlink" Target="https://my.zakupki.prom.ua/remote/dispatcher/state_purchase_view/3487408" TargetMode="External"/><Relationship Id="rId419" Type="http://schemas.openxmlformats.org/officeDocument/2006/relationships/hyperlink" Target="https://my.zakupki.prom.ua/remote/dispatcher/state_purchase_view/7973698" TargetMode="External"/><Relationship Id="rId626" Type="http://schemas.openxmlformats.org/officeDocument/2006/relationships/hyperlink" Target="https://my.zakupki.prom.ua/remote/dispatcher/state_purchase_view/10798601" TargetMode="External"/><Relationship Id="rId973" Type="http://schemas.openxmlformats.org/officeDocument/2006/relationships/hyperlink" Target="https://my.zakupki.prom.ua/remote/dispatcher/state_purchase_view/15300355" TargetMode="External"/><Relationship Id="rId1049" Type="http://schemas.openxmlformats.org/officeDocument/2006/relationships/hyperlink" Target="https://my.zakupki.prom.ua/remote/dispatcher/state_purchase_view/19093934" TargetMode="External"/><Relationship Id="rId833" Type="http://schemas.openxmlformats.org/officeDocument/2006/relationships/hyperlink" Target="https://my.zakupki.prom.ua/remote/dispatcher/state_purchase_view/16263049" TargetMode="External"/><Relationship Id="rId1116" Type="http://schemas.openxmlformats.org/officeDocument/2006/relationships/hyperlink" Target="https://my.zakupki.prom.ua/remote/dispatcher/state_purchase_view/27070655" TargetMode="External"/><Relationship Id="rId265" Type="http://schemas.openxmlformats.org/officeDocument/2006/relationships/hyperlink" Target="https://my.zakupki.prom.ua/remote/dispatcher/state_purchase_view/17334329" TargetMode="External"/><Relationship Id="rId472" Type="http://schemas.openxmlformats.org/officeDocument/2006/relationships/hyperlink" Target="https://my.zakupki.prom.ua/remote/dispatcher/state_purchase_view/13016862" TargetMode="External"/><Relationship Id="rId900" Type="http://schemas.openxmlformats.org/officeDocument/2006/relationships/hyperlink" Target="https://my.zakupki.prom.ua/remote/dispatcher/state_purchase_view/24006207" TargetMode="External"/><Relationship Id="rId125" Type="http://schemas.openxmlformats.org/officeDocument/2006/relationships/hyperlink" Target="https://my.zakupki.prom.ua/remote/dispatcher/state_purchase_view/10986908" TargetMode="External"/><Relationship Id="rId332" Type="http://schemas.openxmlformats.org/officeDocument/2006/relationships/hyperlink" Target="https://my.zakupki.prom.ua/remote/dispatcher/state_purchase_view/1023360" TargetMode="External"/><Relationship Id="rId777" Type="http://schemas.openxmlformats.org/officeDocument/2006/relationships/hyperlink" Target="https://my.zakupki.prom.ua/remote/dispatcher/state_purchase_view/12167209" TargetMode="External"/><Relationship Id="rId984" Type="http://schemas.openxmlformats.org/officeDocument/2006/relationships/hyperlink" Target="https://my.zakupki.prom.ua/remote/dispatcher/state_purchase_view/23998588" TargetMode="External"/><Relationship Id="rId637" Type="http://schemas.openxmlformats.org/officeDocument/2006/relationships/hyperlink" Target="https://my.zakupki.prom.ua/remote/dispatcher/state_purchase_view/8045763" TargetMode="External"/><Relationship Id="rId844" Type="http://schemas.openxmlformats.org/officeDocument/2006/relationships/hyperlink" Target="https://my.zakupki.prom.ua/remote/dispatcher/state_purchase_view/19650919" TargetMode="External"/><Relationship Id="rId276" Type="http://schemas.openxmlformats.org/officeDocument/2006/relationships/hyperlink" Target="https://my.zakupki.prom.ua/remote/dispatcher/state_purchase_view/3682995" TargetMode="External"/><Relationship Id="rId483" Type="http://schemas.openxmlformats.org/officeDocument/2006/relationships/hyperlink" Target="https://my.zakupki.prom.ua/remote/dispatcher/state_purchase_view/3768663" TargetMode="External"/><Relationship Id="rId690" Type="http://schemas.openxmlformats.org/officeDocument/2006/relationships/hyperlink" Target="https://my.zakupki.prom.ua/remote/dispatcher/state_purchase_view/3417512" TargetMode="External"/><Relationship Id="rId704" Type="http://schemas.openxmlformats.org/officeDocument/2006/relationships/hyperlink" Target="https://my.zakupki.prom.ua/remote/dispatcher/state_purchase_view/8617734" TargetMode="External"/><Relationship Id="rId911" Type="http://schemas.openxmlformats.org/officeDocument/2006/relationships/hyperlink" Target="https://my.zakupki.prom.ua/remote/dispatcher/state_purchase_view/31487593" TargetMode="External"/><Relationship Id="rId1127" Type="http://schemas.openxmlformats.org/officeDocument/2006/relationships/hyperlink" Target="https://my.zakupki.prom.ua/remote/dispatcher/state_purchase_view/28961780" TargetMode="External"/><Relationship Id="rId40" Type="http://schemas.openxmlformats.org/officeDocument/2006/relationships/hyperlink" Target="https://my.zakupki.prom.ua/remote/dispatcher/state_purchase_view/2221788" TargetMode="External"/><Relationship Id="rId136" Type="http://schemas.openxmlformats.org/officeDocument/2006/relationships/hyperlink" Target="https://my.zakupki.prom.ua/remote/dispatcher/state_purchase_view/4225590" TargetMode="External"/><Relationship Id="rId343" Type="http://schemas.openxmlformats.org/officeDocument/2006/relationships/hyperlink" Target="https://my.zakupki.prom.ua/remote/dispatcher/state_purchase_view/7562071" TargetMode="External"/><Relationship Id="rId550" Type="http://schemas.openxmlformats.org/officeDocument/2006/relationships/hyperlink" Target="https://my.zakupki.prom.ua/remote/dispatcher/state_purchase_view/6612072" TargetMode="External"/><Relationship Id="rId788" Type="http://schemas.openxmlformats.org/officeDocument/2006/relationships/hyperlink" Target="https://my.zakupki.prom.ua/remote/dispatcher/state_purchase_view/18903992" TargetMode="External"/><Relationship Id="rId995" Type="http://schemas.openxmlformats.org/officeDocument/2006/relationships/hyperlink" Target="https://my.zakupki.prom.ua/remote/dispatcher/state_purchase_view/27770638" TargetMode="External"/><Relationship Id="rId203" Type="http://schemas.openxmlformats.org/officeDocument/2006/relationships/hyperlink" Target="https://my.zakupki.prom.ua/remote/dispatcher/state_purchase_view/14926451" TargetMode="External"/><Relationship Id="rId648" Type="http://schemas.openxmlformats.org/officeDocument/2006/relationships/hyperlink" Target="https://my.zakupki.prom.ua/remote/dispatcher/state_purchase_view/8655522" TargetMode="External"/><Relationship Id="rId855" Type="http://schemas.openxmlformats.org/officeDocument/2006/relationships/hyperlink" Target="https://my.zakupki.prom.ua/remote/dispatcher/state_purchase_view/29906735" TargetMode="External"/><Relationship Id="rId1040" Type="http://schemas.openxmlformats.org/officeDocument/2006/relationships/hyperlink" Target="https://my.zakupki.prom.ua/remote/dispatcher/state_purchase_view/9076705" TargetMode="External"/><Relationship Id="rId287" Type="http://schemas.openxmlformats.org/officeDocument/2006/relationships/hyperlink" Target="https://my.zakupki.prom.ua/remote/dispatcher/state_purchase_view/6974077" TargetMode="External"/><Relationship Id="rId410" Type="http://schemas.openxmlformats.org/officeDocument/2006/relationships/hyperlink" Target="https://my.zakupki.prom.ua/remote/dispatcher/state_purchase_view/6472507" TargetMode="External"/><Relationship Id="rId494" Type="http://schemas.openxmlformats.org/officeDocument/2006/relationships/hyperlink" Target="https://my.zakupki.prom.ua/remote/dispatcher/state_purchase_view/1786354" TargetMode="External"/><Relationship Id="rId508" Type="http://schemas.openxmlformats.org/officeDocument/2006/relationships/hyperlink" Target="https://my.zakupki.prom.ua/remote/dispatcher/state_purchase_view/11468968" TargetMode="External"/><Relationship Id="rId715" Type="http://schemas.openxmlformats.org/officeDocument/2006/relationships/hyperlink" Target="https://my.zakupki.prom.ua/remote/dispatcher/state_purchase_view/11538455" TargetMode="External"/><Relationship Id="rId922" Type="http://schemas.openxmlformats.org/officeDocument/2006/relationships/hyperlink" Target="https://my.zakupki.prom.ua/remote/dispatcher/state_purchase_view/18183811" TargetMode="External"/><Relationship Id="rId1138" Type="http://schemas.openxmlformats.org/officeDocument/2006/relationships/hyperlink" Target="https://my.zakupki.prom.ua/remote/dispatcher/state_purchase_view/18942551" TargetMode="External"/><Relationship Id="rId147" Type="http://schemas.openxmlformats.org/officeDocument/2006/relationships/hyperlink" Target="https://my.zakupki.prom.ua/remote/dispatcher/state_purchase_view/7446063" TargetMode="External"/><Relationship Id="rId354" Type="http://schemas.openxmlformats.org/officeDocument/2006/relationships/hyperlink" Target="https://my.zakupki.prom.ua/remote/dispatcher/state_purchase_view/14701371" TargetMode="External"/><Relationship Id="rId799" Type="http://schemas.openxmlformats.org/officeDocument/2006/relationships/hyperlink" Target="https://my.zakupki.prom.ua/remote/dispatcher/state_purchase_view/28722155" TargetMode="External"/><Relationship Id="rId51" Type="http://schemas.openxmlformats.org/officeDocument/2006/relationships/hyperlink" Target="https://my.zakupki.prom.ua/remote/dispatcher/state_purchase_view/15489141" TargetMode="External"/><Relationship Id="rId561" Type="http://schemas.openxmlformats.org/officeDocument/2006/relationships/hyperlink" Target="https://my.zakupki.prom.ua/remote/dispatcher/state_purchase_view/14955984" TargetMode="External"/><Relationship Id="rId659" Type="http://schemas.openxmlformats.org/officeDocument/2006/relationships/hyperlink" Target="https://my.zakupki.prom.ua/remote/dispatcher/state_purchase_view/6601033" TargetMode="External"/><Relationship Id="rId866" Type="http://schemas.openxmlformats.org/officeDocument/2006/relationships/hyperlink" Target="https://my.zakupki.prom.ua/remote/dispatcher/state_purchase_view/11961436" TargetMode="External"/><Relationship Id="rId214" Type="http://schemas.openxmlformats.org/officeDocument/2006/relationships/hyperlink" Target="https://my.zakupki.prom.ua/remote/dispatcher/state_purchase_view/11663417" TargetMode="External"/><Relationship Id="rId298" Type="http://schemas.openxmlformats.org/officeDocument/2006/relationships/hyperlink" Target="https://my.zakupki.prom.ua/remote/dispatcher/state_purchase_view/10933735" TargetMode="External"/><Relationship Id="rId421" Type="http://schemas.openxmlformats.org/officeDocument/2006/relationships/hyperlink" Target="https://my.zakupki.prom.ua/remote/dispatcher/state_purchase_view/6512188" TargetMode="External"/><Relationship Id="rId519" Type="http://schemas.openxmlformats.org/officeDocument/2006/relationships/hyperlink" Target="https://my.zakupki.prom.ua/remote/dispatcher/state_purchase_view/14054750" TargetMode="External"/><Relationship Id="rId1051" Type="http://schemas.openxmlformats.org/officeDocument/2006/relationships/hyperlink" Target="https://my.zakupki.prom.ua/remote/dispatcher/state_purchase_view/19103614" TargetMode="External"/><Relationship Id="rId1149" Type="http://schemas.openxmlformats.org/officeDocument/2006/relationships/hyperlink" Target="https://my.zakupki.prom.ua/remote/dispatcher/state_purchase_view/29775254" TargetMode="External"/><Relationship Id="rId158" Type="http://schemas.openxmlformats.org/officeDocument/2006/relationships/hyperlink" Target="https://my.zakupki.prom.ua/remote/dispatcher/state_purchase_view/16058300" TargetMode="External"/><Relationship Id="rId726" Type="http://schemas.openxmlformats.org/officeDocument/2006/relationships/hyperlink" Target="https://my.zakupki.prom.ua/remote/dispatcher/state_purchase_view/15926680" TargetMode="External"/><Relationship Id="rId933" Type="http://schemas.openxmlformats.org/officeDocument/2006/relationships/hyperlink" Target="https://my.zakupki.prom.ua/remote/dispatcher/state_purchase_view/26239185" TargetMode="External"/><Relationship Id="rId1009" Type="http://schemas.openxmlformats.org/officeDocument/2006/relationships/hyperlink" Target="https://my.zakupki.prom.ua/remote/dispatcher/state_purchase_view/29782473" TargetMode="External"/><Relationship Id="rId62" Type="http://schemas.openxmlformats.org/officeDocument/2006/relationships/hyperlink" Target="https://my.zakupki.prom.ua/remote/dispatcher/state_purchase_view/4503205" TargetMode="External"/><Relationship Id="rId365" Type="http://schemas.openxmlformats.org/officeDocument/2006/relationships/hyperlink" Target="https://my.zakupki.prom.ua/remote/dispatcher/state_purchase_view/10010872" TargetMode="External"/><Relationship Id="rId572" Type="http://schemas.openxmlformats.org/officeDocument/2006/relationships/hyperlink" Target="https://my.zakupki.prom.ua/remote/dispatcher/state_purchase_view/20031650" TargetMode="External"/><Relationship Id="rId225" Type="http://schemas.openxmlformats.org/officeDocument/2006/relationships/hyperlink" Target="https://my.zakupki.prom.ua/remote/dispatcher/state_purchase_view/4301354" TargetMode="External"/><Relationship Id="rId432" Type="http://schemas.openxmlformats.org/officeDocument/2006/relationships/hyperlink" Target="https://my.zakupki.prom.ua/remote/dispatcher/state_purchase_view/3682023" TargetMode="External"/><Relationship Id="rId877" Type="http://schemas.openxmlformats.org/officeDocument/2006/relationships/hyperlink" Target="https://my.zakupki.prom.ua/remote/dispatcher/state_purchase_view/24112013" TargetMode="External"/><Relationship Id="rId1062" Type="http://schemas.openxmlformats.org/officeDocument/2006/relationships/hyperlink" Target="https://my.zakupki.prom.ua/remote/dispatcher/state_purchase_view/25511538" TargetMode="External"/><Relationship Id="rId737" Type="http://schemas.openxmlformats.org/officeDocument/2006/relationships/hyperlink" Target="https://my.zakupki.prom.ua/remote/dispatcher/state_purchase_view/599568" TargetMode="External"/><Relationship Id="rId944" Type="http://schemas.openxmlformats.org/officeDocument/2006/relationships/hyperlink" Target="https://my.zakupki.prom.ua/remote/dispatcher/state_purchase_view/11127974" TargetMode="External"/><Relationship Id="rId73" Type="http://schemas.openxmlformats.org/officeDocument/2006/relationships/hyperlink" Target="https://my.zakupki.prom.ua/remote/dispatcher/state_purchase_view/6911072" TargetMode="External"/><Relationship Id="rId169" Type="http://schemas.openxmlformats.org/officeDocument/2006/relationships/hyperlink" Target="https://my.zakupki.prom.ua/remote/dispatcher/state_purchase_view/2766502" TargetMode="External"/><Relationship Id="rId376" Type="http://schemas.openxmlformats.org/officeDocument/2006/relationships/hyperlink" Target="https://my.zakupki.prom.ua/remote/dispatcher/state_purchase_view/11280736" TargetMode="External"/><Relationship Id="rId583" Type="http://schemas.openxmlformats.org/officeDocument/2006/relationships/hyperlink" Target="https://my.zakupki.prom.ua/remote/dispatcher/state_purchase_view/3611776" TargetMode="External"/><Relationship Id="rId790" Type="http://schemas.openxmlformats.org/officeDocument/2006/relationships/hyperlink" Target="https://my.zakupki.prom.ua/remote/dispatcher/state_purchase_view/24289954" TargetMode="External"/><Relationship Id="rId804" Type="http://schemas.openxmlformats.org/officeDocument/2006/relationships/hyperlink" Target="https://my.zakupki.prom.ua/remote/dispatcher/state_purchase_view/32986238" TargetMode="External"/><Relationship Id="rId4" Type="http://schemas.openxmlformats.org/officeDocument/2006/relationships/hyperlink" Target="https://my.zakupki.prom.ua/remote/dispatcher/state_purchase_view/7985639" TargetMode="External"/><Relationship Id="rId236" Type="http://schemas.openxmlformats.org/officeDocument/2006/relationships/hyperlink" Target="https://my.zakupki.prom.ua/remote/dispatcher/state_purchase_view/1100947" TargetMode="External"/><Relationship Id="rId443" Type="http://schemas.openxmlformats.org/officeDocument/2006/relationships/hyperlink" Target="https://my.zakupki.prom.ua/remote/dispatcher/state_purchase_view/3684524" TargetMode="External"/><Relationship Id="rId650" Type="http://schemas.openxmlformats.org/officeDocument/2006/relationships/hyperlink" Target="https://my.zakupki.prom.ua/remote/dispatcher/state_purchase_view/8414351" TargetMode="External"/><Relationship Id="rId888" Type="http://schemas.openxmlformats.org/officeDocument/2006/relationships/hyperlink" Target="https://my.zakupki.prom.ua/remote/dispatcher/state_purchase_view/33212191" TargetMode="External"/><Relationship Id="rId1073" Type="http://schemas.openxmlformats.org/officeDocument/2006/relationships/hyperlink" Target="https://my.zakupki.prom.ua/remote/dispatcher/state_purchase_view/30994713" TargetMode="External"/><Relationship Id="rId303" Type="http://schemas.openxmlformats.org/officeDocument/2006/relationships/hyperlink" Target="https://my.zakupki.prom.ua/remote/dispatcher/state_purchase_view/14445963" TargetMode="External"/><Relationship Id="rId748" Type="http://schemas.openxmlformats.org/officeDocument/2006/relationships/hyperlink" Target="https://my.zakupki.prom.ua/remote/dispatcher/state_purchase_view/4559185" TargetMode="External"/><Relationship Id="rId955" Type="http://schemas.openxmlformats.org/officeDocument/2006/relationships/hyperlink" Target="https://my.zakupki.prom.ua/remote/dispatcher/state_purchase_view/21671249" TargetMode="External"/><Relationship Id="rId1140" Type="http://schemas.openxmlformats.org/officeDocument/2006/relationships/hyperlink" Target="https://my.zakupki.prom.ua/remote/dispatcher/state_purchase_view/23524686" TargetMode="External"/><Relationship Id="rId84" Type="http://schemas.openxmlformats.org/officeDocument/2006/relationships/hyperlink" Target="https://my.zakupki.prom.ua/remote/dispatcher/state_purchase_view/4473716" TargetMode="External"/><Relationship Id="rId387" Type="http://schemas.openxmlformats.org/officeDocument/2006/relationships/hyperlink" Target="https://my.zakupki.prom.ua/remote/dispatcher/state_purchase_view/2584310" TargetMode="External"/><Relationship Id="rId510" Type="http://schemas.openxmlformats.org/officeDocument/2006/relationships/hyperlink" Target="https://my.zakupki.prom.ua/remote/dispatcher/state_purchase_view/9448067" TargetMode="External"/><Relationship Id="rId594" Type="http://schemas.openxmlformats.org/officeDocument/2006/relationships/hyperlink" Target="https://my.zakupki.prom.ua/remote/dispatcher/state_purchase_view/7276155" TargetMode="External"/><Relationship Id="rId608" Type="http://schemas.openxmlformats.org/officeDocument/2006/relationships/hyperlink" Target="https://my.zakupki.prom.ua/remote/dispatcher/state_purchase_view/9688860" TargetMode="External"/><Relationship Id="rId815" Type="http://schemas.openxmlformats.org/officeDocument/2006/relationships/hyperlink" Target="https://my.zakupki.prom.ua/remote/dispatcher/state_purchase_view/25515345" TargetMode="External"/><Relationship Id="rId247" Type="http://schemas.openxmlformats.org/officeDocument/2006/relationships/hyperlink" Target="https://my.zakupki.prom.ua/remote/dispatcher/state_purchase_view/11793642" TargetMode="External"/><Relationship Id="rId899" Type="http://schemas.openxmlformats.org/officeDocument/2006/relationships/hyperlink" Target="https://my.zakupki.prom.ua/remote/dispatcher/state_purchase_view/24249625" TargetMode="External"/><Relationship Id="rId1000" Type="http://schemas.openxmlformats.org/officeDocument/2006/relationships/hyperlink" Target="https://my.zakupki.prom.ua/remote/dispatcher/state_purchase_view/19656341" TargetMode="External"/><Relationship Id="rId1084" Type="http://schemas.openxmlformats.org/officeDocument/2006/relationships/hyperlink" Target="https://my.zakupki.prom.ua/remote/dispatcher/state_purchase_view/26947199" TargetMode="External"/><Relationship Id="rId107" Type="http://schemas.openxmlformats.org/officeDocument/2006/relationships/hyperlink" Target="https://my.zakupki.prom.ua/remote/dispatcher/state_purchase_view/979209" TargetMode="External"/><Relationship Id="rId454" Type="http://schemas.openxmlformats.org/officeDocument/2006/relationships/hyperlink" Target="https://my.zakupki.prom.ua/remote/dispatcher/state_purchase_view/13242531" TargetMode="External"/><Relationship Id="rId661" Type="http://schemas.openxmlformats.org/officeDocument/2006/relationships/hyperlink" Target="https://my.zakupki.prom.ua/remote/dispatcher/state_purchase_view/2879927" TargetMode="External"/><Relationship Id="rId759" Type="http://schemas.openxmlformats.org/officeDocument/2006/relationships/hyperlink" Target="https://my.zakupki.prom.ua/remote/dispatcher/state_purchase_view/6972305" TargetMode="External"/><Relationship Id="rId966" Type="http://schemas.openxmlformats.org/officeDocument/2006/relationships/hyperlink" Target="https://my.zakupki.prom.ua/remote/dispatcher/state_purchase_view/30913037" TargetMode="External"/><Relationship Id="rId11" Type="http://schemas.openxmlformats.org/officeDocument/2006/relationships/hyperlink" Target="https://my.zakupki.prom.ua/remote/dispatcher/state_purchase_view/10793167" TargetMode="External"/><Relationship Id="rId314" Type="http://schemas.openxmlformats.org/officeDocument/2006/relationships/hyperlink" Target="https://my.zakupki.prom.ua/remote/dispatcher/state_purchase_view/16369988" TargetMode="External"/><Relationship Id="rId398" Type="http://schemas.openxmlformats.org/officeDocument/2006/relationships/hyperlink" Target="https://my.zakupki.prom.ua/remote/dispatcher/state_purchase_view/13195527" TargetMode="External"/><Relationship Id="rId521" Type="http://schemas.openxmlformats.org/officeDocument/2006/relationships/hyperlink" Target="https://my.zakupki.prom.ua/remote/dispatcher/state_purchase_view/10762353" TargetMode="External"/><Relationship Id="rId619" Type="http://schemas.openxmlformats.org/officeDocument/2006/relationships/hyperlink" Target="https://my.zakupki.prom.ua/remote/dispatcher/state_purchase_view/17361644" TargetMode="External"/><Relationship Id="rId1151" Type="http://schemas.openxmlformats.org/officeDocument/2006/relationships/hyperlink" Target="https://my.zakupki.prom.ua/remote/dispatcher/state_purchase_view/28620037" TargetMode="External"/><Relationship Id="rId95" Type="http://schemas.openxmlformats.org/officeDocument/2006/relationships/hyperlink" Target="https://my.zakupki.prom.ua/remote/dispatcher/state_purchase_view/17392566" TargetMode="External"/><Relationship Id="rId160" Type="http://schemas.openxmlformats.org/officeDocument/2006/relationships/hyperlink" Target="https://my.zakupki.prom.ua/remote/dispatcher/state_purchase_view/3682565" TargetMode="External"/><Relationship Id="rId826" Type="http://schemas.openxmlformats.org/officeDocument/2006/relationships/hyperlink" Target="https://my.zakupki.prom.ua/remote/dispatcher/state_purchase_view/32551811" TargetMode="External"/><Relationship Id="rId1011" Type="http://schemas.openxmlformats.org/officeDocument/2006/relationships/hyperlink" Target="https://my.zakupki.prom.ua/remote/dispatcher/state_purchase_view/33938499" TargetMode="External"/><Relationship Id="rId1109" Type="http://schemas.openxmlformats.org/officeDocument/2006/relationships/hyperlink" Target="https://my.zakupki.prom.ua/remote/dispatcher/state_purchase_view/30123101" TargetMode="External"/><Relationship Id="rId258" Type="http://schemas.openxmlformats.org/officeDocument/2006/relationships/hyperlink" Target="https://my.zakupki.prom.ua/remote/dispatcher/state_purchase_view/15420266" TargetMode="External"/><Relationship Id="rId465" Type="http://schemas.openxmlformats.org/officeDocument/2006/relationships/hyperlink" Target="https://my.zakupki.prom.ua/remote/dispatcher/state_purchase_view/9494972" TargetMode="External"/><Relationship Id="rId672" Type="http://schemas.openxmlformats.org/officeDocument/2006/relationships/hyperlink" Target="https://my.zakupki.prom.ua/remote/dispatcher/state_purchase_view/19655592" TargetMode="External"/><Relationship Id="rId1095" Type="http://schemas.openxmlformats.org/officeDocument/2006/relationships/hyperlink" Target="https://my.zakupki.prom.ua/remote/dispatcher/state_purchase_view/33009406" TargetMode="External"/><Relationship Id="rId22" Type="http://schemas.openxmlformats.org/officeDocument/2006/relationships/hyperlink" Target="https://my.zakupki.prom.ua/remote/dispatcher/state_purchase_view/12644562" TargetMode="External"/><Relationship Id="rId118" Type="http://schemas.openxmlformats.org/officeDocument/2006/relationships/hyperlink" Target="https://my.zakupki.prom.ua/remote/dispatcher/state_purchase_view/12785015" TargetMode="External"/><Relationship Id="rId325" Type="http://schemas.openxmlformats.org/officeDocument/2006/relationships/hyperlink" Target="https://my.zakupki.prom.ua/remote/dispatcher/state_purchase_view/4516541" TargetMode="External"/><Relationship Id="rId532" Type="http://schemas.openxmlformats.org/officeDocument/2006/relationships/hyperlink" Target="https://my.zakupki.prom.ua/remote/dispatcher/state_purchase_view/4221154" TargetMode="External"/><Relationship Id="rId977" Type="http://schemas.openxmlformats.org/officeDocument/2006/relationships/hyperlink" Target="https://my.zakupki.prom.ua/remote/dispatcher/state_purchase_view/14496874" TargetMode="External"/><Relationship Id="rId171" Type="http://schemas.openxmlformats.org/officeDocument/2006/relationships/hyperlink" Target="https://my.zakupki.prom.ua/remote/dispatcher/state_purchase_view/3377081" TargetMode="External"/><Relationship Id="rId837" Type="http://schemas.openxmlformats.org/officeDocument/2006/relationships/hyperlink" Target="https://my.zakupki.prom.ua/remote/dispatcher/state_purchase_view/16873466" TargetMode="External"/><Relationship Id="rId1022" Type="http://schemas.openxmlformats.org/officeDocument/2006/relationships/hyperlink" Target="https://my.zakupki.prom.ua/remote/dispatcher/state_purchase_view/28657667" TargetMode="External"/><Relationship Id="rId269" Type="http://schemas.openxmlformats.org/officeDocument/2006/relationships/hyperlink" Target="https://my.zakupki.prom.ua/remote/dispatcher/state_purchase_view/4975262" TargetMode="External"/><Relationship Id="rId476" Type="http://schemas.openxmlformats.org/officeDocument/2006/relationships/hyperlink" Target="https://my.zakupki.prom.ua/remote/dispatcher/state_purchase_view/2784361" TargetMode="External"/><Relationship Id="rId683" Type="http://schemas.openxmlformats.org/officeDocument/2006/relationships/hyperlink" Target="https://my.zakupki.prom.ua/remote/dispatcher/state_purchase_view/3717474" TargetMode="External"/><Relationship Id="rId890" Type="http://schemas.openxmlformats.org/officeDocument/2006/relationships/hyperlink" Target="https://my.zakupki.prom.ua/remote/dispatcher/state_purchase_view/17352352" TargetMode="External"/><Relationship Id="rId904" Type="http://schemas.openxmlformats.org/officeDocument/2006/relationships/hyperlink" Target="https://my.zakupki.prom.ua/remote/dispatcher/state_purchase_view/24931456" TargetMode="External"/><Relationship Id="rId33" Type="http://schemas.openxmlformats.org/officeDocument/2006/relationships/hyperlink" Target="https://my.zakupki.prom.ua/remote/dispatcher/state_purchase_view/4445980" TargetMode="External"/><Relationship Id="rId129" Type="http://schemas.openxmlformats.org/officeDocument/2006/relationships/hyperlink" Target="https://my.zakupki.prom.ua/remote/dispatcher/state_purchase_view/7878827" TargetMode="External"/><Relationship Id="rId336" Type="http://schemas.openxmlformats.org/officeDocument/2006/relationships/hyperlink" Target="https://my.zakupki.prom.ua/remote/dispatcher/state_purchase_view/3920878" TargetMode="External"/><Relationship Id="rId543" Type="http://schemas.openxmlformats.org/officeDocument/2006/relationships/hyperlink" Target="https://my.zakupki.prom.ua/remote/dispatcher/state_purchase_view/7229886" TargetMode="External"/><Relationship Id="rId988" Type="http://schemas.openxmlformats.org/officeDocument/2006/relationships/hyperlink" Target="https://my.zakupki.prom.ua/remote/dispatcher/state_purchase_view/16261779" TargetMode="External"/><Relationship Id="rId182" Type="http://schemas.openxmlformats.org/officeDocument/2006/relationships/hyperlink" Target="https://my.zakupki.prom.ua/remote/dispatcher/state_purchase_view/748482" TargetMode="External"/><Relationship Id="rId403" Type="http://schemas.openxmlformats.org/officeDocument/2006/relationships/hyperlink" Target="https://my.zakupki.prom.ua/remote/dispatcher/state_purchase_view/751673" TargetMode="External"/><Relationship Id="rId750" Type="http://schemas.openxmlformats.org/officeDocument/2006/relationships/hyperlink" Target="https://my.zakupki.prom.ua/remote/dispatcher/state_purchase_view/6373722" TargetMode="External"/><Relationship Id="rId848" Type="http://schemas.openxmlformats.org/officeDocument/2006/relationships/hyperlink" Target="https://my.zakupki.prom.ua/remote/dispatcher/state_purchase_view/23157375" TargetMode="External"/><Relationship Id="rId1033" Type="http://schemas.openxmlformats.org/officeDocument/2006/relationships/hyperlink" Target="https://my.zakupki.prom.ua/remote/dispatcher/state_purchase_view/30722018" TargetMode="External"/><Relationship Id="rId487" Type="http://schemas.openxmlformats.org/officeDocument/2006/relationships/hyperlink" Target="https://my.zakupki.prom.ua/remote/dispatcher/state_purchase_view/742628" TargetMode="External"/><Relationship Id="rId610" Type="http://schemas.openxmlformats.org/officeDocument/2006/relationships/hyperlink" Target="https://my.zakupki.prom.ua/remote/dispatcher/state_purchase_view/9913204" TargetMode="External"/><Relationship Id="rId694" Type="http://schemas.openxmlformats.org/officeDocument/2006/relationships/hyperlink" Target="https://my.zakupki.prom.ua/remote/dispatcher/state_purchase_view/5238413" TargetMode="External"/><Relationship Id="rId708" Type="http://schemas.openxmlformats.org/officeDocument/2006/relationships/hyperlink" Target="https://my.zakupki.prom.ua/remote/dispatcher/state_purchase_view/9414110" TargetMode="External"/><Relationship Id="rId915" Type="http://schemas.openxmlformats.org/officeDocument/2006/relationships/hyperlink" Target="https://my.zakupki.prom.ua/remote/dispatcher/state_purchase_view/33885187" TargetMode="External"/><Relationship Id="rId347" Type="http://schemas.openxmlformats.org/officeDocument/2006/relationships/hyperlink" Target="https://my.zakupki.prom.ua/remote/dispatcher/state_purchase_view/13504536" TargetMode="External"/><Relationship Id="rId999" Type="http://schemas.openxmlformats.org/officeDocument/2006/relationships/hyperlink" Target="https://my.zakupki.prom.ua/remote/dispatcher/state_purchase_view/18456065" TargetMode="External"/><Relationship Id="rId1100" Type="http://schemas.openxmlformats.org/officeDocument/2006/relationships/hyperlink" Target="https://my.zakupki.prom.ua/remote/dispatcher/state_purchase_view/28381544" TargetMode="External"/><Relationship Id="rId44" Type="http://schemas.openxmlformats.org/officeDocument/2006/relationships/hyperlink" Target="https://my.zakupki.prom.ua/remote/dispatcher/state_purchase_view/16490977" TargetMode="External"/><Relationship Id="rId554" Type="http://schemas.openxmlformats.org/officeDocument/2006/relationships/hyperlink" Target="https://my.zakupki.prom.ua/remote/dispatcher/state_purchase_view/8371191" TargetMode="External"/><Relationship Id="rId761" Type="http://schemas.openxmlformats.org/officeDocument/2006/relationships/hyperlink" Target="https://my.zakupki.prom.ua/remote/dispatcher/state_purchase_view/9064389" TargetMode="External"/><Relationship Id="rId859" Type="http://schemas.openxmlformats.org/officeDocument/2006/relationships/hyperlink" Target="https://my.zakupki.prom.ua/remote/dispatcher/state_purchase_view/32439921" TargetMode="External"/><Relationship Id="rId193" Type="http://schemas.openxmlformats.org/officeDocument/2006/relationships/hyperlink" Target="https://my.zakupki.prom.ua/remote/dispatcher/state_purchase_view/8418367" TargetMode="External"/><Relationship Id="rId207" Type="http://schemas.openxmlformats.org/officeDocument/2006/relationships/hyperlink" Target="https://my.zakupki.prom.ua/remote/dispatcher/state_purchase_view/16098598" TargetMode="External"/><Relationship Id="rId414" Type="http://schemas.openxmlformats.org/officeDocument/2006/relationships/hyperlink" Target="https://my.zakupki.prom.ua/remote/dispatcher/state_purchase_view/4247728" TargetMode="External"/><Relationship Id="rId498" Type="http://schemas.openxmlformats.org/officeDocument/2006/relationships/hyperlink" Target="https://my.zakupki.prom.ua/remote/dispatcher/state_purchase_view/3936414" TargetMode="External"/><Relationship Id="rId621" Type="http://schemas.openxmlformats.org/officeDocument/2006/relationships/hyperlink" Target="https://my.zakupki.prom.ua/remote/dispatcher/state_purchase_view/16467518" TargetMode="External"/><Relationship Id="rId1044" Type="http://schemas.openxmlformats.org/officeDocument/2006/relationships/hyperlink" Target="https://my.zakupki.prom.ua/remote/dispatcher/state_purchase_view/13356881" TargetMode="External"/><Relationship Id="rId260" Type="http://schemas.openxmlformats.org/officeDocument/2006/relationships/hyperlink" Target="https://my.zakupki.prom.ua/remote/dispatcher/state_purchase_view/16874411" TargetMode="External"/><Relationship Id="rId719" Type="http://schemas.openxmlformats.org/officeDocument/2006/relationships/hyperlink" Target="https://my.zakupki.prom.ua/remote/dispatcher/state_purchase_view/16072226" TargetMode="External"/><Relationship Id="rId926" Type="http://schemas.openxmlformats.org/officeDocument/2006/relationships/hyperlink" Target="https://my.zakupki.prom.ua/remote/dispatcher/state_purchase_view/32612420" TargetMode="External"/><Relationship Id="rId1111" Type="http://schemas.openxmlformats.org/officeDocument/2006/relationships/hyperlink" Target="https://my.zakupki.prom.ua/remote/dispatcher/state_purchase_view/33923931" TargetMode="External"/><Relationship Id="rId55" Type="http://schemas.openxmlformats.org/officeDocument/2006/relationships/hyperlink" Target="https://my.zakupki.prom.ua/remote/dispatcher/state_purchase_view/2666295" TargetMode="External"/><Relationship Id="rId120" Type="http://schemas.openxmlformats.org/officeDocument/2006/relationships/hyperlink" Target="https://my.zakupki.prom.ua/remote/dispatcher/state_purchase_view/10066701" TargetMode="External"/><Relationship Id="rId358" Type="http://schemas.openxmlformats.org/officeDocument/2006/relationships/hyperlink" Target="https://my.zakupki.prom.ua/remote/dispatcher/state_purchase_view/11597099" TargetMode="External"/><Relationship Id="rId565" Type="http://schemas.openxmlformats.org/officeDocument/2006/relationships/hyperlink" Target="https://my.zakupki.prom.ua/remote/dispatcher/state_purchase_view/16621225" TargetMode="External"/><Relationship Id="rId772" Type="http://schemas.openxmlformats.org/officeDocument/2006/relationships/hyperlink" Target="https://my.zakupki.prom.ua/remote/dispatcher/state_purchase_view/11861705" TargetMode="External"/><Relationship Id="rId218" Type="http://schemas.openxmlformats.org/officeDocument/2006/relationships/hyperlink" Target="https://my.zakupki.prom.ua/remote/dispatcher/state_purchase_view/3463695" TargetMode="External"/><Relationship Id="rId425" Type="http://schemas.openxmlformats.org/officeDocument/2006/relationships/hyperlink" Target="https://my.zakupki.prom.ua/remote/dispatcher/state_purchase_view/6654708" TargetMode="External"/><Relationship Id="rId632" Type="http://schemas.openxmlformats.org/officeDocument/2006/relationships/hyperlink" Target="https://my.zakupki.prom.ua/remote/dispatcher/state_purchase_view/10393582" TargetMode="External"/><Relationship Id="rId1055" Type="http://schemas.openxmlformats.org/officeDocument/2006/relationships/hyperlink" Target="https://my.zakupki.prom.ua/remote/dispatcher/state_purchase_view/24239363" TargetMode="External"/><Relationship Id="rId271" Type="http://schemas.openxmlformats.org/officeDocument/2006/relationships/hyperlink" Target="https://my.zakupki.prom.ua/remote/dispatcher/state_purchase_view/4446928" TargetMode="External"/><Relationship Id="rId937" Type="http://schemas.openxmlformats.org/officeDocument/2006/relationships/hyperlink" Target="https://my.zakupki.prom.ua/remote/dispatcher/state_purchase_view/30705871" TargetMode="External"/><Relationship Id="rId1122" Type="http://schemas.openxmlformats.org/officeDocument/2006/relationships/hyperlink" Target="https://my.zakupki.prom.ua/remote/dispatcher/state_purchase_view/19284421" TargetMode="External"/><Relationship Id="rId66" Type="http://schemas.openxmlformats.org/officeDocument/2006/relationships/hyperlink" Target="https://my.zakupki.prom.ua/remote/dispatcher/state_purchase_view/739126" TargetMode="External"/><Relationship Id="rId131" Type="http://schemas.openxmlformats.org/officeDocument/2006/relationships/hyperlink" Target="https://my.zakupki.prom.ua/remote/dispatcher/state_purchase_view/8455075" TargetMode="External"/><Relationship Id="rId369" Type="http://schemas.openxmlformats.org/officeDocument/2006/relationships/hyperlink" Target="https://my.zakupki.prom.ua/remote/dispatcher/state_purchase_view/7429319" TargetMode="External"/><Relationship Id="rId576" Type="http://schemas.openxmlformats.org/officeDocument/2006/relationships/hyperlink" Target="https://my.zakupki.prom.ua/remote/dispatcher/state_purchase_view/20457382" TargetMode="External"/><Relationship Id="rId783" Type="http://schemas.openxmlformats.org/officeDocument/2006/relationships/hyperlink" Target="https://my.zakupki.prom.ua/remote/dispatcher/state_purchase_view/15775582" TargetMode="External"/><Relationship Id="rId990" Type="http://schemas.openxmlformats.org/officeDocument/2006/relationships/hyperlink" Target="https://my.zakupki.prom.ua/remote/dispatcher/state_purchase_view/27480079" TargetMode="External"/><Relationship Id="rId229" Type="http://schemas.openxmlformats.org/officeDocument/2006/relationships/hyperlink" Target="https://my.zakupki.prom.ua/remote/dispatcher/state_purchase_view/852324" TargetMode="External"/><Relationship Id="rId436" Type="http://schemas.openxmlformats.org/officeDocument/2006/relationships/hyperlink" Target="https://my.zakupki.prom.ua/remote/dispatcher/state_purchase_view/4101758" TargetMode="External"/><Relationship Id="rId643" Type="http://schemas.openxmlformats.org/officeDocument/2006/relationships/hyperlink" Target="https://my.zakupki.prom.ua/remote/dispatcher/state_purchase_view/1763311" TargetMode="External"/><Relationship Id="rId1066" Type="http://schemas.openxmlformats.org/officeDocument/2006/relationships/hyperlink" Target="https://my.zakupki.prom.ua/remote/dispatcher/state_purchase_view/31619031" TargetMode="External"/><Relationship Id="rId850" Type="http://schemas.openxmlformats.org/officeDocument/2006/relationships/hyperlink" Target="https://my.zakupki.prom.ua/remote/dispatcher/state_purchase_view/25641033" TargetMode="External"/><Relationship Id="rId948" Type="http://schemas.openxmlformats.org/officeDocument/2006/relationships/hyperlink" Target="https://my.zakupki.prom.ua/remote/dispatcher/state_purchase_view/15927911" TargetMode="External"/><Relationship Id="rId1133" Type="http://schemas.openxmlformats.org/officeDocument/2006/relationships/hyperlink" Target="https://my.zakupki.prom.ua/remote/dispatcher/state_purchase_view/18298863" TargetMode="External"/><Relationship Id="rId77" Type="http://schemas.openxmlformats.org/officeDocument/2006/relationships/hyperlink" Target="https://my.zakupki.prom.ua/remote/dispatcher/state_purchase_view/8479718" TargetMode="External"/><Relationship Id="rId282" Type="http://schemas.openxmlformats.org/officeDocument/2006/relationships/hyperlink" Target="https://my.zakupki.prom.ua/remote/dispatcher/state_purchase_view/7206065" TargetMode="External"/><Relationship Id="rId503" Type="http://schemas.openxmlformats.org/officeDocument/2006/relationships/hyperlink" Target="https://my.zakupki.prom.ua/remote/dispatcher/state_purchase_view/7766403" TargetMode="External"/><Relationship Id="rId587" Type="http://schemas.openxmlformats.org/officeDocument/2006/relationships/hyperlink" Target="https://my.zakupki.prom.ua/remote/dispatcher/state_purchase_view/4515940" TargetMode="External"/><Relationship Id="rId710" Type="http://schemas.openxmlformats.org/officeDocument/2006/relationships/hyperlink" Target="https://my.zakupki.prom.ua/remote/dispatcher/state_purchase_view/12127842" TargetMode="External"/><Relationship Id="rId808" Type="http://schemas.openxmlformats.org/officeDocument/2006/relationships/hyperlink" Target="https://my.zakupki.prom.ua/remote/dispatcher/state_purchase_view/31115696" TargetMode="External"/><Relationship Id="rId8" Type="http://schemas.openxmlformats.org/officeDocument/2006/relationships/hyperlink" Target="https://my.zakupki.prom.ua/remote/dispatcher/state_purchase_view/11280785" TargetMode="External"/><Relationship Id="rId142" Type="http://schemas.openxmlformats.org/officeDocument/2006/relationships/hyperlink" Target="https://my.zakupki.prom.ua/remote/dispatcher/state_purchase_view/3439812" TargetMode="External"/><Relationship Id="rId447" Type="http://schemas.openxmlformats.org/officeDocument/2006/relationships/hyperlink" Target="https://my.zakupki.prom.ua/remote/dispatcher/state_purchase_view/8605908" TargetMode="External"/><Relationship Id="rId794" Type="http://schemas.openxmlformats.org/officeDocument/2006/relationships/hyperlink" Target="https://my.zakupki.prom.ua/remote/dispatcher/state_purchase_view/27473778" TargetMode="External"/><Relationship Id="rId1077" Type="http://schemas.openxmlformats.org/officeDocument/2006/relationships/hyperlink" Target="https://my.zakupki.prom.ua/remote/dispatcher/state_purchase_view/23442824" TargetMode="External"/><Relationship Id="rId654" Type="http://schemas.openxmlformats.org/officeDocument/2006/relationships/hyperlink" Target="https://my.zakupki.prom.ua/remote/dispatcher/state_purchase_view/4266670" TargetMode="External"/><Relationship Id="rId861" Type="http://schemas.openxmlformats.org/officeDocument/2006/relationships/hyperlink" Target="https://my.zakupki.prom.ua/remote/dispatcher/state_purchase_view/32750292" TargetMode="External"/><Relationship Id="rId959" Type="http://schemas.openxmlformats.org/officeDocument/2006/relationships/hyperlink" Target="https://my.zakupki.prom.ua/remote/dispatcher/state_purchase_view/24689725" TargetMode="External"/><Relationship Id="rId293" Type="http://schemas.openxmlformats.org/officeDocument/2006/relationships/hyperlink" Target="https://my.zakupki.prom.ua/remote/dispatcher/state_purchase_view/11562572" TargetMode="External"/><Relationship Id="rId307" Type="http://schemas.openxmlformats.org/officeDocument/2006/relationships/hyperlink" Target="https://my.zakupki.prom.ua/remote/dispatcher/state_purchase_view/13277406" TargetMode="External"/><Relationship Id="rId514" Type="http://schemas.openxmlformats.org/officeDocument/2006/relationships/hyperlink" Target="https://my.zakupki.prom.ua/remote/dispatcher/state_purchase_view/11267942" TargetMode="External"/><Relationship Id="rId721" Type="http://schemas.openxmlformats.org/officeDocument/2006/relationships/hyperlink" Target="https://my.zakupki.prom.ua/remote/dispatcher/state_purchase_view/15241576" TargetMode="External"/><Relationship Id="rId1144" Type="http://schemas.openxmlformats.org/officeDocument/2006/relationships/hyperlink" Target="https://my.zakupki.prom.ua/remote/dispatcher/state_purchase_view/26402140" TargetMode="External"/><Relationship Id="rId88" Type="http://schemas.openxmlformats.org/officeDocument/2006/relationships/hyperlink" Target="https://my.zakupki.prom.ua/remote/dispatcher/state_purchase_view/11537211" TargetMode="External"/><Relationship Id="rId153" Type="http://schemas.openxmlformats.org/officeDocument/2006/relationships/hyperlink" Target="https://my.zakupki.prom.ua/remote/dispatcher/state_purchase_view/17333609" TargetMode="External"/><Relationship Id="rId360" Type="http://schemas.openxmlformats.org/officeDocument/2006/relationships/hyperlink" Target="https://my.zakupki.prom.ua/remote/dispatcher/state_purchase_view/12139902" TargetMode="External"/><Relationship Id="rId598" Type="http://schemas.openxmlformats.org/officeDocument/2006/relationships/hyperlink" Target="https://my.zakupki.prom.ua/remote/dispatcher/state_purchase_view/8406213" TargetMode="External"/><Relationship Id="rId819" Type="http://schemas.openxmlformats.org/officeDocument/2006/relationships/hyperlink" Target="https://my.zakupki.prom.ua/remote/dispatcher/state_purchase_view/24650354" TargetMode="External"/><Relationship Id="rId1004" Type="http://schemas.openxmlformats.org/officeDocument/2006/relationships/hyperlink" Target="https://my.zakupki.prom.ua/remote/dispatcher/state_purchase_view/18131259" TargetMode="External"/><Relationship Id="rId220" Type="http://schemas.openxmlformats.org/officeDocument/2006/relationships/hyperlink" Target="https://my.zakupki.prom.ua/remote/dispatcher/state_purchase_view/2706294" TargetMode="External"/><Relationship Id="rId458" Type="http://schemas.openxmlformats.org/officeDocument/2006/relationships/hyperlink" Target="https://my.zakupki.prom.ua/remote/dispatcher/state_purchase_view/16098719" TargetMode="External"/><Relationship Id="rId665" Type="http://schemas.openxmlformats.org/officeDocument/2006/relationships/hyperlink" Target="https://my.zakupki.prom.ua/remote/dispatcher/state_purchase_view/4626700" TargetMode="External"/><Relationship Id="rId872" Type="http://schemas.openxmlformats.org/officeDocument/2006/relationships/hyperlink" Target="https://my.zakupki.prom.ua/remote/dispatcher/state_purchase_view/16261547" TargetMode="External"/><Relationship Id="rId1088" Type="http://schemas.openxmlformats.org/officeDocument/2006/relationships/hyperlink" Target="https://my.zakupki.prom.ua/remote/dispatcher/state_purchase_view/33827166" TargetMode="External"/><Relationship Id="rId15" Type="http://schemas.openxmlformats.org/officeDocument/2006/relationships/hyperlink" Target="https://my.zakupki.prom.ua/remote/dispatcher/state_purchase_view/1009271" TargetMode="External"/><Relationship Id="rId318" Type="http://schemas.openxmlformats.org/officeDocument/2006/relationships/hyperlink" Target="https://my.zakupki.prom.ua/remote/dispatcher/state_purchase_view/5042515" TargetMode="External"/><Relationship Id="rId525" Type="http://schemas.openxmlformats.org/officeDocument/2006/relationships/hyperlink" Target="https://my.zakupki.prom.ua/remote/dispatcher/state_purchase_view/22163099" TargetMode="External"/><Relationship Id="rId732" Type="http://schemas.openxmlformats.org/officeDocument/2006/relationships/hyperlink" Target="https://my.zakupki.prom.ua/remote/dispatcher/state_purchase_view/30335260" TargetMode="External"/><Relationship Id="rId1155" Type="http://schemas.openxmlformats.org/officeDocument/2006/relationships/hyperlink" Target="https://my.zakupki.prom.ua/remote/dispatcher/state_purchase_view/32852018" TargetMode="External"/><Relationship Id="rId99" Type="http://schemas.openxmlformats.org/officeDocument/2006/relationships/hyperlink" Target="https://my.zakupki.prom.ua/remote/dispatcher/state_purchase_view/18994825" TargetMode="External"/><Relationship Id="rId164" Type="http://schemas.openxmlformats.org/officeDocument/2006/relationships/hyperlink" Target="https://my.zakupki.prom.ua/remote/dispatcher/state_purchase_view/4394561" TargetMode="External"/><Relationship Id="rId371" Type="http://schemas.openxmlformats.org/officeDocument/2006/relationships/hyperlink" Target="https://my.zakupki.prom.ua/remote/dispatcher/state_purchase_view/9672376" TargetMode="External"/><Relationship Id="rId1015" Type="http://schemas.openxmlformats.org/officeDocument/2006/relationships/hyperlink" Target="https://my.zakupki.prom.ua/remote/dispatcher/state_purchase_view/30894991" TargetMode="External"/><Relationship Id="rId469" Type="http://schemas.openxmlformats.org/officeDocument/2006/relationships/hyperlink" Target="https://my.zakupki.prom.ua/remote/dispatcher/state_purchase_view/12538429" TargetMode="External"/><Relationship Id="rId676" Type="http://schemas.openxmlformats.org/officeDocument/2006/relationships/hyperlink" Target="https://my.zakupki.prom.ua/remote/dispatcher/state_purchase_view/14100564" TargetMode="External"/><Relationship Id="rId883" Type="http://schemas.openxmlformats.org/officeDocument/2006/relationships/hyperlink" Target="https://my.zakupki.prom.ua/remote/dispatcher/state_purchase_view/31711864" TargetMode="External"/><Relationship Id="rId1099" Type="http://schemas.openxmlformats.org/officeDocument/2006/relationships/hyperlink" Target="https://my.zakupki.prom.ua/remote/dispatcher/state_purchase_view/21081882" TargetMode="External"/><Relationship Id="rId26" Type="http://schemas.openxmlformats.org/officeDocument/2006/relationships/hyperlink" Target="https://my.zakupki.prom.ua/remote/dispatcher/state_purchase_view/5067060" TargetMode="External"/><Relationship Id="rId231" Type="http://schemas.openxmlformats.org/officeDocument/2006/relationships/hyperlink" Target="https://my.zakupki.prom.ua/remote/dispatcher/state_purchase_view/903326" TargetMode="External"/><Relationship Id="rId329" Type="http://schemas.openxmlformats.org/officeDocument/2006/relationships/hyperlink" Target="https://my.zakupki.prom.ua/remote/dispatcher/state_purchase_view/739171" TargetMode="External"/><Relationship Id="rId536" Type="http://schemas.openxmlformats.org/officeDocument/2006/relationships/hyperlink" Target="https://my.zakupki.prom.ua/remote/dispatcher/state_purchase_view/4558917" TargetMode="External"/><Relationship Id="rId175" Type="http://schemas.openxmlformats.org/officeDocument/2006/relationships/hyperlink" Target="https://my.zakupki.prom.ua/remote/dispatcher/state_purchase_view/4735765" TargetMode="External"/><Relationship Id="rId743" Type="http://schemas.openxmlformats.org/officeDocument/2006/relationships/hyperlink" Target="https://my.zakupki.prom.ua/remote/dispatcher/state_purchase_view/2550142" TargetMode="External"/><Relationship Id="rId950" Type="http://schemas.openxmlformats.org/officeDocument/2006/relationships/hyperlink" Target="https://my.zakupki.prom.ua/remote/dispatcher/state_purchase_view/17598848" TargetMode="External"/><Relationship Id="rId1026" Type="http://schemas.openxmlformats.org/officeDocument/2006/relationships/hyperlink" Target="https://my.zakupki.prom.ua/remote/dispatcher/state_purchase_view/32738332" TargetMode="External"/><Relationship Id="rId382" Type="http://schemas.openxmlformats.org/officeDocument/2006/relationships/hyperlink" Target="https://my.zakupki.prom.ua/remote/dispatcher/state_purchase_view/10611549" TargetMode="External"/><Relationship Id="rId603" Type="http://schemas.openxmlformats.org/officeDocument/2006/relationships/hyperlink" Target="https://my.zakupki.prom.ua/remote/dispatcher/state_purchase_view/9072579" TargetMode="External"/><Relationship Id="rId687" Type="http://schemas.openxmlformats.org/officeDocument/2006/relationships/hyperlink" Target="https://my.zakupki.prom.ua/remote/dispatcher/state_purchase_view/3487215" TargetMode="External"/><Relationship Id="rId810" Type="http://schemas.openxmlformats.org/officeDocument/2006/relationships/hyperlink" Target="https://my.zakupki.prom.ua/remote/dispatcher/state_purchase_view/21618987" TargetMode="External"/><Relationship Id="rId908" Type="http://schemas.openxmlformats.org/officeDocument/2006/relationships/hyperlink" Target="https://my.zakupki.prom.ua/remote/dispatcher/state_purchase_view/32439511" TargetMode="External"/><Relationship Id="rId242" Type="http://schemas.openxmlformats.org/officeDocument/2006/relationships/hyperlink" Target="https://my.zakupki.prom.ua/remote/dispatcher/state_purchase_view/6471888" TargetMode="External"/><Relationship Id="rId894" Type="http://schemas.openxmlformats.org/officeDocument/2006/relationships/hyperlink" Target="https://my.zakupki.prom.ua/remote/dispatcher/state_purchase_view/28469609" TargetMode="External"/><Relationship Id="rId37" Type="http://schemas.openxmlformats.org/officeDocument/2006/relationships/hyperlink" Target="https://my.zakupki.prom.ua/remote/dispatcher/state_purchase_view/6769583" TargetMode="External"/><Relationship Id="rId102" Type="http://schemas.openxmlformats.org/officeDocument/2006/relationships/hyperlink" Target="https://my.zakupki.prom.ua/remote/dispatcher/state_purchase_view/15215881" TargetMode="External"/><Relationship Id="rId547" Type="http://schemas.openxmlformats.org/officeDocument/2006/relationships/hyperlink" Target="https://my.zakupki.prom.ua/remote/dispatcher/state_purchase_view/7881748" TargetMode="External"/><Relationship Id="rId754" Type="http://schemas.openxmlformats.org/officeDocument/2006/relationships/hyperlink" Target="https://my.zakupki.prom.ua/remote/dispatcher/state_purchase_view/7846508" TargetMode="External"/><Relationship Id="rId961" Type="http://schemas.openxmlformats.org/officeDocument/2006/relationships/hyperlink" Target="https://my.zakupki.prom.ua/remote/dispatcher/state_purchase_view/26487977" TargetMode="External"/><Relationship Id="rId90" Type="http://schemas.openxmlformats.org/officeDocument/2006/relationships/hyperlink" Target="https://my.zakupki.prom.ua/remote/dispatcher/state_purchase_view/11490877" TargetMode="External"/><Relationship Id="rId186" Type="http://schemas.openxmlformats.org/officeDocument/2006/relationships/hyperlink" Target="https://my.zakupki.prom.ua/remote/dispatcher/state_purchase_view/1458131" TargetMode="External"/><Relationship Id="rId393" Type="http://schemas.openxmlformats.org/officeDocument/2006/relationships/hyperlink" Target="https://my.zakupki.prom.ua/remote/dispatcher/state_purchase_view/3487604" TargetMode="External"/><Relationship Id="rId407" Type="http://schemas.openxmlformats.org/officeDocument/2006/relationships/hyperlink" Target="https://my.zakupki.prom.ua/remote/dispatcher/state_purchase_view/4526091" TargetMode="External"/><Relationship Id="rId614" Type="http://schemas.openxmlformats.org/officeDocument/2006/relationships/hyperlink" Target="https://my.zakupki.prom.ua/remote/dispatcher/state_purchase_view/11593728" TargetMode="External"/><Relationship Id="rId821" Type="http://schemas.openxmlformats.org/officeDocument/2006/relationships/hyperlink" Target="https://my.zakupki.prom.ua/remote/dispatcher/state_purchase_view/30116402" TargetMode="External"/><Relationship Id="rId1037" Type="http://schemas.openxmlformats.org/officeDocument/2006/relationships/hyperlink" Target="https://my.zakupki.prom.ua/remote/dispatcher/state_purchase_view/23778178" TargetMode="External"/><Relationship Id="rId253" Type="http://schemas.openxmlformats.org/officeDocument/2006/relationships/hyperlink" Target="https://my.zakupki.prom.ua/remote/dispatcher/state_purchase_view/16121565" TargetMode="External"/><Relationship Id="rId460" Type="http://schemas.openxmlformats.org/officeDocument/2006/relationships/hyperlink" Target="https://my.zakupki.prom.ua/remote/dispatcher/state_purchase_view/13766845" TargetMode="External"/><Relationship Id="rId698" Type="http://schemas.openxmlformats.org/officeDocument/2006/relationships/hyperlink" Target="https://my.zakupki.prom.ua/remote/dispatcher/state_purchase_view/1426548" TargetMode="External"/><Relationship Id="rId919" Type="http://schemas.openxmlformats.org/officeDocument/2006/relationships/hyperlink" Target="https://my.zakupki.prom.ua/remote/dispatcher/state_purchase_view/33543904" TargetMode="External"/><Relationship Id="rId1090" Type="http://schemas.openxmlformats.org/officeDocument/2006/relationships/hyperlink" Target="https://my.zakupki.prom.ua/remote/dispatcher/state_purchase_view/29907216" TargetMode="External"/><Relationship Id="rId1104" Type="http://schemas.openxmlformats.org/officeDocument/2006/relationships/hyperlink" Target="https://my.zakupki.prom.ua/remote/dispatcher/state_purchase_view/23508812" TargetMode="External"/><Relationship Id="rId48" Type="http://schemas.openxmlformats.org/officeDocument/2006/relationships/hyperlink" Target="https://my.zakupki.prom.ua/remote/dispatcher/state_purchase_view/13896119" TargetMode="External"/><Relationship Id="rId113" Type="http://schemas.openxmlformats.org/officeDocument/2006/relationships/hyperlink" Target="https://my.zakupki.prom.ua/remote/dispatcher/state_purchase_view/504635" TargetMode="External"/><Relationship Id="rId320" Type="http://schemas.openxmlformats.org/officeDocument/2006/relationships/hyperlink" Target="https://my.zakupki.prom.ua/remote/dispatcher/state_purchase_view/5613661" TargetMode="External"/><Relationship Id="rId558" Type="http://schemas.openxmlformats.org/officeDocument/2006/relationships/hyperlink" Target="https://my.zakupki.prom.ua/remote/dispatcher/state_purchase_view/14143320" TargetMode="External"/><Relationship Id="rId765" Type="http://schemas.openxmlformats.org/officeDocument/2006/relationships/hyperlink" Target="https://my.zakupki.prom.ua/remote/dispatcher/state_purchase_view/7555209" TargetMode="External"/><Relationship Id="rId972" Type="http://schemas.openxmlformats.org/officeDocument/2006/relationships/hyperlink" Target="https://my.zakupki.prom.ua/remote/dispatcher/state_purchase_view/22767534" TargetMode="External"/><Relationship Id="rId197" Type="http://schemas.openxmlformats.org/officeDocument/2006/relationships/hyperlink" Target="https://my.zakupki.prom.ua/remote/dispatcher/state_purchase_view/15882820" TargetMode="External"/><Relationship Id="rId418" Type="http://schemas.openxmlformats.org/officeDocument/2006/relationships/hyperlink" Target="https://my.zakupki.prom.ua/remote/dispatcher/state_purchase_view/7401069" TargetMode="External"/><Relationship Id="rId625" Type="http://schemas.openxmlformats.org/officeDocument/2006/relationships/hyperlink" Target="https://my.zakupki.prom.ua/remote/dispatcher/state_purchase_view/11211932" TargetMode="External"/><Relationship Id="rId832" Type="http://schemas.openxmlformats.org/officeDocument/2006/relationships/hyperlink" Target="https://my.zakupki.prom.ua/remote/dispatcher/state_purchase_view/33455635" TargetMode="External"/><Relationship Id="rId1048" Type="http://schemas.openxmlformats.org/officeDocument/2006/relationships/hyperlink" Target="https://my.zakupki.prom.ua/remote/dispatcher/state_purchase_view/12973292" TargetMode="External"/><Relationship Id="rId264" Type="http://schemas.openxmlformats.org/officeDocument/2006/relationships/hyperlink" Target="https://my.zakupki.prom.ua/remote/dispatcher/state_purchase_view/17334866" TargetMode="External"/><Relationship Id="rId471" Type="http://schemas.openxmlformats.org/officeDocument/2006/relationships/hyperlink" Target="https://my.zakupki.prom.ua/remote/dispatcher/state_purchase_view/12934744" TargetMode="External"/><Relationship Id="rId1115" Type="http://schemas.openxmlformats.org/officeDocument/2006/relationships/hyperlink" Target="https://my.zakupki.prom.ua/remote/dispatcher/state_purchase_view/29906662" TargetMode="External"/><Relationship Id="rId59" Type="http://schemas.openxmlformats.org/officeDocument/2006/relationships/hyperlink" Target="https://my.zakupki.prom.ua/remote/dispatcher/state_purchase_view/5051488" TargetMode="External"/><Relationship Id="rId124" Type="http://schemas.openxmlformats.org/officeDocument/2006/relationships/hyperlink" Target="https://my.zakupki.prom.ua/remote/dispatcher/state_purchase_view/11663903" TargetMode="External"/><Relationship Id="rId569" Type="http://schemas.openxmlformats.org/officeDocument/2006/relationships/hyperlink" Target="https://my.zakupki.prom.ua/remote/dispatcher/state_purchase_view/16192645" TargetMode="External"/><Relationship Id="rId776" Type="http://schemas.openxmlformats.org/officeDocument/2006/relationships/hyperlink" Target="https://my.zakupki.prom.ua/remote/dispatcher/state_purchase_view/11315160" TargetMode="External"/><Relationship Id="rId983" Type="http://schemas.openxmlformats.org/officeDocument/2006/relationships/hyperlink" Target="https://my.zakupki.prom.ua/remote/dispatcher/state_purchase_view/17332858" TargetMode="External"/><Relationship Id="rId331" Type="http://schemas.openxmlformats.org/officeDocument/2006/relationships/hyperlink" Target="https://my.zakupki.prom.ua/remote/dispatcher/state_purchase_view/1414638" TargetMode="External"/><Relationship Id="rId429" Type="http://schemas.openxmlformats.org/officeDocument/2006/relationships/hyperlink" Target="https://my.zakupki.prom.ua/remote/dispatcher/state_purchase_view/3673809" TargetMode="External"/><Relationship Id="rId636" Type="http://schemas.openxmlformats.org/officeDocument/2006/relationships/hyperlink" Target="https://my.zakupki.prom.ua/remote/dispatcher/state_purchase_view/7835413" TargetMode="External"/><Relationship Id="rId1059" Type="http://schemas.openxmlformats.org/officeDocument/2006/relationships/hyperlink" Target="https://my.zakupki.prom.ua/remote/dispatcher/state_purchase_view/29282018" TargetMode="External"/><Relationship Id="rId843" Type="http://schemas.openxmlformats.org/officeDocument/2006/relationships/hyperlink" Target="https://my.zakupki.prom.ua/remote/dispatcher/state_purchase_view/18998695" TargetMode="External"/><Relationship Id="rId1126" Type="http://schemas.openxmlformats.org/officeDocument/2006/relationships/hyperlink" Target="https://my.zakupki.prom.ua/remote/dispatcher/state_purchase_view/27483501" TargetMode="External"/><Relationship Id="rId275" Type="http://schemas.openxmlformats.org/officeDocument/2006/relationships/hyperlink" Target="https://my.zakupki.prom.ua/remote/dispatcher/state_purchase_view/1122330" TargetMode="External"/><Relationship Id="rId482" Type="http://schemas.openxmlformats.org/officeDocument/2006/relationships/hyperlink" Target="https://my.zakupki.prom.ua/remote/dispatcher/state_purchase_view/6528168" TargetMode="External"/><Relationship Id="rId703" Type="http://schemas.openxmlformats.org/officeDocument/2006/relationships/hyperlink" Target="https://my.zakupki.prom.ua/remote/dispatcher/state_purchase_view/8143298" TargetMode="External"/><Relationship Id="rId910" Type="http://schemas.openxmlformats.org/officeDocument/2006/relationships/hyperlink" Target="https://my.zakupki.prom.ua/remote/dispatcher/state_purchase_view/31314043" TargetMode="External"/><Relationship Id="rId135" Type="http://schemas.openxmlformats.org/officeDocument/2006/relationships/hyperlink" Target="https://my.zakupki.prom.ua/remote/dispatcher/state_purchase_view/3809280" TargetMode="External"/><Relationship Id="rId342" Type="http://schemas.openxmlformats.org/officeDocument/2006/relationships/hyperlink" Target="https://my.zakupki.prom.ua/remote/dispatcher/state_purchase_view/6610908" TargetMode="External"/><Relationship Id="rId787" Type="http://schemas.openxmlformats.org/officeDocument/2006/relationships/hyperlink" Target="https://my.zakupki.prom.ua/remote/dispatcher/state_purchase_view/19799797" TargetMode="External"/><Relationship Id="rId994" Type="http://schemas.openxmlformats.org/officeDocument/2006/relationships/hyperlink" Target="https://my.zakupki.prom.ua/remote/dispatcher/state_purchase_view/21227466" TargetMode="External"/><Relationship Id="rId202" Type="http://schemas.openxmlformats.org/officeDocument/2006/relationships/hyperlink" Target="https://my.zakupki.prom.ua/remote/dispatcher/state_purchase_view/14701770" TargetMode="External"/><Relationship Id="rId647" Type="http://schemas.openxmlformats.org/officeDocument/2006/relationships/hyperlink" Target="https://my.zakupki.prom.ua/remote/dispatcher/state_purchase_view/6627417" TargetMode="External"/><Relationship Id="rId854" Type="http://schemas.openxmlformats.org/officeDocument/2006/relationships/hyperlink" Target="https://my.zakupki.prom.ua/remote/dispatcher/state_purchase_view/29299980" TargetMode="External"/><Relationship Id="rId286" Type="http://schemas.openxmlformats.org/officeDocument/2006/relationships/hyperlink" Target="https://my.zakupki.prom.ua/remote/dispatcher/state_purchase_view/6768788" TargetMode="External"/><Relationship Id="rId493" Type="http://schemas.openxmlformats.org/officeDocument/2006/relationships/hyperlink" Target="https://my.zakupki.prom.ua/remote/dispatcher/state_purchase_view/1970497" TargetMode="External"/><Relationship Id="rId507" Type="http://schemas.openxmlformats.org/officeDocument/2006/relationships/hyperlink" Target="https://my.zakupki.prom.ua/remote/dispatcher/state_purchase_view/11998098" TargetMode="External"/><Relationship Id="rId714" Type="http://schemas.openxmlformats.org/officeDocument/2006/relationships/hyperlink" Target="https://my.zakupki.prom.ua/remote/dispatcher/state_purchase_view/11709702" TargetMode="External"/><Relationship Id="rId921" Type="http://schemas.openxmlformats.org/officeDocument/2006/relationships/hyperlink" Target="https://my.zakupki.prom.ua/remote/dispatcher/state_purchase_view/18268237" TargetMode="External"/><Relationship Id="rId1137" Type="http://schemas.openxmlformats.org/officeDocument/2006/relationships/hyperlink" Target="https://my.zakupki.prom.ua/remote/dispatcher/state_purchase_view/21132746" TargetMode="External"/><Relationship Id="rId50" Type="http://schemas.openxmlformats.org/officeDocument/2006/relationships/hyperlink" Target="https://my.zakupki.prom.ua/remote/dispatcher/state_purchase_view/16208765" TargetMode="External"/><Relationship Id="rId146" Type="http://schemas.openxmlformats.org/officeDocument/2006/relationships/hyperlink" Target="https://my.zakupki.prom.ua/remote/dispatcher/state_purchase_view/7245311" TargetMode="External"/><Relationship Id="rId353" Type="http://schemas.openxmlformats.org/officeDocument/2006/relationships/hyperlink" Target="https://my.zakupki.prom.ua/remote/dispatcher/state_purchase_view/16698229" TargetMode="External"/><Relationship Id="rId560" Type="http://schemas.openxmlformats.org/officeDocument/2006/relationships/hyperlink" Target="https://my.zakupki.prom.ua/remote/dispatcher/state_purchase_view/14534092" TargetMode="External"/><Relationship Id="rId798" Type="http://schemas.openxmlformats.org/officeDocument/2006/relationships/hyperlink" Target="https://my.zakupki.prom.ua/remote/dispatcher/state_purchase_view/29135477" TargetMode="External"/><Relationship Id="rId213" Type="http://schemas.openxmlformats.org/officeDocument/2006/relationships/hyperlink" Target="https://my.zakupki.prom.ua/remote/dispatcher/state_purchase_view/13356768" TargetMode="External"/><Relationship Id="rId420" Type="http://schemas.openxmlformats.org/officeDocument/2006/relationships/hyperlink" Target="https://my.zakupki.prom.ua/remote/dispatcher/state_purchase_view/2848269" TargetMode="External"/><Relationship Id="rId658" Type="http://schemas.openxmlformats.org/officeDocument/2006/relationships/hyperlink" Target="https://my.zakupki.prom.ua/remote/dispatcher/state_purchase_view/6611039" TargetMode="External"/><Relationship Id="rId865" Type="http://schemas.openxmlformats.org/officeDocument/2006/relationships/hyperlink" Target="https://my.zakupki.prom.ua/remote/dispatcher/state_purchase_view/12123236" TargetMode="External"/><Relationship Id="rId1050" Type="http://schemas.openxmlformats.org/officeDocument/2006/relationships/hyperlink" Target="https://my.zakupki.prom.ua/remote/dispatcher/state_purchase_view/17362071" TargetMode="External"/><Relationship Id="rId297" Type="http://schemas.openxmlformats.org/officeDocument/2006/relationships/hyperlink" Target="https://my.zakupki.prom.ua/remote/dispatcher/state_purchase_view/10705078" TargetMode="External"/><Relationship Id="rId518" Type="http://schemas.openxmlformats.org/officeDocument/2006/relationships/hyperlink" Target="https://my.zakupki.prom.ua/remote/dispatcher/state_purchase_view/13431999" TargetMode="External"/><Relationship Id="rId725" Type="http://schemas.openxmlformats.org/officeDocument/2006/relationships/hyperlink" Target="https://my.zakupki.prom.ua/remote/dispatcher/state_purchase_view/13356490" TargetMode="External"/><Relationship Id="rId932" Type="http://schemas.openxmlformats.org/officeDocument/2006/relationships/hyperlink" Target="https://my.zakupki.prom.ua/remote/dispatcher/state_purchase_view/26039489" TargetMode="External"/><Relationship Id="rId1148" Type="http://schemas.openxmlformats.org/officeDocument/2006/relationships/hyperlink" Target="https://my.zakupki.prom.ua/remote/dispatcher/state_purchase_view/27994521" TargetMode="External"/><Relationship Id="rId157" Type="http://schemas.openxmlformats.org/officeDocument/2006/relationships/hyperlink" Target="https://my.zakupki.prom.ua/remote/dispatcher/state_purchase_view/14927484" TargetMode="External"/><Relationship Id="rId364" Type="http://schemas.openxmlformats.org/officeDocument/2006/relationships/hyperlink" Target="https://my.zakupki.prom.ua/remote/dispatcher/state_purchase_view/12835025" TargetMode="External"/><Relationship Id="rId1008" Type="http://schemas.openxmlformats.org/officeDocument/2006/relationships/hyperlink" Target="https://my.zakupki.prom.ua/remote/dispatcher/state_purchase_view/26304537" TargetMode="External"/><Relationship Id="rId61" Type="http://schemas.openxmlformats.org/officeDocument/2006/relationships/hyperlink" Target="https://my.zakupki.prom.ua/remote/dispatcher/state_purchase_view/4604991" TargetMode="External"/><Relationship Id="rId571" Type="http://schemas.openxmlformats.org/officeDocument/2006/relationships/hyperlink" Target="https://my.zakupki.prom.ua/remote/dispatcher/state_purchase_view/17631567" TargetMode="External"/><Relationship Id="rId669" Type="http://schemas.openxmlformats.org/officeDocument/2006/relationships/hyperlink" Target="https://my.zakupki.prom.ua/remote/dispatcher/state_purchase_view/17568957" TargetMode="External"/><Relationship Id="rId876" Type="http://schemas.openxmlformats.org/officeDocument/2006/relationships/hyperlink" Target="https://my.zakupki.prom.ua/remote/dispatcher/state_purchase_view/29222067" TargetMode="External"/><Relationship Id="rId19" Type="http://schemas.openxmlformats.org/officeDocument/2006/relationships/hyperlink" Target="https://my.zakupki.prom.ua/remote/dispatcher/state_purchase_view/6626584" TargetMode="External"/><Relationship Id="rId224" Type="http://schemas.openxmlformats.org/officeDocument/2006/relationships/hyperlink" Target="https://my.zakupki.prom.ua/remote/dispatcher/state_purchase_view/3776605" TargetMode="External"/><Relationship Id="rId431" Type="http://schemas.openxmlformats.org/officeDocument/2006/relationships/hyperlink" Target="https://my.zakupki.prom.ua/remote/dispatcher/state_purchase_view/3673809" TargetMode="External"/><Relationship Id="rId529" Type="http://schemas.openxmlformats.org/officeDocument/2006/relationships/hyperlink" Target="https://my.zakupki.prom.ua/remote/dispatcher/state_purchase_view/3809634" TargetMode="External"/><Relationship Id="rId736" Type="http://schemas.openxmlformats.org/officeDocument/2006/relationships/hyperlink" Target="https://my.zakupki.prom.ua/remote/dispatcher/state_purchase_view/599568" TargetMode="External"/><Relationship Id="rId1061" Type="http://schemas.openxmlformats.org/officeDocument/2006/relationships/hyperlink" Target="https://my.zakupki.prom.ua/remote/dispatcher/state_purchase_view/29088144" TargetMode="External"/><Relationship Id="rId168" Type="http://schemas.openxmlformats.org/officeDocument/2006/relationships/hyperlink" Target="https://my.zakupki.prom.ua/remote/dispatcher/state_purchase_view/4380360" TargetMode="External"/><Relationship Id="rId943" Type="http://schemas.openxmlformats.org/officeDocument/2006/relationships/hyperlink" Target="https://my.zakupki.prom.ua/remote/dispatcher/state_purchase_view/11169332" TargetMode="External"/><Relationship Id="rId1019" Type="http://schemas.openxmlformats.org/officeDocument/2006/relationships/hyperlink" Target="https://my.zakupki.prom.ua/remote/dispatcher/state_purchase_view/31883390" TargetMode="External"/><Relationship Id="rId72" Type="http://schemas.openxmlformats.org/officeDocument/2006/relationships/hyperlink" Target="https://my.zakupki.prom.ua/remote/dispatcher/state_purchase_view/6443107" TargetMode="External"/><Relationship Id="rId375" Type="http://schemas.openxmlformats.org/officeDocument/2006/relationships/hyperlink" Target="https://my.zakupki.prom.ua/remote/dispatcher/state_purchase_view/11254328" TargetMode="External"/><Relationship Id="rId582" Type="http://schemas.openxmlformats.org/officeDocument/2006/relationships/hyperlink" Target="https://my.zakupki.prom.ua/remote/dispatcher/state_purchase_view/3548444" TargetMode="External"/><Relationship Id="rId803" Type="http://schemas.openxmlformats.org/officeDocument/2006/relationships/hyperlink" Target="https://my.zakupki.prom.ua/remote/dispatcher/state_purchase_view/31151041" TargetMode="External"/><Relationship Id="rId3" Type="http://schemas.openxmlformats.org/officeDocument/2006/relationships/hyperlink" Target="https://my.zakupki.prom.ua/remote/dispatcher/state_purchase_view/7542480" TargetMode="External"/><Relationship Id="rId235" Type="http://schemas.openxmlformats.org/officeDocument/2006/relationships/hyperlink" Target="https://my.zakupki.prom.ua/remote/dispatcher/state_purchase_view/1351374" TargetMode="External"/><Relationship Id="rId442" Type="http://schemas.openxmlformats.org/officeDocument/2006/relationships/hyperlink" Target="https://my.zakupki.prom.ua/remote/dispatcher/state_purchase_view/3694118" TargetMode="External"/><Relationship Id="rId887" Type="http://schemas.openxmlformats.org/officeDocument/2006/relationships/hyperlink" Target="https://my.zakupki.prom.ua/remote/dispatcher/state_purchase_view/29828355" TargetMode="External"/><Relationship Id="rId1072" Type="http://schemas.openxmlformats.org/officeDocument/2006/relationships/hyperlink" Target="https://my.zakupki.prom.ua/remote/dispatcher/state_purchase_view/31619029" TargetMode="External"/><Relationship Id="rId302" Type="http://schemas.openxmlformats.org/officeDocument/2006/relationships/hyperlink" Target="https://my.zakupki.prom.ua/remote/dispatcher/state_purchase_view/11224537" TargetMode="External"/><Relationship Id="rId747" Type="http://schemas.openxmlformats.org/officeDocument/2006/relationships/hyperlink" Target="https://my.zakupki.prom.ua/remote/dispatcher/state_purchase_view/4188049" TargetMode="External"/><Relationship Id="rId954" Type="http://schemas.openxmlformats.org/officeDocument/2006/relationships/hyperlink" Target="https://my.zakupki.prom.ua/remote/dispatcher/state_purchase_view/23434973" TargetMode="External"/><Relationship Id="rId83" Type="http://schemas.openxmlformats.org/officeDocument/2006/relationships/hyperlink" Target="https://my.zakupki.prom.ua/remote/dispatcher/state_purchase_view/4332732" TargetMode="External"/><Relationship Id="rId179" Type="http://schemas.openxmlformats.org/officeDocument/2006/relationships/hyperlink" Target="https://my.zakupki.prom.ua/remote/dispatcher/state_purchase_view/4787286" TargetMode="External"/><Relationship Id="rId386" Type="http://schemas.openxmlformats.org/officeDocument/2006/relationships/hyperlink" Target="https://my.zakupki.prom.ua/remote/dispatcher/state_purchase_view/2041080" TargetMode="External"/><Relationship Id="rId593" Type="http://schemas.openxmlformats.org/officeDocument/2006/relationships/hyperlink" Target="https://my.zakupki.prom.ua/remote/dispatcher/state_purchase_view/3809372" TargetMode="External"/><Relationship Id="rId607" Type="http://schemas.openxmlformats.org/officeDocument/2006/relationships/hyperlink" Target="https://my.zakupki.prom.ua/remote/dispatcher/state_purchase_view/15682781" TargetMode="External"/><Relationship Id="rId814" Type="http://schemas.openxmlformats.org/officeDocument/2006/relationships/hyperlink" Target="https://my.zakupki.prom.ua/remote/dispatcher/state_purchase_view/24663677" TargetMode="External"/><Relationship Id="rId246" Type="http://schemas.openxmlformats.org/officeDocument/2006/relationships/hyperlink" Target="https://my.zakupki.prom.ua/remote/dispatcher/state_purchase_view/12870602" TargetMode="External"/><Relationship Id="rId453" Type="http://schemas.openxmlformats.org/officeDocument/2006/relationships/hyperlink" Target="https://my.zakupki.prom.ua/remote/dispatcher/state_purchase_view/13242236" TargetMode="External"/><Relationship Id="rId660" Type="http://schemas.openxmlformats.org/officeDocument/2006/relationships/hyperlink" Target="https://my.zakupki.prom.ua/remote/dispatcher/state_purchase_view/6052893" TargetMode="External"/><Relationship Id="rId898" Type="http://schemas.openxmlformats.org/officeDocument/2006/relationships/hyperlink" Target="https://my.zakupki.prom.ua/remote/dispatcher/state_purchase_view/23525534" TargetMode="External"/><Relationship Id="rId1083" Type="http://schemas.openxmlformats.org/officeDocument/2006/relationships/hyperlink" Target="https://my.zakupki.prom.ua/remote/dispatcher/state_purchase_view/26771585" TargetMode="External"/><Relationship Id="rId106" Type="http://schemas.openxmlformats.org/officeDocument/2006/relationships/hyperlink" Target="https://my.zakupki.prom.ua/remote/dispatcher/state_purchase_view/619114" TargetMode="External"/><Relationship Id="rId313" Type="http://schemas.openxmlformats.org/officeDocument/2006/relationships/hyperlink" Target="https://my.zakupki.prom.ua/remote/dispatcher/state_purchase_view/16479793" TargetMode="External"/><Relationship Id="rId758" Type="http://schemas.openxmlformats.org/officeDocument/2006/relationships/hyperlink" Target="https://my.zakupki.prom.ua/remote/dispatcher/state_purchase_view/4475136" TargetMode="External"/><Relationship Id="rId965" Type="http://schemas.openxmlformats.org/officeDocument/2006/relationships/hyperlink" Target="https://my.zakupki.prom.ua/remote/dispatcher/state_purchase_view/29286196" TargetMode="External"/><Relationship Id="rId1150" Type="http://schemas.openxmlformats.org/officeDocument/2006/relationships/hyperlink" Target="https://my.zakupki.prom.ua/remote/dispatcher/state_purchase_view/29824872" TargetMode="External"/><Relationship Id="rId10" Type="http://schemas.openxmlformats.org/officeDocument/2006/relationships/hyperlink" Target="https://my.zakupki.prom.ua/remote/dispatcher/state_purchase_view/11233024" TargetMode="External"/><Relationship Id="rId94" Type="http://schemas.openxmlformats.org/officeDocument/2006/relationships/hyperlink" Target="https://my.zakupki.prom.ua/remote/dispatcher/state_purchase_view/10177108" TargetMode="External"/><Relationship Id="rId397" Type="http://schemas.openxmlformats.org/officeDocument/2006/relationships/hyperlink" Target="https://my.zakupki.prom.ua/remote/dispatcher/state_purchase_view/13260389" TargetMode="External"/><Relationship Id="rId520" Type="http://schemas.openxmlformats.org/officeDocument/2006/relationships/hyperlink" Target="https://my.zakupki.prom.ua/remote/dispatcher/state_purchase_view/14054750" TargetMode="External"/><Relationship Id="rId618" Type="http://schemas.openxmlformats.org/officeDocument/2006/relationships/hyperlink" Target="https://my.zakupki.prom.ua/remote/dispatcher/state_purchase_view/17597890" TargetMode="External"/><Relationship Id="rId825" Type="http://schemas.openxmlformats.org/officeDocument/2006/relationships/hyperlink" Target="https://my.zakupki.prom.ua/remote/dispatcher/state_purchase_view/30274464" TargetMode="External"/><Relationship Id="rId257" Type="http://schemas.openxmlformats.org/officeDocument/2006/relationships/hyperlink" Target="https://my.zakupki.prom.ua/remote/dispatcher/state_purchase_view/15489355" TargetMode="External"/><Relationship Id="rId464" Type="http://schemas.openxmlformats.org/officeDocument/2006/relationships/hyperlink" Target="https://my.zakupki.prom.ua/remote/dispatcher/state_purchase_view/10392853" TargetMode="External"/><Relationship Id="rId1010" Type="http://schemas.openxmlformats.org/officeDocument/2006/relationships/hyperlink" Target="https://my.zakupki.prom.ua/remote/dispatcher/state_purchase_view/29212463" TargetMode="External"/><Relationship Id="rId1094" Type="http://schemas.openxmlformats.org/officeDocument/2006/relationships/hyperlink" Target="https://my.zakupki.prom.ua/remote/dispatcher/state_purchase_view/21869033" TargetMode="External"/><Relationship Id="rId1108" Type="http://schemas.openxmlformats.org/officeDocument/2006/relationships/hyperlink" Target="https://my.zakupki.prom.ua/remote/dispatcher/state_purchase_view/24876457" TargetMode="External"/><Relationship Id="rId117" Type="http://schemas.openxmlformats.org/officeDocument/2006/relationships/hyperlink" Target="https://my.zakupki.prom.ua/remote/dispatcher/state_purchase_view/13013462" TargetMode="External"/><Relationship Id="rId671" Type="http://schemas.openxmlformats.org/officeDocument/2006/relationships/hyperlink" Target="https://my.zakupki.prom.ua/remote/dispatcher/state_purchase_view/19102495" TargetMode="External"/><Relationship Id="rId769" Type="http://schemas.openxmlformats.org/officeDocument/2006/relationships/hyperlink" Target="https://my.zakupki.prom.ua/remote/dispatcher/state_purchase_view/13191712" TargetMode="External"/><Relationship Id="rId976" Type="http://schemas.openxmlformats.org/officeDocument/2006/relationships/hyperlink" Target="https://my.zakupki.prom.ua/remote/dispatcher/state_purchase_view/16737766" TargetMode="External"/><Relationship Id="rId324" Type="http://schemas.openxmlformats.org/officeDocument/2006/relationships/hyperlink" Target="https://my.zakupki.prom.ua/remote/dispatcher/state_purchase_view/2861239" TargetMode="External"/><Relationship Id="rId531" Type="http://schemas.openxmlformats.org/officeDocument/2006/relationships/hyperlink" Target="https://my.zakupki.prom.ua/remote/dispatcher/state_purchase_view/4221154" TargetMode="External"/><Relationship Id="rId629" Type="http://schemas.openxmlformats.org/officeDocument/2006/relationships/hyperlink" Target="https://my.zakupki.prom.ua/remote/dispatcher/state_purchase_view/19866788" TargetMode="External"/><Relationship Id="rId836" Type="http://schemas.openxmlformats.org/officeDocument/2006/relationships/hyperlink" Target="https://my.zakupki.prom.ua/remote/dispatcher/state_purchase_view/15853748" TargetMode="External"/><Relationship Id="rId1021" Type="http://schemas.openxmlformats.org/officeDocument/2006/relationships/hyperlink" Target="https://my.zakupki.prom.ua/remote/dispatcher/state_purchase_view/25886804" TargetMode="External"/><Relationship Id="rId1119" Type="http://schemas.openxmlformats.org/officeDocument/2006/relationships/hyperlink" Target="https://my.zakupki.prom.ua/remote/dispatcher/state_purchase_view/33448309" TargetMode="External"/><Relationship Id="rId903" Type="http://schemas.openxmlformats.org/officeDocument/2006/relationships/hyperlink" Target="https://my.zakupki.prom.ua/remote/dispatcher/state_purchase_view/19470115" TargetMode="External"/><Relationship Id="rId32" Type="http://schemas.openxmlformats.org/officeDocument/2006/relationships/hyperlink" Target="https://my.zakupki.prom.ua/remote/dispatcher/state_purchase_view/4680454" TargetMode="External"/><Relationship Id="rId181" Type="http://schemas.openxmlformats.org/officeDocument/2006/relationships/hyperlink" Target="https://my.zakupki.prom.ua/remote/dispatcher/state_purchase_view/6771436" TargetMode="External"/><Relationship Id="rId279" Type="http://schemas.openxmlformats.org/officeDocument/2006/relationships/hyperlink" Target="https://my.zakupki.prom.ua/remote/dispatcher/state_purchase_view/4180138" TargetMode="External"/><Relationship Id="rId486" Type="http://schemas.openxmlformats.org/officeDocument/2006/relationships/hyperlink" Target="https://my.zakupki.prom.ua/remote/dispatcher/state_purchase_view/3675364" TargetMode="External"/><Relationship Id="rId693" Type="http://schemas.openxmlformats.org/officeDocument/2006/relationships/hyperlink" Target="https://my.zakupki.prom.ua/remote/dispatcher/state_purchase_view/6763156" TargetMode="External"/><Relationship Id="rId139" Type="http://schemas.openxmlformats.org/officeDocument/2006/relationships/hyperlink" Target="https://my.zakupki.prom.ua/remote/dispatcher/state_purchase_view/3936257" TargetMode="External"/><Relationship Id="rId346" Type="http://schemas.openxmlformats.org/officeDocument/2006/relationships/hyperlink" Target="https://my.zakupki.prom.ua/remote/dispatcher/state_purchase_view/13524795" TargetMode="External"/><Relationship Id="rId553" Type="http://schemas.openxmlformats.org/officeDocument/2006/relationships/hyperlink" Target="https://my.zakupki.prom.ua/remote/dispatcher/state_purchase_view/6837366" TargetMode="External"/><Relationship Id="rId760" Type="http://schemas.openxmlformats.org/officeDocument/2006/relationships/hyperlink" Target="https://my.zakupki.prom.ua/remote/dispatcher/state_purchase_view/8011852" TargetMode="External"/><Relationship Id="rId998" Type="http://schemas.openxmlformats.org/officeDocument/2006/relationships/hyperlink" Target="https://my.zakupki.prom.ua/remote/dispatcher/state_purchase_view/15134662" TargetMode="External"/><Relationship Id="rId206" Type="http://schemas.openxmlformats.org/officeDocument/2006/relationships/hyperlink" Target="https://my.zakupki.prom.ua/remote/dispatcher/state_purchase_view/17351271" TargetMode="External"/><Relationship Id="rId413" Type="http://schemas.openxmlformats.org/officeDocument/2006/relationships/hyperlink" Target="https://my.zakupki.prom.ua/remote/dispatcher/state_purchase_view/3916803" TargetMode="External"/><Relationship Id="rId858" Type="http://schemas.openxmlformats.org/officeDocument/2006/relationships/hyperlink" Target="https://my.zakupki.prom.ua/remote/dispatcher/state_purchase_view/30129024" TargetMode="External"/><Relationship Id="rId1043" Type="http://schemas.openxmlformats.org/officeDocument/2006/relationships/hyperlink" Target="https://my.zakupki.prom.ua/remote/dispatcher/state_purchase_view/12623235" TargetMode="External"/><Relationship Id="rId620" Type="http://schemas.openxmlformats.org/officeDocument/2006/relationships/hyperlink" Target="https://my.zakupki.prom.ua/remote/dispatcher/state_purchase_view/17568422" TargetMode="External"/><Relationship Id="rId718" Type="http://schemas.openxmlformats.org/officeDocument/2006/relationships/hyperlink" Target="https://my.zakupki.prom.ua/remote/dispatcher/state_purchase_view/16192992" TargetMode="External"/><Relationship Id="rId925" Type="http://schemas.openxmlformats.org/officeDocument/2006/relationships/hyperlink" Target="https://my.zakupki.prom.ua/remote/dispatcher/state_purchase_view/17259405" TargetMode="External"/><Relationship Id="rId1110" Type="http://schemas.openxmlformats.org/officeDocument/2006/relationships/hyperlink" Target="https://my.zakupki.prom.ua/remote/dispatcher/state_purchase_view/16717990" TargetMode="External"/><Relationship Id="rId54" Type="http://schemas.openxmlformats.org/officeDocument/2006/relationships/hyperlink" Target="https://my.zakupki.prom.ua/remote/dispatcher/state_purchase_view/3339110" TargetMode="External"/><Relationship Id="rId270" Type="http://schemas.openxmlformats.org/officeDocument/2006/relationships/hyperlink" Target="https://my.zakupki.prom.ua/remote/dispatcher/state_purchase_view/5028221" TargetMode="External"/><Relationship Id="rId130" Type="http://schemas.openxmlformats.org/officeDocument/2006/relationships/hyperlink" Target="https://my.zakupki.prom.ua/remote/dispatcher/state_purchase_view/8455075" TargetMode="External"/><Relationship Id="rId368" Type="http://schemas.openxmlformats.org/officeDocument/2006/relationships/hyperlink" Target="https://my.zakupki.prom.ua/remote/dispatcher/state_purchase_view/7146487" TargetMode="External"/><Relationship Id="rId575" Type="http://schemas.openxmlformats.org/officeDocument/2006/relationships/hyperlink" Target="https://my.zakupki.prom.ua/remote/dispatcher/state_purchase_view/19369087" TargetMode="External"/><Relationship Id="rId782" Type="http://schemas.openxmlformats.org/officeDocument/2006/relationships/hyperlink" Target="https://my.zakupki.prom.ua/remote/dispatcher/state_purchase_view/16697516" TargetMode="External"/><Relationship Id="rId228" Type="http://schemas.openxmlformats.org/officeDocument/2006/relationships/hyperlink" Target="https://my.zakupki.prom.ua/remote/dispatcher/state_purchase_view/3636163" TargetMode="External"/><Relationship Id="rId435" Type="http://schemas.openxmlformats.org/officeDocument/2006/relationships/hyperlink" Target="https://my.zakupki.prom.ua/remote/dispatcher/state_purchase_view/4081307" TargetMode="External"/><Relationship Id="rId642" Type="http://schemas.openxmlformats.org/officeDocument/2006/relationships/hyperlink" Target="https://my.zakupki.prom.ua/remote/dispatcher/state_purchase_view/748661" TargetMode="External"/><Relationship Id="rId1065" Type="http://schemas.openxmlformats.org/officeDocument/2006/relationships/hyperlink" Target="https://my.zakupki.prom.ua/remote/dispatcher/state_purchase_view/31383848" TargetMode="External"/><Relationship Id="rId502" Type="http://schemas.openxmlformats.org/officeDocument/2006/relationships/hyperlink" Target="https://my.zakupki.prom.ua/remote/dispatcher/state_purchase_view/7987472" TargetMode="External"/><Relationship Id="rId947" Type="http://schemas.openxmlformats.org/officeDocument/2006/relationships/hyperlink" Target="https://my.zakupki.prom.ua/remote/dispatcher/state_purchase_view/15093344" TargetMode="External"/><Relationship Id="rId1132" Type="http://schemas.openxmlformats.org/officeDocument/2006/relationships/hyperlink" Target="https://my.zakupki.prom.ua/remote/dispatcher/state_purchase_view/20626547" TargetMode="External"/><Relationship Id="rId76" Type="http://schemas.openxmlformats.org/officeDocument/2006/relationships/hyperlink" Target="https://my.zakupki.prom.ua/remote/dispatcher/state_purchase_view/7970015" TargetMode="External"/><Relationship Id="rId807" Type="http://schemas.openxmlformats.org/officeDocument/2006/relationships/hyperlink" Target="https://my.zakupki.prom.ua/remote/dispatcher/state_purchase_view/31538247" TargetMode="External"/><Relationship Id="rId292" Type="http://schemas.openxmlformats.org/officeDocument/2006/relationships/hyperlink" Target="https://my.zakupki.prom.ua/remote/dispatcher/state_purchase_view/20673675" TargetMode="External"/><Relationship Id="rId597" Type="http://schemas.openxmlformats.org/officeDocument/2006/relationships/hyperlink" Target="https://my.zakupki.prom.ua/remote/dispatcher/state_purchase_view/7471260" TargetMode="External"/><Relationship Id="rId152" Type="http://schemas.openxmlformats.org/officeDocument/2006/relationships/hyperlink" Target="https://my.zakupki.prom.ua/remote/dispatcher/state_purchase_view/6467337" TargetMode="External"/><Relationship Id="rId457" Type="http://schemas.openxmlformats.org/officeDocument/2006/relationships/hyperlink" Target="https://my.zakupki.prom.ua/remote/dispatcher/state_purchase_view/16070870" TargetMode="External"/><Relationship Id="rId1087" Type="http://schemas.openxmlformats.org/officeDocument/2006/relationships/hyperlink" Target="https://my.zakupki.prom.ua/remote/dispatcher/state_purchase_view/26949705" TargetMode="External"/><Relationship Id="rId664" Type="http://schemas.openxmlformats.org/officeDocument/2006/relationships/hyperlink" Target="https://my.zakupki.prom.ua/remote/dispatcher/state_purchase_view/4939263" TargetMode="External"/><Relationship Id="rId871" Type="http://schemas.openxmlformats.org/officeDocument/2006/relationships/hyperlink" Target="https://my.zakupki.prom.ua/remote/dispatcher/state_purchase_view/16059262" TargetMode="External"/><Relationship Id="rId969" Type="http://schemas.openxmlformats.org/officeDocument/2006/relationships/hyperlink" Target="https://my.zakupki.prom.ua/remote/dispatcher/state_purchase_view/33034124" TargetMode="External"/><Relationship Id="rId317" Type="http://schemas.openxmlformats.org/officeDocument/2006/relationships/hyperlink" Target="https://my.zakupki.prom.ua/remote/dispatcher/state_purchase_view/5021686" TargetMode="External"/><Relationship Id="rId524" Type="http://schemas.openxmlformats.org/officeDocument/2006/relationships/hyperlink" Target="https://my.zakupki.prom.ua/remote/dispatcher/state_purchase_view/24236903" TargetMode="External"/><Relationship Id="rId731" Type="http://schemas.openxmlformats.org/officeDocument/2006/relationships/hyperlink" Target="https://my.zakupki.prom.ua/remote/dispatcher/state_purchase_view/30396765" TargetMode="External"/><Relationship Id="rId1154" Type="http://schemas.openxmlformats.org/officeDocument/2006/relationships/hyperlink" Target="https://my.zakupki.prom.ua/remote/dispatcher/state_purchase_view/31315076" TargetMode="External"/><Relationship Id="rId98" Type="http://schemas.openxmlformats.org/officeDocument/2006/relationships/hyperlink" Target="https://my.zakupki.prom.ua/remote/dispatcher/state_purchase_view/18907826" TargetMode="External"/><Relationship Id="rId829" Type="http://schemas.openxmlformats.org/officeDocument/2006/relationships/hyperlink" Target="https://my.zakupki.prom.ua/remote/dispatcher/state_purchase_view/29477604" TargetMode="External"/><Relationship Id="rId1014" Type="http://schemas.openxmlformats.org/officeDocument/2006/relationships/hyperlink" Target="https://my.zakupki.prom.ua/remote/dispatcher/state_purchase_view/30378281" TargetMode="External"/><Relationship Id="rId25" Type="http://schemas.openxmlformats.org/officeDocument/2006/relationships/hyperlink" Target="https://my.zakupki.prom.ua/remote/dispatcher/state_purchase_view/11812327" TargetMode="External"/><Relationship Id="rId174" Type="http://schemas.openxmlformats.org/officeDocument/2006/relationships/hyperlink" Target="https://my.zakupki.prom.ua/remote/dispatcher/state_purchase_view/4626499" TargetMode="External"/><Relationship Id="rId381" Type="http://schemas.openxmlformats.org/officeDocument/2006/relationships/hyperlink" Target="https://my.zakupki.prom.ua/remote/dispatcher/state_purchase_view/10611549" TargetMode="External"/><Relationship Id="rId241" Type="http://schemas.openxmlformats.org/officeDocument/2006/relationships/hyperlink" Target="https://my.zakupki.prom.ua/remote/dispatcher/state_purchase_view/6868239" TargetMode="External"/><Relationship Id="rId479" Type="http://schemas.openxmlformats.org/officeDocument/2006/relationships/hyperlink" Target="https://my.zakupki.prom.ua/remote/dispatcher/state_purchase_view/3616538" TargetMode="External"/><Relationship Id="rId686" Type="http://schemas.openxmlformats.org/officeDocument/2006/relationships/hyperlink" Target="https://my.zakupki.prom.ua/remote/dispatcher/state_purchase_view/4537346" TargetMode="External"/><Relationship Id="rId893" Type="http://schemas.openxmlformats.org/officeDocument/2006/relationships/hyperlink" Target="https://my.zakupki.prom.ua/remote/dispatcher/state_purchase_view/28255386" TargetMode="External"/><Relationship Id="rId339" Type="http://schemas.openxmlformats.org/officeDocument/2006/relationships/hyperlink" Target="https://my.zakupki.prom.ua/remote/dispatcher/state_purchase_view/4220111" TargetMode="External"/><Relationship Id="rId546" Type="http://schemas.openxmlformats.org/officeDocument/2006/relationships/hyperlink" Target="https://my.zakupki.prom.ua/remote/dispatcher/state_purchase_view/4937458" TargetMode="External"/><Relationship Id="rId753" Type="http://schemas.openxmlformats.org/officeDocument/2006/relationships/hyperlink" Target="https://my.zakupki.prom.ua/remote/dispatcher/state_purchase_view/7791716" TargetMode="External"/><Relationship Id="rId101" Type="http://schemas.openxmlformats.org/officeDocument/2006/relationships/hyperlink" Target="https://my.zakupki.prom.ua/remote/dispatcher/state_purchase_view/14574812" TargetMode="External"/><Relationship Id="rId406" Type="http://schemas.openxmlformats.org/officeDocument/2006/relationships/hyperlink" Target="https://my.zakupki.prom.ua/remote/dispatcher/state_purchase_view/6974910" TargetMode="External"/><Relationship Id="rId960" Type="http://schemas.openxmlformats.org/officeDocument/2006/relationships/hyperlink" Target="https://my.zakupki.prom.ua/remote/dispatcher/state_purchase_view/26402708" TargetMode="External"/><Relationship Id="rId1036" Type="http://schemas.openxmlformats.org/officeDocument/2006/relationships/hyperlink" Target="https://my.zakupki.prom.ua/remote/dispatcher/state_purchase_view/30210682" TargetMode="External"/><Relationship Id="rId613" Type="http://schemas.openxmlformats.org/officeDocument/2006/relationships/hyperlink" Target="https://my.zakupki.prom.ua/remote/dispatcher/state_purchase_view/11998568" TargetMode="External"/><Relationship Id="rId820" Type="http://schemas.openxmlformats.org/officeDocument/2006/relationships/hyperlink" Target="https://my.zakupki.prom.ua/remote/dispatcher/state_purchase_view/29787094" TargetMode="External"/><Relationship Id="rId918" Type="http://schemas.openxmlformats.org/officeDocument/2006/relationships/hyperlink" Target="https://my.zakupki.prom.ua/remote/dispatcher/state_purchase_view/32602312" TargetMode="External"/><Relationship Id="rId1103" Type="http://schemas.openxmlformats.org/officeDocument/2006/relationships/hyperlink" Target="https://my.zakupki.prom.ua/remote/dispatcher/state_purchase_view/23497581" TargetMode="External"/><Relationship Id="rId47" Type="http://schemas.openxmlformats.org/officeDocument/2006/relationships/hyperlink" Target="https://my.zakupki.prom.ua/remote/dispatcher/state_purchase_view/13588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161"/>
  <sheetViews>
    <sheetView tabSelected="1" workbookViewId="0">
      <pane ySplit="2" topLeftCell="A3" activePane="bottomLeft" state="frozen"/>
      <selection pane="bottomLeft" activeCell="O902" sqref="O902"/>
    </sheetView>
  </sheetViews>
  <sheetFormatPr defaultColWidth="11.42578125" defaultRowHeight="15" x14ac:dyDescent="0.25"/>
  <cols>
    <col min="1" max="1" width="5"/>
    <col min="2" max="2" width="25"/>
    <col min="3" max="3" width="49" customWidth="1"/>
    <col min="4" max="4" width="35"/>
    <col min="5" max="5" width="13.5703125" customWidth="1"/>
    <col min="6" max="6" width="10"/>
    <col min="7" max="7" width="16.5703125" customWidth="1"/>
    <col min="8" max="8" width="15"/>
    <col min="9" max="9" width="20"/>
    <col min="10" max="10" width="11" customWidth="1"/>
    <col min="11" max="12" width="15"/>
  </cols>
  <sheetData>
    <row r="1" spans="1:12" ht="15.75" thickBot="1" x14ac:dyDescent="0.3">
      <c r="A1" s="1" t="s">
        <v>1084</v>
      </c>
    </row>
    <row r="2" spans="1:12" ht="39.75" thickBot="1" x14ac:dyDescent="0.3">
      <c r="A2" s="3" t="s">
        <v>1425</v>
      </c>
      <c r="B2" s="3" t="s">
        <v>294</v>
      </c>
      <c r="C2" s="3" t="s">
        <v>971</v>
      </c>
      <c r="D2" s="3" t="s">
        <v>542</v>
      </c>
      <c r="E2" s="3" t="s">
        <v>1255</v>
      </c>
      <c r="F2" s="3" t="s">
        <v>452</v>
      </c>
      <c r="G2" s="3" t="s">
        <v>450</v>
      </c>
      <c r="H2" s="3" t="s">
        <v>690</v>
      </c>
      <c r="I2" s="3" t="s">
        <v>1369</v>
      </c>
      <c r="J2" s="3" t="s">
        <v>1088</v>
      </c>
      <c r="K2" s="3" t="s">
        <v>451</v>
      </c>
      <c r="L2" s="3" t="s">
        <v>1098</v>
      </c>
    </row>
    <row r="3" spans="1:12" hidden="1" x14ac:dyDescent="0.25">
      <c r="A3" s="4">
        <v>1</v>
      </c>
      <c r="B3" s="2" t="str">
        <f>HYPERLINK("https://my.zakupki.prom.ua/remote/dispatcher/state_purchase_view/10256078", "UA-2019-01-30-002000-b")</f>
        <v>UA-2019-01-30-002000-b</v>
      </c>
      <c r="C3" s="1" t="s">
        <v>1005</v>
      </c>
      <c r="D3" s="1" t="s">
        <v>226</v>
      </c>
      <c r="E3" s="1" t="s">
        <v>488</v>
      </c>
      <c r="F3" s="5">
        <v>43495</v>
      </c>
      <c r="G3" s="1" t="s">
        <v>1397</v>
      </c>
      <c r="H3" s="6">
        <v>212445</v>
      </c>
      <c r="I3" s="1" t="s">
        <v>708</v>
      </c>
      <c r="J3" s="1" t="s">
        <v>1405</v>
      </c>
      <c r="K3" s="7">
        <v>43495.538958896854</v>
      </c>
      <c r="L3" s="6">
        <v>212445</v>
      </c>
    </row>
    <row r="4" spans="1:12" hidden="1" x14ac:dyDescent="0.25">
      <c r="A4" s="4">
        <v>2</v>
      </c>
      <c r="B4" s="2" t="str">
        <f>HYPERLINK("https://my.zakupki.prom.ua/remote/dispatcher/state_purchase_view/7649874", "UA-2018-07-06-001886-a")</f>
        <v>UA-2018-07-06-001886-a</v>
      </c>
      <c r="C4" s="1" t="s">
        <v>274</v>
      </c>
      <c r="D4" s="1" t="s">
        <v>190</v>
      </c>
      <c r="E4" s="1" t="s">
        <v>390</v>
      </c>
      <c r="F4" s="5">
        <v>43287</v>
      </c>
      <c r="G4" s="7">
        <v>43304.489606481482</v>
      </c>
      <c r="H4" s="6">
        <v>25164451.59</v>
      </c>
      <c r="I4" s="1" t="s">
        <v>1155</v>
      </c>
      <c r="J4" s="1" t="s">
        <v>1405</v>
      </c>
      <c r="K4" s="7">
        <v>43318.7389936787</v>
      </c>
      <c r="L4" s="6">
        <v>25159959.32</v>
      </c>
    </row>
    <row r="5" spans="1:12" hidden="1" x14ac:dyDescent="0.25">
      <c r="A5" s="4">
        <v>3</v>
      </c>
      <c r="B5" s="2" t="str">
        <f>HYPERLINK("https://my.zakupki.prom.ua/remote/dispatcher/state_purchase_view/7542480", "UA-2018-06-23-000398-a")</f>
        <v>UA-2018-06-23-000398-a</v>
      </c>
      <c r="C5" s="1" t="s">
        <v>3</v>
      </c>
      <c r="D5" s="1" t="s">
        <v>190</v>
      </c>
      <c r="E5" s="1" t="s">
        <v>390</v>
      </c>
      <c r="F5" s="5">
        <v>43274</v>
      </c>
      <c r="G5" s="7">
        <v>43292.621400462966</v>
      </c>
      <c r="H5" s="6">
        <v>17077608.600000001</v>
      </c>
      <c r="I5" s="1" t="s">
        <v>1155</v>
      </c>
      <c r="J5" s="1" t="s">
        <v>1405</v>
      </c>
      <c r="K5" s="7">
        <v>43308.490915853843</v>
      </c>
      <c r="L5" s="6">
        <v>17077410.199999999</v>
      </c>
    </row>
    <row r="6" spans="1:12" hidden="1" x14ac:dyDescent="0.25">
      <c r="A6" s="4">
        <v>4</v>
      </c>
      <c r="B6" s="2" t="str">
        <f>HYPERLINK("https://my.zakupki.prom.ua/remote/dispatcher/state_purchase_view/7985639", "UA-2018-08-14-001683-b")</f>
        <v>UA-2018-08-14-001683-b</v>
      </c>
      <c r="C6" s="1" t="s">
        <v>793</v>
      </c>
      <c r="D6" s="1" t="s">
        <v>225</v>
      </c>
      <c r="E6" s="1" t="s">
        <v>488</v>
      </c>
      <c r="F6" s="5">
        <v>43326</v>
      </c>
      <c r="G6" s="1" t="s">
        <v>1397</v>
      </c>
      <c r="H6" s="6">
        <v>99483</v>
      </c>
      <c r="I6" s="1" t="s">
        <v>1202</v>
      </c>
      <c r="J6" s="1" t="s">
        <v>1405</v>
      </c>
      <c r="K6" s="7">
        <v>43326.671593013139</v>
      </c>
      <c r="L6" s="6">
        <v>99483</v>
      </c>
    </row>
    <row r="7" spans="1:12" hidden="1" x14ac:dyDescent="0.25">
      <c r="A7" s="4">
        <v>5</v>
      </c>
      <c r="B7" s="2" t="str">
        <f>HYPERLINK("https://my.zakupki.prom.ua/remote/dispatcher/state_purchase_view/8009275", "UA-2018-08-16-001813-b")</f>
        <v>UA-2018-08-16-001813-b</v>
      </c>
      <c r="C7" s="1" t="s">
        <v>1028</v>
      </c>
      <c r="D7" s="1" t="s">
        <v>220</v>
      </c>
      <c r="E7" s="1" t="s">
        <v>488</v>
      </c>
      <c r="F7" s="5">
        <v>43328</v>
      </c>
      <c r="G7" s="1" t="s">
        <v>1397</v>
      </c>
      <c r="H7" s="6">
        <v>68247</v>
      </c>
      <c r="I7" s="1" t="s">
        <v>1233</v>
      </c>
      <c r="J7" s="1" t="s">
        <v>1405</v>
      </c>
      <c r="K7" s="7">
        <v>43328.625314824756</v>
      </c>
      <c r="L7" s="6">
        <v>68247</v>
      </c>
    </row>
    <row r="8" spans="1:12" hidden="1" x14ac:dyDescent="0.25">
      <c r="A8" s="4">
        <v>6</v>
      </c>
      <c r="B8" s="2" t="str">
        <f>HYPERLINK("https://my.zakupki.prom.ua/remote/dispatcher/state_purchase_view/7850988", "UA-2018-07-30-001414-b")</f>
        <v>UA-2018-07-30-001414-b</v>
      </c>
      <c r="C8" s="1" t="s">
        <v>719</v>
      </c>
      <c r="D8" s="1" t="s">
        <v>117</v>
      </c>
      <c r="E8" s="1" t="s">
        <v>488</v>
      </c>
      <c r="F8" s="5">
        <v>43311</v>
      </c>
      <c r="G8" s="1" t="s">
        <v>1397</v>
      </c>
      <c r="H8" s="6">
        <v>162750</v>
      </c>
      <c r="I8" s="1" t="s">
        <v>1395</v>
      </c>
      <c r="J8" s="1" t="s">
        <v>1405</v>
      </c>
      <c r="K8" s="7">
        <v>43311.71894996507</v>
      </c>
      <c r="L8" s="6">
        <v>162750</v>
      </c>
    </row>
    <row r="9" spans="1:12" hidden="1" x14ac:dyDescent="0.25">
      <c r="A9" s="4">
        <v>7</v>
      </c>
      <c r="B9" s="2" t="str">
        <f>HYPERLINK("https://my.zakupki.prom.ua/remote/dispatcher/state_purchase_view/9064530", "UA-2018-11-27-002787-c")</f>
        <v>UA-2018-11-27-002787-c</v>
      </c>
      <c r="C9" s="1" t="s">
        <v>879</v>
      </c>
      <c r="D9" s="1" t="s">
        <v>188</v>
      </c>
      <c r="E9" s="1" t="s">
        <v>390</v>
      </c>
      <c r="F9" s="5">
        <v>43431</v>
      </c>
      <c r="G9" s="7">
        <v>43447.490717592591</v>
      </c>
      <c r="H9" s="6">
        <v>39771.9</v>
      </c>
      <c r="I9" s="1" t="s">
        <v>1110</v>
      </c>
      <c r="J9" s="1" t="s">
        <v>1405</v>
      </c>
      <c r="K9" s="7">
        <v>43468.526060785116</v>
      </c>
      <c r="L9" s="6">
        <v>39573.050000000003</v>
      </c>
    </row>
    <row r="10" spans="1:12" hidden="1" x14ac:dyDescent="0.25">
      <c r="A10" s="4">
        <v>8</v>
      </c>
      <c r="B10" s="2" t="str">
        <f>HYPERLINK("https://my.zakupki.prom.ua/remote/dispatcher/state_purchase_view/11280785", "UA-2019-04-12-000590-a")</f>
        <v>UA-2019-04-12-000590-a</v>
      </c>
      <c r="C10" s="1" t="s">
        <v>339</v>
      </c>
      <c r="D10" s="1" t="s">
        <v>30</v>
      </c>
      <c r="E10" s="1" t="s">
        <v>390</v>
      </c>
      <c r="F10" s="5">
        <v>43567</v>
      </c>
      <c r="G10" s="7">
        <v>43587.555219907408</v>
      </c>
      <c r="H10" s="6">
        <v>336790</v>
      </c>
      <c r="I10" s="1" t="s">
        <v>1244</v>
      </c>
      <c r="J10" s="1" t="s">
        <v>1405</v>
      </c>
      <c r="K10" s="7">
        <v>43605.406433421631</v>
      </c>
      <c r="L10" s="6">
        <v>335990</v>
      </c>
    </row>
    <row r="11" spans="1:12" hidden="1" x14ac:dyDescent="0.25">
      <c r="A11" s="4">
        <v>9</v>
      </c>
      <c r="B11" s="2" t="str">
        <f>HYPERLINK("https://my.zakupki.prom.ua/remote/dispatcher/state_purchase_view/11233024", "UA-2019-04-09-001165-a")</f>
        <v>UA-2019-04-09-001165-a</v>
      </c>
      <c r="C11" s="1" t="s">
        <v>281</v>
      </c>
      <c r="D11" s="1" t="s">
        <v>188</v>
      </c>
      <c r="E11" s="1" t="s">
        <v>390</v>
      </c>
      <c r="F11" s="5">
        <v>43564</v>
      </c>
      <c r="G11" s="7">
        <v>43580.572893518518</v>
      </c>
      <c r="H11" s="6">
        <v>315000</v>
      </c>
      <c r="I11" s="1" t="s">
        <v>1322</v>
      </c>
      <c r="J11" s="1" t="s">
        <v>1404</v>
      </c>
      <c r="K11" s="7">
        <v>43596.375948741254</v>
      </c>
      <c r="L11" s="6">
        <v>198945</v>
      </c>
    </row>
    <row r="12" spans="1:12" hidden="1" x14ac:dyDescent="0.25">
      <c r="A12" s="4">
        <v>10</v>
      </c>
      <c r="B12" s="2" t="str">
        <f>HYPERLINK("https://my.zakupki.prom.ua/remote/dispatcher/state_purchase_view/11233024", "UA-2019-04-09-001165-a")</f>
        <v>UA-2019-04-09-001165-a</v>
      </c>
      <c r="C12" s="1" t="s">
        <v>280</v>
      </c>
      <c r="D12" s="1" t="s">
        <v>188</v>
      </c>
      <c r="E12" s="1" t="s">
        <v>390</v>
      </c>
      <c r="F12" s="5">
        <v>43564</v>
      </c>
      <c r="G12" s="7">
        <v>43580.596250000002</v>
      </c>
      <c r="H12" s="6">
        <v>315000</v>
      </c>
      <c r="I12" s="1" t="s">
        <v>1322</v>
      </c>
      <c r="J12" s="1" t="s">
        <v>1404</v>
      </c>
      <c r="K12" s="7">
        <v>43596.374702275534</v>
      </c>
      <c r="L12" s="6">
        <v>113650</v>
      </c>
    </row>
    <row r="13" spans="1:12" hidden="1" x14ac:dyDescent="0.25">
      <c r="A13" s="4">
        <v>11</v>
      </c>
      <c r="B13" s="2" t="str">
        <f>HYPERLINK("https://my.zakupki.prom.ua/remote/dispatcher/state_purchase_view/10793167", "UA-2019-03-04-000430-a")</f>
        <v>UA-2019-03-04-000430-a</v>
      </c>
      <c r="C13" s="1" t="s">
        <v>881</v>
      </c>
      <c r="D13" s="1" t="s">
        <v>232</v>
      </c>
      <c r="E13" s="1" t="s">
        <v>470</v>
      </c>
      <c r="F13" s="5">
        <v>43528</v>
      </c>
      <c r="G13" s="1" t="s">
        <v>1398</v>
      </c>
      <c r="H13" s="6">
        <v>47755</v>
      </c>
      <c r="I13" s="1" t="s">
        <v>1187</v>
      </c>
      <c r="J13" s="1" t="s">
        <v>1405</v>
      </c>
      <c r="K13" s="7">
        <v>43543.407292830569</v>
      </c>
      <c r="L13" s="6">
        <v>47755</v>
      </c>
    </row>
    <row r="14" spans="1:12" hidden="1" x14ac:dyDescent="0.25">
      <c r="A14" s="4">
        <v>12</v>
      </c>
      <c r="B14" s="2" t="str">
        <f>HYPERLINK("https://my.zakupki.prom.ua/remote/dispatcher/state_purchase_view/10392142", "UA-2019-02-05-002300-b")</f>
        <v>UA-2019-02-05-002300-b</v>
      </c>
      <c r="C14" s="1" t="s">
        <v>850</v>
      </c>
      <c r="D14" s="1" t="s">
        <v>235</v>
      </c>
      <c r="E14" s="1" t="s">
        <v>390</v>
      </c>
      <c r="F14" s="5">
        <v>43501</v>
      </c>
      <c r="G14" s="7">
        <v>43517.556203703702</v>
      </c>
      <c r="H14" s="6">
        <v>399955</v>
      </c>
      <c r="I14" s="1" t="s">
        <v>1135</v>
      </c>
      <c r="J14" s="1" t="s">
        <v>1405</v>
      </c>
      <c r="K14" s="7">
        <v>43535.409155451656</v>
      </c>
      <c r="L14" s="6">
        <v>397700</v>
      </c>
    </row>
    <row r="15" spans="1:12" hidden="1" x14ac:dyDescent="0.25">
      <c r="A15" s="4">
        <v>13</v>
      </c>
      <c r="B15" s="2" t="str">
        <f>HYPERLINK("https://my.zakupki.prom.ua/remote/dispatcher/state_purchase_view/855261", "UA-2016-11-08-001033-b")</f>
        <v>UA-2016-11-08-001033-b</v>
      </c>
      <c r="C15" s="1" t="s">
        <v>435</v>
      </c>
      <c r="D15" s="1" t="s">
        <v>145</v>
      </c>
      <c r="E15" s="1" t="s">
        <v>470</v>
      </c>
      <c r="F15" s="5">
        <v>42682</v>
      </c>
      <c r="G15" s="1" t="s">
        <v>1399</v>
      </c>
      <c r="H15" s="6">
        <v>12750</v>
      </c>
      <c r="I15" s="1" t="s">
        <v>1291</v>
      </c>
      <c r="J15" s="1" t="s">
        <v>1404</v>
      </c>
      <c r="K15" s="7">
        <v>42695.412246049724</v>
      </c>
      <c r="L15" s="6">
        <v>9990</v>
      </c>
    </row>
    <row r="16" spans="1:12" hidden="1" x14ac:dyDescent="0.25">
      <c r="A16" s="4">
        <v>14</v>
      </c>
      <c r="B16" s="2" t="str">
        <f>HYPERLINK("https://my.zakupki.prom.ua/remote/dispatcher/state_purchase_view/855261", "UA-2016-11-08-001033-b")</f>
        <v>UA-2016-11-08-001033-b</v>
      </c>
      <c r="C16" s="1" t="s">
        <v>435</v>
      </c>
      <c r="D16" s="1" t="s">
        <v>145</v>
      </c>
      <c r="E16" s="1" t="s">
        <v>470</v>
      </c>
      <c r="F16" s="5">
        <v>42682</v>
      </c>
      <c r="G16" s="1" t="s">
        <v>1399</v>
      </c>
      <c r="H16" s="6">
        <v>12750</v>
      </c>
      <c r="I16" s="1" t="s">
        <v>1291</v>
      </c>
      <c r="J16" s="1" t="s">
        <v>1404</v>
      </c>
      <c r="K16" s="7">
        <v>42695.412461961321</v>
      </c>
      <c r="L16" s="6">
        <v>2750</v>
      </c>
    </row>
    <row r="17" spans="1:12" hidden="1" x14ac:dyDescent="0.25">
      <c r="A17" s="4">
        <v>15</v>
      </c>
      <c r="B17" s="2" t="str">
        <f>HYPERLINK("https://my.zakupki.prom.ua/remote/dispatcher/state_purchase_view/1009271", "UA-2016-11-24-001290-a")</f>
        <v>UA-2016-11-24-001290-a</v>
      </c>
      <c r="C17" s="1" t="s">
        <v>934</v>
      </c>
      <c r="D17" s="1" t="s">
        <v>242</v>
      </c>
      <c r="E17" s="1" t="s">
        <v>470</v>
      </c>
      <c r="F17" s="5">
        <v>42698</v>
      </c>
      <c r="G17" s="7">
        <v>42706.589930555558</v>
      </c>
      <c r="H17" s="6">
        <v>112800</v>
      </c>
      <c r="I17" s="1" t="s">
        <v>1180</v>
      </c>
      <c r="J17" s="1" t="s">
        <v>1405</v>
      </c>
      <c r="K17" s="7">
        <v>42711.397654290507</v>
      </c>
      <c r="L17" s="6">
        <v>99828</v>
      </c>
    </row>
    <row r="18" spans="1:12" hidden="1" x14ac:dyDescent="0.25">
      <c r="A18" s="4">
        <v>16</v>
      </c>
      <c r="B18" s="2" t="str">
        <f>HYPERLINK("https://my.zakupki.prom.ua/remote/dispatcher/state_purchase_view/1035230", "UA-2016-11-28-000962-a")</f>
        <v>UA-2016-11-28-000962-a</v>
      </c>
      <c r="C18" s="1" t="s">
        <v>988</v>
      </c>
      <c r="D18" s="1" t="s">
        <v>89</v>
      </c>
      <c r="E18" s="1" t="s">
        <v>470</v>
      </c>
      <c r="F18" s="5">
        <v>42702</v>
      </c>
      <c r="G18" s="1" t="s">
        <v>1398</v>
      </c>
      <c r="H18" s="6">
        <v>11728</v>
      </c>
      <c r="I18" s="1"/>
      <c r="J18" s="1" t="s">
        <v>1406</v>
      </c>
      <c r="K18" s="7">
        <v>42709.644008631942</v>
      </c>
      <c r="L18" s="1"/>
    </row>
    <row r="19" spans="1:12" hidden="1" x14ac:dyDescent="0.25">
      <c r="A19" s="4">
        <v>17</v>
      </c>
      <c r="B19" s="2" t="str">
        <f>HYPERLINK("https://my.zakupki.prom.ua/remote/dispatcher/state_purchase_view/1784504", "UA-2017-01-26-001144-b")</f>
        <v>UA-2017-01-26-001144-b</v>
      </c>
      <c r="C19" s="1" t="s">
        <v>6</v>
      </c>
      <c r="D19" s="1" t="s">
        <v>68</v>
      </c>
      <c r="E19" s="1" t="s">
        <v>470</v>
      </c>
      <c r="F19" s="5">
        <v>42761</v>
      </c>
      <c r="G19" s="7">
        <v>42773.467488425929</v>
      </c>
      <c r="H19" s="6">
        <v>3096</v>
      </c>
      <c r="I19" s="1" t="s">
        <v>1304</v>
      </c>
      <c r="J19" s="1" t="s">
        <v>1405</v>
      </c>
      <c r="K19" s="7">
        <v>42779.715687134129</v>
      </c>
      <c r="L19" s="6">
        <v>2660</v>
      </c>
    </row>
    <row r="20" spans="1:12" hidden="1" x14ac:dyDescent="0.25">
      <c r="A20" s="4">
        <v>18</v>
      </c>
      <c r="B20" s="2" t="str">
        <f>HYPERLINK("https://my.zakupki.prom.ua/remote/dispatcher/state_purchase_view/1963963", "UA-2017-02-03-000261-b")</f>
        <v>UA-2017-02-03-000261-b</v>
      </c>
      <c r="C20" s="1" t="s">
        <v>754</v>
      </c>
      <c r="D20" s="1" t="s">
        <v>243</v>
      </c>
      <c r="E20" s="1" t="s">
        <v>470</v>
      </c>
      <c r="F20" s="5">
        <v>42769</v>
      </c>
      <c r="G20" s="7">
        <v>42776.493495370371</v>
      </c>
      <c r="H20" s="6">
        <v>9770</v>
      </c>
      <c r="I20" s="1" t="s">
        <v>1365</v>
      </c>
      <c r="J20" s="1" t="s">
        <v>1405</v>
      </c>
      <c r="K20" s="7">
        <v>42783.449417358053</v>
      </c>
      <c r="L20" s="6">
        <v>5400</v>
      </c>
    </row>
    <row r="21" spans="1:12" hidden="1" x14ac:dyDescent="0.25">
      <c r="A21" s="4">
        <v>19</v>
      </c>
      <c r="B21" s="2" t="str">
        <f>HYPERLINK("https://my.zakupki.prom.ua/remote/dispatcher/state_purchase_view/6626584", "UA-2018-03-23-001957-b")</f>
        <v>UA-2018-03-23-001957-b</v>
      </c>
      <c r="C21" s="1" t="s">
        <v>890</v>
      </c>
      <c r="D21" s="1" t="s">
        <v>238</v>
      </c>
      <c r="E21" s="1" t="s">
        <v>470</v>
      </c>
      <c r="F21" s="5">
        <v>43182</v>
      </c>
      <c r="G21" s="7">
        <v>43194.615868055553</v>
      </c>
      <c r="H21" s="6">
        <v>68000</v>
      </c>
      <c r="I21" s="1" t="s">
        <v>1342</v>
      </c>
      <c r="J21" s="1" t="s">
        <v>1405</v>
      </c>
      <c r="K21" s="7">
        <v>43203.677369192534</v>
      </c>
      <c r="L21" s="6">
        <v>50000</v>
      </c>
    </row>
    <row r="22" spans="1:12" hidden="1" x14ac:dyDescent="0.25">
      <c r="A22" s="4">
        <v>20</v>
      </c>
      <c r="B22" s="2" t="str">
        <f>HYPERLINK("https://my.zakupki.prom.ua/remote/dispatcher/state_purchase_view/8809110", "UA-2018-11-08-000747-c")</f>
        <v>UA-2018-11-08-000747-c</v>
      </c>
      <c r="C22" s="1" t="s">
        <v>835</v>
      </c>
      <c r="D22" s="1" t="s">
        <v>265</v>
      </c>
      <c r="E22" s="1" t="s">
        <v>390</v>
      </c>
      <c r="F22" s="5">
        <v>43412</v>
      </c>
      <c r="G22" s="7">
        <v>43430.610625000001</v>
      </c>
      <c r="H22" s="6">
        <v>950000</v>
      </c>
      <c r="I22" s="1" t="s">
        <v>1120</v>
      </c>
      <c r="J22" s="1" t="s">
        <v>1405</v>
      </c>
      <c r="K22" s="7">
        <v>43446.432730904235</v>
      </c>
      <c r="L22" s="6">
        <v>930000</v>
      </c>
    </row>
    <row r="23" spans="1:12" hidden="1" x14ac:dyDescent="0.25">
      <c r="A23" s="4">
        <v>21</v>
      </c>
      <c r="B23" s="2" t="str">
        <f>HYPERLINK("https://my.zakupki.prom.ua/remote/dispatcher/state_purchase_view/9096686", "UA-2018-11-29-001436-c")</f>
        <v>UA-2018-11-29-001436-c</v>
      </c>
      <c r="C23" s="1" t="s">
        <v>405</v>
      </c>
      <c r="D23" s="1" t="s">
        <v>178</v>
      </c>
      <c r="E23" s="1" t="s">
        <v>470</v>
      </c>
      <c r="F23" s="5">
        <v>43433</v>
      </c>
      <c r="G23" s="7">
        <v>43441.559907407405</v>
      </c>
      <c r="H23" s="6">
        <v>78000</v>
      </c>
      <c r="I23" s="1" t="s">
        <v>1337</v>
      </c>
      <c r="J23" s="1" t="s">
        <v>1405</v>
      </c>
      <c r="K23" s="7">
        <v>43455.589203505777</v>
      </c>
      <c r="L23" s="6">
        <v>78000</v>
      </c>
    </row>
    <row r="24" spans="1:12" hidden="1" x14ac:dyDescent="0.25">
      <c r="A24" s="4">
        <v>22</v>
      </c>
      <c r="B24" s="2" t="str">
        <f>HYPERLINK("https://my.zakupki.prom.ua/remote/dispatcher/state_purchase_view/12644562", "UA-2019-08-27-000311-a")</f>
        <v>UA-2019-08-27-000311-a</v>
      </c>
      <c r="C24" s="1" t="s">
        <v>627</v>
      </c>
      <c r="D24" s="1" t="s">
        <v>170</v>
      </c>
      <c r="E24" s="1" t="s">
        <v>390</v>
      </c>
      <c r="F24" s="5">
        <v>43704</v>
      </c>
      <c r="G24" s="7">
        <v>43721.588125000002</v>
      </c>
      <c r="H24" s="6">
        <v>220000</v>
      </c>
      <c r="I24" s="1" t="s">
        <v>1320</v>
      </c>
      <c r="J24" s="1" t="s">
        <v>1405</v>
      </c>
      <c r="K24" s="7">
        <v>43738.66681213204</v>
      </c>
      <c r="L24" s="6">
        <v>219000</v>
      </c>
    </row>
    <row r="25" spans="1:12" hidden="1" x14ac:dyDescent="0.25">
      <c r="A25" s="4">
        <v>23</v>
      </c>
      <c r="B25" s="2" t="str">
        <f>HYPERLINK("https://my.zakupki.prom.ua/remote/dispatcher/state_purchase_view/12254827", "UA-2019-07-17-000414-b")</f>
        <v>UA-2019-07-17-000414-b</v>
      </c>
      <c r="C25" s="1" t="s">
        <v>770</v>
      </c>
      <c r="D25" s="1" t="s">
        <v>235</v>
      </c>
      <c r="E25" s="1" t="s">
        <v>390</v>
      </c>
      <c r="F25" s="5">
        <v>43663</v>
      </c>
      <c r="G25" s="7">
        <v>43679.492442129631</v>
      </c>
      <c r="H25" s="6">
        <v>250000</v>
      </c>
      <c r="I25" s="1" t="s">
        <v>1135</v>
      </c>
      <c r="J25" s="1" t="s">
        <v>1405</v>
      </c>
      <c r="K25" s="7">
        <v>43696.489316388128</v>
      </c>
      <c r="L25" s="6">
        <v>249480</v>
      </c>
    </row>
    <row r="26" spans="1:12" hidden="1" x14ac:dyDescent="0.25">
      <c r="A26" s="4">
        <v>24</v>
      </c>
      <c r="B26" s="2" t="str">
        <f>HYPERLINK("https://my.zakupki.prom.ua/remote/dispatcher/state_purchase_view/11940593", "UA-2019-06-14-001227-b")</f>
        <v>UA-2019-06-14-001227-b</v>
      </c>
      <c r="C26" s="1" t="s">
        <v>467</v>
      </c>
      <c r="D26" s="1" t="s">
        <v>123</v>
      </c>
      <c r="E26" s="1" t="s">
        <v>390</v>
      </c>
      <c r="F26" s="5">
        <v>43630</v>
      </c>
      <c r="G26" s="7">
        <v>43647.657500000001</v>
      </c>
      <c r="H26" s="6">
        <v>390000</v>
      </c>
      <c r="I26" s="1" t="s">
        <v>1331</v>
      </c>
      <c r="J26" s="1" t="s">
        <v>1405</v>
      </c>
      <c r="K26" s="7">
        <v>43663.425806635045</v>
      </c>
      <c r="L26" s="6">
        <v>386000</v>
      </c>
    </row>
    <row r="27" spans="1:12" hidden="1" x14ac:dyDescent="0.25">
      <c r="A27" s="4">
        <v>25</v>
      </c>
      <c r="B27" s="2" t="str">
        <f>HYPERLINK("https://my.zakupki.prom.ua/remote/dispatcher/state_purchase_view/11812327", "UA-2019-06-04-001889-b")</f>
        <v>UA-2019-06-04-001889-b</v>
      </c>
      <c r="C27" s="1" t="s">
        <v>409</v>
      </c>
      <c r="D27" s="1" t="s">
        <v>110</v>
      </c>
      <c r="E27" s="1" t="s">
        <v>470</v>
      </c>
      <c r="F27" s="5">
        <v>43620</v>
      </c>
      <c r="G27" s="7">
        <v>43628.532685185186</v>
      </c>
      <c r="H27" s="6">
        <v>4950</v>
      </c>
      <c r="I27" s="1" t="s">
        <v>313</v>
      </c>
      <c r="J27" s="1" t="s">
        <v>1405</v>
      </c>
      <c r="K27" s="7">
        <v>43635.668586816253</v>
      </c>
      <c r="L27" s="6">
        <v>4950</v>
      </c>
    </row>
    <row r="28" spans="1:12" hidden="1" x14ac:dyDescent="0.25">
      <c r="A28" s="4">
        <v>26</v>
      </c>
      <c r="B28" s="2" t="str">
        <f>HYPERLINK("https://my.zakupki.prom.ua/remote/dispatcher/state_purchase_view/5067060", "UA-2017-12-18-001120-b")</f>
        <v>UA-2017-12-18-001120-b</v>
      </c>
      <c r="C28" s="1" t="s">
        <v>946</v>
      </c>
      <c r="D28" s="1" t="s">
        <v>184</v>
      </c>
      <c r="E28" s="1" t="s">
        <v>390</v>
      </c>
      <c r="F28" s="5">
        <v>43087</v>
      </c>
      <c r="G28" s="7">
        <v>43103.494456018518</v>
      </c>
      <c r="H28" s="6">
        <v>195000</v>
      </c>
      <c r="I28" s="1" t="s">
        <v>1170</v>
      </c>
      <c r="J28" s="1" t="s">
        <v>1405</v>
      </c>
      <c r="K28" s="7">
        <v>43122.457440551909</v>
      </c>
      <c r="L28" s="6">
        <v>175094</v>
      </c>
    </row>
    <row r="29" spans="1:12" hidden="1" x14ac:dyDescent="0.25">
      <c r="A29" s="4">
        <v>27</v>
      </c>
      <c r="B29" s="2" t="str">
        <f>HYPERLINK("https://my.zakupki.prom.ua/remote/dispatcher/state_purchase_view/5125793", "UA-2017-12-20-003407-c")</f>
        <v>UA-2017-12-20-003407-c</v>
      </c>
      <c r="C29" s="1" t="s">
        <v>672</v>
      </c>
      <c r="D29" s="1" t="s">
        <v>148</v>
      </c>
      <c r="E29" s="1" t="s">
        <v>488</v>
      </c>
      <c r="F29" s="5">
        <v>43089</v>
      </c>
      <c r="G29" s="1" t="s">
        <v>1397</v>
      </c>
      <c r="H29" s="6">
        <v>176000</v>
      </c>
      <c r="I29" s="1" t="s">
        <v>1364</v>
      </c>
      <c r="J29" s="1" t="s">
        <v>1405</v>
      </c>
      <c r="K29" s="7">
        <v>43089.705228421422</v>
      </c>
      <c r="L29" s="6">
        <v>176000</v>
      </c>
    </row>
    <row r="30" spans="1:12" hidden="1" x14ac:dyDescent="0.25">
      <c r="A30" s="4">
        <v>28</v>
      </c>
      <c r="B30" s="2" t="str">
        <f>HYPERLINK("https://my.zakupki.prom.ua/remote/dispatcher/state_purchase_view/3675806", "UA-2017-07-31-001677-b")</f>
        <v>UA-2017-07-31-001677-b</v>
      </c>
      <c r="C30" s="1" t="s">
        <v>428</v>
      </c>
      <c r="D30" s="1" t="s">
        <v>118</v>
      </c>
      <c r="E30" s="1" t="s">
        <v>470</v>
      </c>
      <c r="F30" s="5">
        <v>42947</v>
      </c>
      <c r="G30" s="7">
        <v>42957.61582175926</v>
      </c>
      <c r="H30" s="6">
        <v>18000</v>
      </c>
      <c r="I30" s="1" t="s">
        <v>1170</v>
      </c>
      <c r="J30" s="1" t="s">
        <v>1405</v>
      </c>
      <c r="K30" s="7">
        <v>42975.473246327456</v>
      </c>
      <c r="L30" s="6">
        <v>16600</v>
      </c>
    </row>
    <row r="31" spans="1:12" hidden="1" x14ac:dyDescent="0.25">
      <c r="A31" s="4">
        <v>29</v>
      </c>
      <c r="B31" s="2" t="str">
        <f>HYPERLINK("https://my.zakupki.prom.ua/remote/dispatcher/state_purchase_view/3918705", "UA-2017-08-31-001061-a")</f>
        <v>UA-2017-08-31-001061-a</v>
      </c>
      <c r="C31" s="1" t="s">
        <v>1023</v>
      </c>
      <c r="D31" s="1" t="s">
        <v>220</v>
      </c>
      <c r="E31" s="1" t="s">
        <v>488</v>
      </c>
      <c r="F31" s="5">
        <v>42978</v>
      </c>
      <c r="G31" s="1" t="s">
        <v>1397</v>
      </c>
      <c r="H31" s="6">
        <v>148732.79999999999</v>
      </c>
      <c r="I31" s="1" t="s">
        <v>1359</v>
      </c>
      <c r="J31" s="1" t="s">
        <v>1405</v>
      </c>
      <c r="K31" s="7">
        <v>42978.730208062916</v>
      </c>
      <c r="L31" s="6">
        <v>148732.79999999999</v>
      </c>
    </row>
    <row r="32" spans="1:12" hidden="1" x14ac:dyDescent="0.25">
      <c r="A32" s="4">
        <v>30</v>
      </c>
      <c r="B32" s="2" t="str">
        <f>HYPERLINK("https://my.zakupki.prom.ua/remote/dispatcher/state_purchase_view/2822234", "UA-2017-04-13-000229-b")</f>
        <v>UA-2017-04-13-000229-b</v>
      </c>
      <c r="C32" s="1" t="s">
        <v>839</v>
      </c>
      <c r="D32" s="1" t="s">
        <v>241</v>
      </c>
      <c r="E32" s="1" t="s">
        <v>390</v>
      </c>
      <c r="F32" s="5">
        <v>42838</v>
      </c>
      <c r="G32" s="7">
        <v>42858.607291666667</v>
      </c>
      <c r="H32" s="6">
        <v>771950</v>
      </c>
      <c r="I32" s="1" t="s">
        <v>1180</v>
      </c>
      <c r="J32" s="1" t="s">
        <v>1405</v>
      </c>
      <c r="K32" s="7">
        <v>42871.690275498331</v>
      </c>
      <c r="L32" s="6">
        <v>760360.8</v>
      </c>
    </row>
    <row r="33" spans="1:12" hidden="1" x14ac:dyDescent="0.25">
      <c r="A33" s="4">
        <v>31</v>
      </c>
      <c r="B33" s="2" t="str">
        <f>HYPERLINK("https://my.zakupki.prom.ua/remote/dispatcher/state_purchase_view/4577047", "UA-2017-11-10-003004-b")</f>
        <v>UA-2017-11-10-003004-b</v>
      </c>
      <c r="C33" s="1" t="s">
        <v>632</v>
      </c>
      <c r="D33" s="1" t="s">
        <v>170</v>
      </c>
      <c r="E33" s="1" t="s">
        <v>390</v>
      </c>
      <c r="F33" s="5">
        <v>43049</v>
      </c>
      <c r="G33" s="7">
        <v>43066.515972222223</v>
      </c>
      <c r="H33" s="6">
        <v>710000</v>
      </c>
      <c r="I33" s="1" t="s">
        <v>1172</v>
      </c>
      <c r="J33" s="1" t="s">
        <v>1405</v>
      </c>
      <c r="K33" s="7">
        <v>43080.579408621692</v>
      </c>
      <c r="L33" s="6">
        <v>704000</v>
      </c>
    </row>
    <row r="34" spans="1:12" hidden="1" x14ac:dyDescent="0.25">
      <c r="A34" s="4">
        <v>32</v>
      </c>
      <c r="B34" s="2" t="str">
        <f>HYPERLINK("https://my.zakupki.prom.ua/remote/dispatcher/state_purchase_view/4680454", "UA-2017-11-21-000282-b")</f>
        <v>UA-2017-11-21-000282-b</v>
      </c>
      <c r="C34" s="1" t="s">
        <v>387</v>
      </c>
      <c r="D34" s="1" t="s">
        <v>259</v>
      </c>
      <c r="E34" s="1" t="s">
        <v>470</v>
      </c>
      <c r="F34" s="5">
        <v>43060</v>
      </c>
      <c r="G34" s="1" t="s">
        <v>1398</v>
      </c>
      <c r="H34" s="6">
        <v>5200</v>
      </c>
      <c r="I34" s="1" t="s">
        <v>1308</v>
      </c>
      <c r="J34" s="1" t="s">
        <v>1405</v>
      </c>
      <c r="K34" s="7">
        <v>43070.59545822574</v>
      </c>
      <c r="L34" s="6">
        <v>5200</v>
      </c>
    </row>
    <row r="35" spans="1:12" hidden="1" x14ac:dyDescent="0.25">
      <c r="A35" s="4">
        <v>33</v>
      </c>
      <c r="B35" s="2" t="str">
        <f>HYPERLINK("https://my.zakupki.prom.ua/remote/dispatcher/state_purchase_view/4445980", "UA-2017-10-30-001457-a")</f>
        <v>UA-2017-10-30-001457-a</v>
      </c>
      <c r="C35" s="1" t="s">
        <v>714</v>
      </c>
      <c r="D35" s="1" t="s">
        <v>32</v>
      </c>
      <c r="E35" s="1" t="s">
        <v>470</v>
      </c>
      <c r="F35" s="5">
        <v>43038</v>
      </c>
      <c r="G35" s="7">
        <v>43047.513067129628</v>
      </c>
      <c r="H35" s="6">
        <v>76950</v>
      </c>
      <c r="I35" s="1"/>
      <c r="J35" s="1" t="s">
        <v>1406</v>
      </c>
      <c r="K35" s="7">
        <v>43056.641362891496</v>
      </c>
      <c r="L35" s="1"/>
    </row>
    <row r="36" spans="1:12" hidden="1" x14ac:dyDescent="0.25">
      <c r="A36" s="4">
        <v>34</v>
      </c>
      <c r="B36" s="2" t="str">
        <f>HYPERLINK("https://my.zakupki.prom.ua/remote/dispatcher/state_purchase_view/4459280", "UA-2017-10-31-002040-a")</f>
        <v>UA-2017-10-31-002040-a</v>
      </c>
      <c r="C36" s="1" t="s">
        <v>575</v>
      </c>
      <c r="D36" s="1" t="s">
        <v>130</v>
      </c>
      <c r="E36" s="1" t="s">
        <v>390</v>
      </c>
      <c r="F36" s="5">
        <v>43039</v>
      </c>
      <c r="G36" s="1" t="s">
        <v>1398</v>
      </c>
      <c r="H36" s="6">
        <v>136220</v>
      </c>
      <c r="I36" s="1"/>
      <c r="J36" s="1" t="s">
        <v>1406</v>
      </c>
      <c r="K36" s="7">
        <v>43054.689046592051</v>
      </c>
      <c r="L36" s="1"/>
    </row>
    <row r="37" spans="1:12" hidden="1" x14ac:dyDescent="0.25">
      <c r="A37" s="4">
        <v>35</v>
      </c>
      <c r="B37" s="2" t="str">
        <f>HYPERLINK("https://my.zakupki.prom.ua/remote/dispatcher/state_purchase_view/4503555", "UA-2017-11-03-002709-c")</f>
        <v>UA-2017-11-03-002709-c</v>
      </c>
      <c r="C37" s="1" t="s">
        <v>309</v>
      </c>
      <c r="D37" s="1" t="s">
        <v>176</v>
      </c>
      <c r="E37" s="1" t="s">
        <v>470</v>
      </c>
      <c r="F37" s="5">
        <v>43042</v>
      </c>
      <c r="G37" s="7">
        <v>43053.60738425926</v>
      </c>
      <c r="H37" s="6">
        <v>40000</v>
      </c>
      <c r="I37" s="1" t="s">
        <v>1134</v>
      </c>
      <c r="J37" s="1" t="s">
        <v>1405</v>
      </c>
      <c r="K37" s="7">
        <v>43067.55805670163</v>
      </c>
      <c r="L37" s="6">
        <v>38300</v>
      </c>
    </row>
    <row r="38" spans="1:12" hidden="1" x14ac:dyDescent="0.25">
      <c r="A38" s="4">
        <v>36</v>
      </c>
      <c r="B38" s="2" t="str">
        <f>HYPERLINK("https://my.zakupki.prom.ua/remote/dispatcher/state_purchase_view/7120619", "UA-2018-05-15-000719-a")</f>
        <v>UA-2018-05-15-000719-a</v>
      </c>
      <c r="C38" s="1" t="s">
        <v>712</v>
      </c>
      <c r="D38" s="1" t="s">
        <v>58</v>
      </c>
      <c r="E38" s="1" t="s">
        <v>488</v>
      </c>
      <c r="F38" s="5">
        <v>43235</v>
      </c>
      <c r="G38" s="1" t="s">
        <v>1397</v>
      </c>
      <c r="H38" s="6">
        <v>62548</v>
      </c>
      <c r="I38" s="1" t="s">
        <v>1221</v>
      </c>
      <c r="J38" s="1" t="s">
        <v>1405</v>
      </c>
      <c r="K38" s="7">
        <v>43235.471774577665</v>
      </c>
      <c r="L38" s="6">
        <v>62548</v>
      </c>
    </row>
    <row r="39" spans="1:12" hidden="1" x14ac:dyDescent="0.25">
      <c r="A39" s="4">
        <v>37</v>
      </c>
      <c r="B39" s="2" t="str">
        <f>HYPERLINK("https://my.zakupki.prom.ua/remote/dispatcher/state_purchase_view/6769583", "UA-2018-04-06-000487-a")</f>
        <v>UA-2018-04-06-000487-a</v>
      </c>
      <c r="C39" s="1" t="s">
        <v>372</v>
      </c>
      <c r="D39" s="1" t="s">
        <v>224</v>
      </c>
      <c r="E39" s="1" t="s">
        <v>470</v>
      </c>
      <c r="F39" s="5">
        <v>43196</v>
      </c>
      <c r="G39" s="7">
        <v>43208.489548611113</v>
      </c>
      <c r="H39" s="6">
        <v>102000</v>
      </c>
      <c r="I39" s="1" t="s">
        <v>1289</v>
      </c>
      <c r="J39" s="1" t="s">
        <v>1405</v>
      </c>
      <c r="K39" s="7">
        <v>43216.640346249304</v>
      </c>
      <c r="L39" s="6">
        <v>100980</v>
      </c>
    </row>
    <row r="40" spans="1:12" hidden="1" x14ac:dyDescent="0.25">
      <c r="A40" s="4">
        <v>38</v>
      </c>
      <c r="B40" s="2" t="str">
        <f>HYPERLINK("https://my.zakupki.prom.ua/remote/dispatcher/state_purchase_view/4043813", "UA-2017-09-15-000696-c")</f>
        <v>UA-2017-09-15-000696-c</v>
      </c>
      <c r="C40" s="1" t="s">
        <v>729</v>
      </c>
      <c r="D40" s="1" t="s">
        <v>40</v>
      </c>
      <c r="E40" s="1" t="s">
        <v>390</v>
      </c>
      <c r="F40" s="5">
        <v>42993</v>
      </c>
      <c r="G40" s="7">
        <v>43011.566759259258</v>
      </c>
      <c r="H40" s="6">
        <v>378000</v>
      </c>
      <c r="I40" s="1" t="s">
        <v>449</v>
      </c>
      <c r="J40" s="1" t="s">
        <v>1405</v>
      </c>
      <c r="K40" s="7">
        <v>43032.611513434618</v>
      </c>
      <c r="L40" s="6">
        <v>339970</v>
      </c>
    </row>
    <row r="41" spans="1:12" hidden="1" x14ac:dyDescent="0.25">
      <c r="A41" s="4">
        <v>39</v>
      </c>
      <c r="B41" s="2" t="str">
        <f>HYPERLINK("https://my.zakupki.prom.ua/remote/dispatcher/state_purchase_view/4206256", "UA-2017-10-03-002882-b")</f>
        <v>UA-2017-10-03-002882-b</v>
      </c>
      <c r="C41" s="1" t="s">
        <v>1074</v>
      </c>
      <c r="D41" s="1" t="s">
        <v>44</v>
      </c>
      <c r="E41" s="1" t="s">
        <v>470</v>
      </c>
      <c r="F41" s="5">
        <v>43011</v>
      </c>
      <c r="G41" s="7">
        <v>43020.64472222222</v>
      </c>
      <c r="H41" s="6">
        <v>65000</v>
      </c>
      <c r="I41" s="1" t="s">
        <v>449</v>
      </c>
      <c r="J41" s="1" t="s">
        <v>1405</v>
      </c>
      <c r="K41" s="7">
        <v>43032.729991228429</v>
      </c>
      <c r="L41" s="6">
        <v>65000</v>
      </c>
    </row>
    <row r="42" spans="1:12" hidden="1" x14ac:dyDescent="0.25">
      <c r="A42" s="4">
        <v>40</v>
      </c>
      <c r="B42" s="2" t="str">
        <f>HYPERLINK("https://my.zakupki.prom.ua/remote/dispatcher/state_purchase_view/2221788", "UA-2017-02-20-001915-c")</f>
        <v>UA-2017-02-20-001915-c</v>
      </c>
      <c r="C42" s="1" t="s">
        <v>367</v>
      </c>
      <c r="D42" s="1" t="s">
        <v>138</v>
      </c>
      <c r="E42" s="1" t="s">
        <v>470</v>
      </c>
      <c r="F42" s="5">
        <v>42786</v>
      </c>
      <c r="G42" s="1" t="s">
        <v>1398</v>
      </c>
      <c r="H42" s="6">
        <v>190000</v>
      </c>
      <c r="I42" s="1" t="s">
        <v>1146</v>
      </c>
      <c r="J42" s="1" t="s">
        <v>1405</v>
      </c>
      <c r="K42" s="7">
        <v>42800.598952443863</v>
      </c>
      <c r="L42" s="6">
        <v>190000</v>
      </c>
    </row>
    <row r="43" spans="1:12" hidden="1" x14ac:dyDescent="0.25">
      <c r="A43" s="4">
        <v>41</v>
      </c>
      <c r="B43" s="2" t="str">
        <f>HYPERLINK("https://my.zakupki.prom.ua/remote/dispatcher/state_purchase_view/15158093", "UA-2020-02-07-001588-a")</f>
        <v>UA-2020-02-07-001588-a</v>
      </c>
      <c r="C43" s="1" t="s">
        <v>817</v>
      </c>
      <c r="D43" s="1" t="s">
        <v>205</v>
      </c>
      <c r="E43" s="1" t="s">
        <v>470</v>
      </c>
      <c r="F43" s="5">
        <v>43868</v>
      </c>
      <c r="G43" s="1" t="s">
        <v>1398</v>
      </c>
      <c r="H43" s="6">
        <v>49964</v>
      </c>
      <c r="I43" s="1" t="s">
        <v>449</v>
      </c>
      <c r="J43" s="1" t="s">
        <v>1405</v>
      </c>
      <c r="K43" s="7">
        <v>43892.654313206207</v>
      </c>
      <c r="L43" s="6">
        <v>49964</v>
      </c>
    </row>
    <row r="44" spans="1:12" hidden="1" x14ac:dyDescent="0.25">
      <c r="A44" s="4">
        <v>42</v>
      </c>
      <c r="B44" s="2" t="str">
        <f>HYPERLINK("https://my.zakupki.prom.ua/remote/dispatcher/state_purchase_view/15633528", "UA-2020-03-05-002033-b")</f>
        <v>UA-2020-03-05-002033-b</v>
      </c>
      <c r="C44" s="1" t="s">
        <v>997</v>
      </c>
      <c r="D44" s="1" t="s">
        <v>220</v>
      </c>
      <c r="E44" s="1" t="s">
        <v>488</v>
      </c>
      <c r="F44" s="5">
        <v>43895</v>
      </c>
      <c r="G44" s="1" t="s">
        <v>1397</v>
      </c>
      <c r="H44" s="6">
        <v>497952.41</v>
      </c>
      <c r="I44" s="1" t="s">
        <v>1232</v>
      </c>
      <c r="J44" s="1" t="s">
        <v>1405</v>
      </c>
      <c r="K44" s="7">
        <v>43895.580033313505</v>
      </c>
      <c r="L44" s="6">
        <v>497952.41</v>
      </c>
    </row>
    <row r="45" spans="1:12" hidden="1" x14ac:dyDescent="0.25">
      <c r="A45" s="4">
        <v>43</v>
      </c>
      <c r="B45" s="2" t="str">
        <f>HYPERLINK("https://my.zakupki.prom.ua/remote/dispatcher/state_purchase_view/17373409", "UA-2020-06-19-004397-c")</f>
        <v>UA-2020-06-19-004397-c</v>
      </c>
      <c r="C45" s="1" t="s">
        <v>328</v>
      </c>
      <c r="D45" s="1" t="s">
        <v>50</v>
      </c>
      <c r="E45" s="1" t="s">
        <v>488</v>
      </c>
      <c r="F45" s="5">
        <v>44001</v>
      </c>
      <c r="G45" s="1" t="s">
        <v>1397</v>
      </c>
      <c r="H45" s="6">
        <v>4633</v>
      </c>
      <c r="I45" s="1" t="s">
        <v>1210</v>
      </c>
      <c r="J45" s="1" t="s">
        <v>1405</v>
      </c>
      <c r="K45" s="7">
        <v>44001.558672798034</v>
      </c>
      <c r="L45" s="6">
        <v>4633</v>
      </c>
    </row>
    <row r="46" spans="1:12" hidden="1" x14ac:dyDescent="0.25">
      <c r="A46" s="4">
        <v>44</v>
      </c>
      <c r="B46" s="2" t="str">
        <f>HYPERLINK("https://my.zakupki.prom.ua/remote/dispatcher/state_purchase_view/16490977", "UA-2020-04-28-001270-b")</f>
        <v>UA-2020-04-28-001270-b</v>
      </c>
      <c r="C46" s="1" t="s">
        <v>413</v>
      </c>
      <c r="D46" s="1" t="s">
        <v>51</v>
      </c>
      <c r="E46" s="1" t="s">
        <v>470</v>
      </c>
      <c r="F46" s="5">
        <v>43949</v>
      </c>
      <c r="G46" s="7">
        <v>43963.609340277777</v>
      </c>
      <c r="H46" s="6">
        <v>25000</v>
      </c>
      <c r="I46" s="1" t="s">
        <v>1133</v>
      </c>
      <c r="J46" s="1" t="s">
        <v>1405</v>
      </c>
      <c r="K46" s="7">
        <v>43970.623000027001</v>
      </c>
      <c r="L46" s="6">
        <v>18918</v>
      </c>
    </row>
    <row r="47" spans="1:12" hidden="1" x14ac:dyDescent="0.25">
      <c r="A47" s="4">
        <v>45</v>
      </c>
      <c r="B47" s="2" t="str">
        <f>HYPERLINK("https://my.zakupki.prom.ua/remote/dispatcher/state_purchase_view/16738586", "UA-2020-05-19-002559-c")</f>
        <v>UA-2020-05-19-002559-c</v>
      </c>
      <c r="C47" s="1" t="s">
        <v>302</v>
      </c>
      <c r="D47" s="1" t="s">
        <v>228</v>
      </c>
      <c r="E47" s="1" t="s">
        <v>488</v>
      </c>
      <c r="F47" s="5">
        <v>43970</v>
      </c>
      <c r="G47" s="1" t="s">
        <v>1397</v>
      </c>
      <c r="H47" s="6">
        <v>300</v>
      </c>
      <c r="I47" s="1" t="s">
        <v>1391</v>
      </c>
      <c r="J47" s="1" t="s">
        <v>1405</v>
      </c>
      <c r="K47" s="7">
        <v>43970.522822459978</v>
      </c>
      <c r="L47" s="6">
        <v>300</v>
      </c>
    </row>
    <row r="48" spans="1:12" hidden="1" x14ac:dyDescent="0.25">
      <c r="A48" s="4">
        <v>46</v>
      </c>
      <c r="B48" s="2" t="str">
        <f>HYPERLINK("https://my.zakupki.prom.ua/remote/dispatcher/state_purchase_view/14497352", "UA-2020-01-15-000837-c")</f>
        <v>UA-2020-01-15-000837-c</v>
      </c>
      <c r="C48" s="1" t="s">
        <v>964</v>
      </c>
      <c r="D48" s="1" t="s">
        <v>188</v>
      </c>
      <c r="E48" s="1" t="s">
        <v>390</v>
      </c>
      <c r="F48" s="5">
        <v>43845</v>
      </c>
      <c r="G48" s="7">
        <v>43861.561689814815</v>
      </c>
      <c r="H48" s="6">
        <v>160000</v>
      </c>
      <c r="I48" s="1" t="s">
        <v>1322</v>
      </c>
      <c r="J48" s="1" t="s">
        <v>1405</v>
      </c>
      <c r="K48" s="7">
        <v>43875.397755899503</v>
      </c>
      <c r="L48" s="6">
        <v>147000</v>
      </c>
    </row>
    <row r="49" spans="1:12" hidden="1" x14ac:dyDescent="0.25">
      <c r="A49" s="4">
        <v>47</v>
      </c>
      <c r="B49" s="2" t="str">
        <f>HYPERLINK("https://my.zakupki.prom.ua/remote/dispatcher/state_purchase_view/13588747", "UA-2019-11-15-002234-b")</f>
        <v>UA-2019-11-15-002234-b</v>
      </c>
      <c r="C49" s="1" t="s">
        <v>283</v>
      </c>
      <c r="D49" s="1" t="s">
        <v>190</v>
      </c>
      <c r="E49" s="1" t="s">
        <v>390</v>
      </c>
      <c r="F49" s="5">
        <v>43784</v>
      </c>
      <c r="G49" s="7">
        <v>43801.509652777779</v>
      </c>
      <c r="H49" s="6">
        <v>46248694.799999997</v>
      </c>
      <c r="I49" s="1" t="s">
        <v>1116</v>
      </c>
      <c r="J49" s="1" t="s">
        <v>1405</v>
      </c>
      <c r="K49" s="7">
        <v>43816.383154205811</v>
      </c>
      <c r="L49" s="6">
        <v>45232093.210000001</v>
      </c>
    </row>
    <row r="50" spans="1:12" hidden="1" x14ac:dyDescent="0.25">
      <c r="A50" s="4">
        <v>48</v>
      </c>
      <c r="B50" s="2" t="str">
        <f>HYPERLINK("https://my.zakupki.prom.ua/remote/dispatcher/state_purchase_view/13896119", "UA-2019-12-06-000327-b")</f>
        <v>UA-2019-12-06-000327-b</v>
      </c>
      <c r="C50" s="1" t="s">
        <v>962</v>
      </c>
      <c r="D50" s="1" t="s">
        <v>188</v>
      </c>
      <c r="E50" s="1" t="s">
        <v>390</v>
      </c>
      <c r="F50" s="5">
        <v>43805</v>
      </c>
      <c r="G50" s="7">
        <v>43822.49927083333</v>
      </c>
      <c r="H50" s="6">
        <v>700000</v>
      </c>
      <c r="I50" s="1" t="s">
        <v>1322</v>
      </c>
      <c r="J50" s="1" t="s">
        <v>1405</v>
      </c>
      <c r="K50" s="7">
        <v>43833.521229020604</v>
      </c>
      <c r="L50" s="6">
        <v>699476.83</v>
      </c>
    </row>
    <row r="51" spans="1:12" hidden="1" x14ac:dyDescent="0.25">
      <c r="A51" s="4">
        <v>49</v>
      </c>
      <c r="B51" s="2" t="str">
        <f>HYPERLINK("https://my.zakupki.prom.ua/remote/dispatcher/state_purchase_view/16098831", "UA-2020-04-03-000891-b")</f>
        <v>UA-2020-04-03-000891-b</v>
      </c>
      <c r="C51" s="1" t="s">
        <v>1280</v>
      </c>
      <c r="D51" s="1" t="s">
        <v>111</v>
      </c>
      <c r="E51" s="1" t="s">
        <v>390</v>
      </c>
      <c r="F51" s="5">
        <v>43924</v>
      </c>
      <c r="G51" s="7">
        <v>43942.635474537034</v>
      </c>
      <c r="H51" s="6">
        <v>55200</v>
      </c>
      <c r="I51" s="1" t="s">
        <v>1331</v>
      </c>
      <c r="J51" s="1" t="s">
        <v>1405</v>
      </c>
      <c r="K51" s="7">
        <v>43955.554983266491</v>
      </c>
      <c r="L51" s="6">
        <v>54400</v>
      </c>
    </row>
    <row r="52" spans="1:12" hidden="1" x14ac:dyDescent="0.25">
      <c r="A52" s="4">
        <v>50</v>
      </c>
      <c r="B52" s="2" t="str">
        <f>HYPERLINK("https://my.zakupki.prom.ua/remote/dispatcher/state_purchase_view/16208765", "UA-2020-04-10-001696-b")</f>
        <v>UA-2020-04-10-001696-b</v>
      </c>
      <c r="C52" s="1" t="s">
        <v>595</v>
      </c>
      <c r="D52" s="1" t="s">
        <v>111</v>
      </c>
      <c r="E52" s="1" t="s">
        <v>470</v>
      </c>
      <c r="F52" s="5">
        <v>43931</v>
      </c>
      <c r="G52" s="1" t="s">
        <v>1398</v>
      </c>
      <c r="H52" s="6">
        <v>27000</v>
      </c>
      <c r="I52" s="1"/>
      <c r="J52" s="1" t="s">
        <v>1419</v>
      </c>
      <c r="K52" s="7">
        <v>43931.539358525646</v>
      </c>
      <c r="L52" s="1"/>
    </row>
    <row r="53" spans="1:12" hidden="1" x14ac:dyDescent="0.25">
      <c r="A53" s="4">
        <v>51</v>
      </c>
      <c r="B53" s="2" t="str">
        <f>HYPERLINK("https://my.zakupki.prom.ua/remote/dispatcher/state_purchase_view/15489141", "UA-2020-02-26-001588-c")</f>
        <v>UA-2020-02-26-001588-c</v>
      </c>
      <c r="C53" s="1" t="s">
        <v>416</v>
      </c>
      <c r="D53" s="1" t="s">
        <v>53</v>
      </c>
      <c r="E53" s="1" t="s">
        <v>470</v>
      </c>
      <c r="F53" s="5">
        <v>43887</v>
      </c>
      <c r="G53" s="7">
        <v>43896.615995370368</v>
      </c>
      <c r="H53" s="6">
        <v>12290</v>
      </c>
      <c r="I53" s="1" t="s">
        <v>1329</v>
      </c>
      <c r="J53" s="1" t="s">
        <v>1405</v>
      </c>
      <c r="K53" s="7">
        <v>43906.740045258113</v>
      </c>
      <c r="L53" s="6">
        <v>11388</v>
      </c>
    </row>
    <row r="54" spans="1:12" hidden="1" x14ac:dyDescent="0.25">
      <c r="A54" s="4">
        <v>52</v>
      </c>
      <c r="B54" s="2" t="str">
        <f>HYPERLINK("https://my.zakupki.prom.ua/remote/dispatcher/state_purchase_view/15489418", "UA-2020-02-26-001645-c")</f>
        <v>UA-2020-02-26-001645-c</v>
      </c>
      <c r="C54" s="1" t="s">
        <v>416</v>
      </c>
      <c r="D54" s="1" t="s">
        <v>53</v>
      </c>
      <c r="E54" s="1" t="s">
        <v>470</v>
      </c>
      <c r="F54" s="5">
        <v>43887</v>
      </c>
      <c r="G54" s="1" t="s">
        <v>1398</v>
      </c>
      <c r="H54" s="6">
        <v>6530</v>
      </c>
      <c r="I54" s="1"/>
      <c r="J54" s="1" t="s">
        <v>1419</v>
      </c>
      <c r="K54" s="7">
        <v>43892.623078657452</v>
      </c>
      <c r="L54" s="1"/>
    </row>
    <row r="55" spans="1:12" hidden="1" x14ac:dyDescent="0.25">
      <c r="A55" s="4">
        <v>53</v>
      </c>
      <c r="B55" s="2" t="str">
        <f>HYPERLINK("https://my.zakupki.prom.ua/remote/dispatcher/state_purchase_view/2706273", "UA-2017-03-31-000770-b")</f>
        <v>UA-2017-03-31-000770-b</v>
      </c>
      <c r="C55" s="1" t="s">
        <v>886</v>
      </c>
      <c r="D55" s="1" t="s">
        <v>209</v>
      </c>
      <c r="E55" s="1" t="s">
        <v>470</v>
      </c>
      <c r="F55" s="5">
        <v>42825</v>
      </c>
      <c r="G55" s="7">
        <v>42836.65929398148</v>
      </c>
      <c r="H55" s="6">
        <v>197000</v>
      </c>
      <c r="I55" s="1" t="s">
        <v>1140</v>
      </c>
      <c r="J55" s="1" t="s">
        <v>1405</v>
      </c>
      <c r="K55" s="7">
        <v>42844.380445111077</v>
      </c>
      <c r="L55" s="6">
        <v>174900</v>
      </c>
    </row>
    <row r="56" spans="1:12" hidden="1" x14ac:dyDescent="0.25">
      <c r="A56" s="4">
        <v>54</v>
      </c>
      <c r="B56" s="2" t="str">
        <f>HYPERLINK("https://my.zakupki.prom.ua/remote/dispatcher/state_purchase_view/3339110", "UA-2017-06-15-001805-b")</f>
        <v>UA-2017-06-15-001805-b</v>
      </c>
      <c r="C56" s="1" t="s">
        <v>975</v>
      </c>
      <c r="D56" s="1" t="s">
        <v>212</v>
      </c>
      <c r="E56" s="1" t="s">
        <v>488</v>
      </c>
      <c r="F56" s="5">
        <v>42901</v>
      </c>
      <c r="G56" s="1" t="s">
        <v>1397</v>
      </c>
      <c r="H56" s="6">
        <v>114000</v>
      </c>
      <c r="I56" s="1" t="s">
        <v>694</v>
      </c>
      <c r="J56" s="1" t="s">
        <v>1405</v>
      </c>
      <c r="K56" s="7">
        <v>42901.735172474793</v>
      </c>
      <c r="L56" s="6">
        <v>114000</v>
      </c>
    </row>
    <row r="57" spans="1:12" hidden="1" x14ac:dyDescent="0.25">
      <c r="A57" s="4">
        <v>55</v>
      </c>
      <c r="B57" s="2" t="str">
        <f>HYPERLINK("https://my.zakupki.prom.ua/remote/dispatcher/state_purchase_view/2666295", "UA-2017-03-28-001344-b")</f>
        <v>UA-2017-03-28-001344-b</v>
      </c>
      <c r="C57" s="1" t="s">
        <v>1100</v>
      </c>
      <c r="D57" s="1" t="s">
        <v>174</v>
      </c>
      <c r="E57" s="1" t="s">
        <v>470</v>
      </c>
      <c r="F57" s="5">
        <v>42822</v>
      </c>
      <c r="G57" s="1" t="s">
        <v>1398</v>
      </c>
      <c r="H57" s="6">
        <v>8500</v>
      </c>
      <c r="I57" s="1" t="s">
        <v>1290</v>
      </c>
      <c r="J57" s="1" t="s">
        <v>1405</v>
      </c>
      <c r="K57" s="7">
        <v>42832.603038957372</v>
      </c>
      <c r="L57" s="6">
        <v>8355</v>
      </c>
    </row>
    <row r="58" spans="1:12" hidden="1" x14ac:dyDescent="0.25">
      <c r="A58" s="4">
        <v>56</v>
      </c>
      <c r="B58" s="2" t="str">
        <f>HYPERLINK("https://my.zakupki.prom.ua/remote/dispatcher/state_purchase_view/4785983", "UA-2017-11-29-000860-c")</f>
        <v>UA-2017-11-29-000860-c</v>
      </c>
      <c r="C58" s="1" t="s">
        <v>386</v>
      </c>
      <c r="D58" s="1" t="s">
        <v>170</v>
      </c>
      <c r="E58" s="1" t="s">
        <v>390</v>
      </c>
      <c r="F58" s="5">
        <v>43068</v>
      </c>
      <c r="G58" s="7">
        <v>43084.599988425929</v>
      </c>
      <c r="H58" s="6">
        <v>40000</v>
      </c>
      <c r="I58" s="1" t="s">
        <v>1170</v>
      </c>
      <c r="J58" s="1" t="s">
        <v>1405</v>
      </c>
      <c r="K58" s="7">
        <v>43098.401831286203</v>
      </c>
      <c r="L58" s="6">
        <v>39900</v>
      </c>
    </row>
    <row r="59" spans="1:12" hidden="1" x14ac:dyDescent="0.25">
      <c r="A59" s="4">
        <v>57</v>
      </c>
      <c r="B59" s="2" t="str">
        <f>HYPERLINK("https://my.zakupki.prom.ua/remote/dispatcher/state_purchase_view/4608330", "UA-2017-11-14-002684-a")</f>
        <v>UA-2017-11-14-002684-a</v>
      </c>
      <c r="C59" s="1" t="s">
        <v>1017</v>
      </c>
      <c r="D59" s="1" t="s">
        <v>226</v>
      </c>
      <c r="E59" s="1" t="s">
        <v>488</v>
      </c>
      <c r="F59" s="5">
        <v>43053</v>
      </c>
      <c r="G59" s="1" t="s">
        <v>1397</v>
      </c>
      <c r="H59" s="6">
        <v>9706</v>
      </c>
      <c r="I59" s="1" t="s">
        <v>1358</v>
      </c>
      <c r="J59" s="1" t="s">
        <v>1405</v>
      </c>
      <c r="K59" s="7">
        <v>43053.705143390813</v>
      </c>
      <c r="L59" s="6">
        <v>9706</v>
      </c>
    </row>
    <row r="60" spans="1:12" hidden="1" x14ac:dyDescent="0.25">
      <c r="A60" s="4">
        <v>58</v>
      </c>
      <c r="B60" s="2" t="str">
        <f>HYPERLINK("https://my.zakupki.prom.ua/remote/dispatcher/state_purchase_view/4633906", "UA-2017-11-16-001524-a")</f>
        <v>UA-2017-11-16-001524-a</v>
      </c>
      <c r="C60" s="1" t="s">
        <v>992</v>
      </c>
      <c r="D60" s="1" t="s">
        <v>238</v>
      </c>
      <c r="E60" s="1" t="s">
        <v>470</v>
      </c>
      <c r="F60" s="5">
        <v>43055</v>
      </c>
      <c r="G60" s="7">
        <v>43063.58935185185</v>
      </c>
      <c r="H60" s="6">
        <v>90000</v>
      </c>
      <c r="I60" s="1" t="s">
        <v>1335</v>
      </c>
      <c r="J60" s="1" t="s">
        <v>1405</v>
      </c>
      <c r="K60" s="7">
        <v>43068.657852522498</v>
      </c>
      <c r="L60" s="6">
        <v>85590.06</v>
      </c>
    </row>
    <row r="61" spans="1:12" hidden="1" x14ac:dyDescent="0.25">
      <c r="A61" s="4">
        <v>59</v>
      </c>
      <c r="B61" s="2" t="str">
        <f>HYPERLINK("https://my.zakupki.prom.ua/remote/dispatcher/state_purchase_view/5051488", "UA-2017-12-15-004332-b")</f>
        <v>UA-2017-12-15-004332-b</v>
      </c>
      <c r="C61" s="1" t="s">
        <v>1408</v>
      </c>
      <c r="D61" s="1" t="s">
        <v>75</v>
      </c>
      <c r="E61" s="1" t="s">
        <v>488</v>
      </c>
      <c r="F61" s="5">
        <v>43084</v>
      </c>
      <c r="G61" s="1" t="s">
        <v>1397</v>
      </c>
      <c r="H61" s="6">
        <v>95461.19</v>
      </c>
      <c r="I61" s="1" t="s">
        <v>1353</v>
      </c>
      <c r="J61" s="1" t="s">
        <v>1405</v>
      </c>
      <c r="K61" s="7">
        <v>43084.690680504551</v>
      </c>
      <c r="L61" s="6">
        <v>95461.19</v>
      </c>
    </row>
    <row r="62" spans="1:12" hidden="1" x14ac:dyDescent="0.25">
      <c r="A62" s="4">
        <v>60</v>
      </c>
      <c r="B62" s="2" t="str">
        <f>HYPERLINK("https://my.zakupki.prom.ua/remote/dispatcher/state_purchase_view/2241633", "UA-2017-02-21-002285-c")</f>
        <v>UA-2017-02-21-002285-c</v>
      </c>
      <c r="C62" s="1" t="s">
        <v>1083</v>
      </c>
      <c r="D62" s="1" t="s">
        <v>48</v>
      </c>
      <c r="E62" s="1" t="s">
        <v>470</v>
      </c>
      <c r="F62" s="5">
        <v>42787</v>
      </c>
      <c r="G62" s="1" t="s">
        <v>1398</v>
      </c>
      <c r="H62" s="6">
        <v>105869</v>
      </c>
      <c r="I62" s="1" t="s">
        <v>1138</v>
      </c>
      <c r="J62" s="1" t="s">
        <v>1405</v>
      </c>
      <c r="K62" s="7">
        <v>42801.504260443959</v>
      </c>
      <c r="L62" s="6">
        <v>102689.2</v>
      </c>
    </row>
    <row r="63" spans="1:12" hidden="1" x14ac:dyDescent="0.25">
      <c r="A63" s="4">
        <v>61</v>
      </c>
      <c r="B63" s="2" t="str">
        <f>HYPERLINK("https://my.zakupki.prom.ua/remote/dispatcher/state_purchase_view/4604991", "UA-2017-11-14-002001-a")</f>
        <v>UA-2017-11-14-002001-a</v>
      </c>
      <c r="C63" s="1" t="s">
        <v>1072</v>
      </c>
      <c r="D63" s="1" t="s">
        <v>96</v>
      </c>
      <c r="E63" s="1" t="s">
        <v>470</v>
      </c>
      <c r="F63" s="5">
        <v>43053</v>
      </c>
      <c r="G63" s="1" t="s">
        <v>1398</v>
      </c>
      <c r="H63" s="6">
        <v>199000</v>
      </c>
      <c r="I63" s="1" t="s">
        <v>1110</v>
      </c>
      <c r="J63" s="1" t="s">
        <v>1405</v>
      </c>
      <c r="K63" s="7">
        <v>43070.652629391145</v>
      </c>
      <c r="L63" s="6">
        <v>195708.24</v>
      </c>
    </row>
    <row r="64" spans="1:12" hidden="1" x14ac:dyDescent="0.25">
      <c r="A64" s="4">
        <v>62</v>
      </c>
      <c r="B64" s="2" t="str">
        <f>HYPERLINK("https://my.zakupki.prom.ua/remote/dispatcher/state_purchase_view/4503205", "UA-2017-11-03-002658-c")</f>
        <v>UA-2017-11-03-002658-c</v>
      </c>
      <c r="C64" s="1" t="s">
        <v>764</v>
      </c>
      <c r="D64" s="1" t="s">
        <v>235</v>
      </c>
      <c r="E64" s="1" t="s">
        <v>390</v>
      </c>
      <c r="F64" s="5">
        <v>43042</v>
      </c>
      <c r="G64" s="7">
        <v>43059.573530092595</v>
      </c>
      <c r="H64" s="6">
        <v>550000</v>
      </c>
      <c r="I64" s="1"/>
      <c r="J64" s="1" t="s">
        <v>1406</v>
      </c>
      <c r="K64" s="7">
        <v>43071.002251787133</v>
      </c>
      <c r="L64" s="1"/>
    </row>
    <row r="65" spans="1:12" hidden="1" x14ac:dyDescent="0.25">
      <c r="A65" s="4">
        <v>63</v>
      </c>
      <c r="B65" s="2" t="str">
        <f>HYPERLINK("https://my.zakupki.prom.ua/remote/dispatcher/state_purchase_view/1121085", "UA-2016-12-07-000551-a")</f>
        <v>UA-2016-12-07-000551-a</v>
      </c>
      <c r="C65" s="1" t="s">
        <v>1075</v>
      </c>
      <c r="D65" s="1" t="s">
        <v>44</v>
      </c>
      <c r="E65" s="1" t="s">
        <v>470</v>
      </c>
      <c r="F65" s="5">
        <v>42711</v>
      </c>
      <c r="G65" s="7">
        <v>42719.559745370374</v>
      </c>
      <c r="H65" s="6">
        <v>116600</v>
      </c>
      <c r="I65" s="1" t="s">
        <v>449</v>
      </c>
      <c r="J65" s="1" t="s">
        <v>1405</v>
      </c>
      <c r="K65" s="7">
        <v>42726.484914481727</v>
      </c>
      <c r="L65" s="6">
        <v>116598</v>
      </c>
    </row>
    <row r="66" spans="1:12" hidden="1" x14ac:dyDescent="0.25">
      <c r="A66" s="4">
        <v>64</v>
      </c>
      <c r="B66" s="2" t="str">
        <f>HYPERLINK("https://my.zakupki.prom.ua/remote/dispatcher/state_purchase_view/739126", "UA-2016-10-26-001707-a")</f>
        <v>UA-2016-10-26-001707-a</v>
      </c>
      <c r="C66" s="1" t="s">
        <v>725</v>
      </c>
      <c r="D66" s="1" t="s">
        <v>79</v>
      </c>
      <c r="E66" s="1" t="s">
        <v>470</v>
      </c>
      <c r="F66" s="5">
        <v>42669</v>
      </c>
      <c r="G66" s="7">
        <v>42681.472511574073</v>
      </c>
      <c r="H66" s="6">
        <v>62900</v>
      </c>
      <c r="I66" s="1" t="s">
        <v>1320</v>
      </c>
      <c r="J66" s="1" t="s">
        <v>1404</v>
      </c>
      <c r="K66" s="7">
        <v>42688.525817002788</v>
      </c>
      <c r="L66" s="6">
        <v>51480</v>
      </c>
    </row>
    <row r="67" spans="1:12" hidden="1" x14ac:dyDescent="0.25">
      <c r="A67" s="4">
        <v>65</v>
      </c>
      <c r="B67" s="2" t="str">
        <f>HYPERLINK("https://my.zakupki.prom.ua/remote/dispatcher/state_purchase_view/739126", "UA-2016-10-26-001707-a")</f>
        <v>UA-2016-10-26-001707-a</v>
      </c>
      <c r="C67" s="1" t="s">
        <v>623</v>
      </c>
      <c r="D67" s="1" t="s">
        <v>82</v>
      </c>
      <c r="E67" s="1" t="s">
        <v>470</v>
      </c>
      <c r="F67" s="5">
        <v>42669</v>
      </c>
      <c r="G67" s="7">
        <v>42681.484525462962</v>
      </c>
      <c r="H67" s="6">
        <v>62900</v>
      </c>
      <c r="I67" s="1" t="s">
        <v>1320</v>
      </c>
      <c r="J67" s="1" t="s">
        <v>1404</v>
      </c>
      <c r="K67" s="7">
        <v>42688.526112259293</v>
      </c>
      <c r="L67" s="6">
        <v>1300</v>
      </c>
    </row>
    <row r="68" spans="1:12" hidden="1" x14ac:dyDescent="0.25">
      <c r="A68" s="4">
        <v>66</v>
      </c>
      <c r="B68" s="2" t="str">
        <f>HYPERLINK("https://my.zakupki.prom.ua/remote/dispatcher/state_purchase_view/739126", "UA-2016-10-26-001707-a")</f>
        <v>UA-2016-10-26-001707-a</v>
      </c>
      <c r="C68" s="1" t="s">
        <v>345</v>
      </c>
      <c r="D68" s="1" t="s">
        <v>82</v>
      </c>
      <c r="E68" s="1" t="s">
        <v>470</v>
      </c>
      <c r="F68" s="5">
        <v>42669</v>
      </c>
      <c r="G68" s="1" t="s">
        <v>1399</v>
      </c>
      <c r="H68" s="6">
        <v>62900</v>
      </c>
      <c r="I68" s="1" t="s">
        <v>1320</v>
      </c>
      <c r="J68" s="1" t="s">
        <v>1404</v>
      </c>
      <c r="K68" s="7">
        <v>42688.526310346744</v>
      </c>
      <c r="L68" s="6">
        <v>4100</v>
      </c>
    </row>
    <row r="69" spans="1:12" hidden="1" x14ac:dyDescent="0.25">
      <c r="A69" s="4">
        <v>67</v>
      </c>
      <c r="B69" s="2" t="str">
        <f>HYPERLINK("https://my.zakupki.prom.ua/remote/dispatcher/state_purchase_view/739126", "UA-2016-10-26-001707-a")</f>
        <v>UA-2016-10-26-001707-a</v>
      </c>
      <c r="C69" s="1" t="s">
        <v>25</v>
      </c>
      <c r="D69" s="1" t="s">
        <v>82</v>
      </c>
      <c r="E69" s="1" t="s">
        <v>470</v>
      </c>
      <c r="F69" s="5">
        <v>42669</v>
      </c>
      <c r="G69" s="1" t="s">
        <v>1399</v>
      </c>
      <c r="H69" s="6">
        <v>62900</v>
      </c>
      <c r="I69" s="1" t="s">
        <v>1320</v>
      </c>
      <c r="J69" s="1" t="s">
        <v>1404</v>
      </c>
      <c r="K69" s="7">
        <v>42688.526480591201</v>
      </c>
      <c r="L69" s="6">
        <v>5100</v>
      </c>
    </row>
    <row r="70" spans="1:12" hidden="1" x14ac:dyDescent="0.25">
      <c r="A70" s="4">
        <v>68</v>
      </c>
      <c r="B70" s="2" t="str">
        <f>HYPERLINK("https://my.zakupki.prom.ua/remote/dispatcher/state_purchase_view/842402", "UA-2016-11-07-000552-b")</f>
        <v>UA-2016-11-07-000552-b</v>
      </c>
      <c r="C70" s="1" t="s">
        <v>440</v>
      </c>
      <c r="D70" s="1" t="s">
        <v>186</v>
      </c>
      <c r="E70" s="1" t="s">
        <v>470</v>
      </c>
      <c r="F70" s="5">
        <v>42681</v>
      </c>
      <c r="G70" s="1" t="s">
        <v>1398</v>
      </c>
      <c r="H70" s="6">
        <v>1490000</v>
      </c>
      <c r="I70" s="1" t="s">
        <v>1156</v>
      </c>
      <c r="J70" s="1" t="s">
        <v>1405</v>
      </c>
      <c r="K70" s="7">
        <v>42697.593633316654</v>
      </c>
      <c r="L70" s="6">
        <v>1470000</v>
      </c>
    </row>
    <row r="71" spans="1:12" hidden="1" x14ac:dyDescent="0.25">
      <c r="A71" s="4">
        <v>69</v>
      </c>
      <c r="B71" s="2" t="str">
        <f>HYPERLINK("https://my.zakupki.prom.ua/remote/dispatcher/state_purchase_view/847207", "UA-2016-11-07-001168-b")</f>
        <v>UA-2016-11-07-001168-b</v>
      </c>
      <c r="C71" s="1" t="s">
        <v>436</v>
      </c>
      <c r="D71" s="1" t="s">
        <v>76</v>
      </c>
      <c r="E71" s="1" t="s">
        <v>470</v>
      </c>
      <c r="F71" s="5">
        <v>42681</v>
      </c>
      <c r="G71" s="1" t="s">
        <v>1398</v>
      </c>
      <c r="H71" s="6">
        <v>4200</v>
      </c>
      <c r="I71" s="1"/>
      <c r="J71" s="1" t="s">
        <v>1406</v>
      </c>
      <c r="K71" s="7">
        <v>42689.67786759205</v>
      </c>
      <c r="L71" s="1"/>
    </row>
    <row r="72" spans="1:12" hidden="1" x14ac:dyDescent="0.25">
      <c r="A72" s="4">
        <v>70</v>
      </c>
      <c r="B72" s="2" t="str">
        <f>HYPERLINK("https://my.zakupki.prom.ua/remote/dispatcher/state_purchase_view/6997358", "UA-2018-05-02-002046-a")</f>
        <v>UA-2018-05-02-002046-a</v>
      </c>
      <c r="C72" s="1" t="s">
        <v>800</v>
      </c>
      <c r="D72" s="1" t="s">
        <v>254</v>
      </c>
      <c r="E72" s="1" t="s">
        <v>488</v>
      </c>
      <c r="F72" s="5">
        <v>43222</v>
      </c>
      <c r="G72" s="1" t="s">
        <v>1397</v>
      </c>
      <c r="H72" s="6">
        <v>195922.16</v>
      </c>
      <c r="I72" s="1" t="s">
        <v>1209</v>
      </c>
      <c r="J72" s="1" t="s">
        <v>1405</v>
      </c>
      <c r="K72" s="7">
        <v>43222.717993847422</v>
      </c>
      <c r="L72" s="6">
        <v>195922.16</v>
      </c>
    </row>
    <row r="73" spans="1:12" hidden="1" x14ac:dyDescent="0.25">
      <c r="A73" s="4">
        <v>71</v>
      </c>
      <c r="B73" s="2" t="str">
        <f>HYPERLINK("https://my.zakupki.prom.ua/remote/dispatcher/state_purchase_view/6676272", "UA-2018-03-28-001759-a")</f>
        <v>UA-2018-03-28-001759-a</v>
      </c>
      <c r="C73" s="1" t="s">
        <v>1387</v>
      </c>
      <c r="D73" s="1" t="s">
        <v>168</v>
      </c>
      <c r="E73" s="1" t="s">
        <v>470</v>
      </c>
      <c r="F73" s="5">
        <v>43187</v>
      </c>
      <c r="G73" s="1" t="s">
        <v>1398</v>
      </c>
      <c r="H73" s="6">
        <v>80000</v>
      </c>
      <c r="I73" s="1" t="s">
        <v>1317</v>
      </c>
      <c r="J73" s="1" t="s">
        <v>1405</v>
      </c>
      <c r="K73" s="7">
        <v>43201.46878698971</v>
      </c>
      <c r="L73" s="6">
        <v>80000</v>
      </c>
    </row>
    <row r="74" spans="1:12" hidden="1" x14ac:dyDescent="0.25">
      <c r="A74" s="4">
        <v>72</v>
      </c>
      <c r="B74" s="2" t="str">
        <f>HYPERLINK("https://my.zakupki.prom.ua/remote/dispatcher/state_purchase_view/6443107", "UA-2018-03-06-002322-c")</f>
        <v>UA-2018-03-06-002322-c</v>
      </c>
      <c r="C74" s="1" t="s">
        <v>875</v>
      </c>
      <c r="D74" s="1" t="s">
        <v>224</v>
      </c>
      <c r="E74" s="1" t="s">
        <v>470</v>
      </c>
      <c r="F74" s="5">
        <v>43165</v>
      </c>
      <c r="G74" s="1" t="s">
        <v>1398</v>
      </c>
      <c r="H74" s="6">
        <v>15000</v>
      </c>
      <c r="I74" s="1" t="s">
        <v>1176</v>
      </c>
      <c r="J74" s="1" t="s">
        <v>1405</v>
      </c>
      <c r="K74" s="7">
        <v>43179.629456932802</v>
      </c>
      <c r="L74" s="6">
        <v>14000</v>
      </c>
    </row>
    <row r="75" spans="1:12" hidden="1" x14ac:dyDescent="0.25">
      <c r="A75" s="4">
        <v>73</v>
      </c>
      <c r="B75" s="2" t="str">
        <f>HYPERLINK("https://my.zakupki.prom.ua/remote/dispatcher/state_purchase_view/6911072", "UA-2018-04-23-000225-a")</f>
        <v>UA-2018-04-23-000225-a</v>
      </c>
      <c r="C75" s="1" t="s">
        <v>646</v>
      </c>
      <c r="D75" s="1" t="s">
        <v>142</v>
      </c>
      <c r="E75" s="1" t="s">
        <v>470</v>
      </c>
      <c r="F75" s="5">
        <v>43213</v>
      </c>
      <c r="G75" s="7">
        <v>43223.498437499999</v>
      </c>
      <c r="H75" s="6">
        <v>199000</v>
      </c>
      <c r="I75" s="1" t="s">
        <v>1298</v>
      </c>
      <c r="J75" s="1" t="s">
        <v>1405</v>
      </c>
      <c r="K75" s="7">
        <v>43237.443763485964</v>
      </c>
      <c r="L75" s="6">
        <v>199000</v>
      </c>
    </row>
    <row r="76" spans="1:12" hidden="1" x14ac:dyDescent="0.25">
      <c r="A76" s="4">
        <v>74</v>
      </c>
      <c r="B76" s="2" t="str">
        <f>HYPERLINK("https://my.zakupki.prom.ua/remote/dispatcher/state_purchase_view/7875784", "UA-2018-08-02-000158-b")</f>
        <v>UA-2018-08-02-000158-b</v>
      </c>
      <c r="C76" s="1" t="s">
        <v>745</v>
      </c>
      <c r="D76" s="1" t="s">
        <v>210</v>
      </c>
      <c r="E76" s="1" t="s">
        <v>488</v>
      </c>
      <c r="F76" s="5">
        <v>43314</v>
      </c>
      <c r="G76" s="1" t="s">
        <v>1397</v>
      </c>
      <c r="H76" s="6">
        <v>27000</v>
      </c>
      <c r="I76" s="1" t="s">
        <v>512</v>
      </c>
      <c r="J76" s="1" t="s">
        <v>1405</v>
      </c>
      <c r="K76" s="7">
        <v>43314.405900987353</v>
      </c>
      <c r="L76" s="6">
        <v>27000</v>
      </c>
    </row>
    <row r="77" spans="1:12" hidden="1" x14ac:dyDescent="0.25">
      <c r="A77" s="4">
        <v>75</v>
      </c>
      <c r="B77" s="2" t="str">
        <f>HYPERLINK("https://my.zakupki.prom.ua/remote/dispatcher/state_purchase_view/7262497", "UA-2018-05-29-001427-a")</f>
        <v>UA-2018-05-29-001427-a</v>
      </c>
      <c r="C77" s="1" t="s">
        <v>1274</v>
      </c>
      <c r="D77" s="1" t="s">
        <v>195</v>
      </c>
      <c r="E77" s="1" t="s">
        <v>488</v>
      </c>
      <c r="F77" s="5">
        <v>43249</v>
      </c>
      <c r="G77" s="1" t="s">
        <v>1397</v>
      </c>
      <c r="H77" s="6">
        <v>125000</v>
      </c>
      <c r="I77" s="1" t="s">
        <v>543</v>
      </c>
      <c r="J77" s="1" t="s">
        <v>1405</v>
      </c>
      <c r="K77" s="7">
        <v>43249.598777913125</v>
      </c>
      <c r="L77" s="6">
        <v>125000</v>
      </c>
    </row>
    <row r="78" spans="1:12" hidden="1" x14ac:dyDescent="0.25">
      <c r="A78" s="4">
        <v>76</v>
      </c>
      <c r="B78" s="2" t="str">
        <f>HYPERLINK("https://my.zakupki.prom.ua/remote/dispatcher/state_purchase_view/7970015", "UA-2018-08-13-000810-b")</f>
        <v>UA-2018-08-13-000810-b</v>
      </c>
      <c r="C78" s="1" t="s">
        <v>550</v>
      </c>
      <c r="D78" s="1" t="s">
        <v>165</v>
      </c>
      <c r="E78" s="1" t="s">
        <v>391</v>
      </c>
      <c r="F78" s="5">
        <v>43325</v>
      </c>
      <c r="G78" s="1" t="s">
        <v>1398</v>
      </c>
      <c r="H78" s="6">
        <v>175358</v>
      </c>
      <c r="I78" s="1"/>
      <c r="J78" s="1" t="s">
        <v>1406</v>
      </c>
      <c r="K78" s="7">
        <v>43362.000445045269</v>
      </c>
      <c r="L78" s="1"/>
    </row>
    <row r="79" spans="1:12" hidden="1" x14ac:dyDescent="0.25">
      <c r="A79" s="4">
        <v>77</v>
      </c>
      <c r="B79" s="2" t="str">
        <f>HYPERLINK("https://my.zakupki.prom.ua/remote/dispatcher/state_purchase_view/8479718", "UA-2018-10-08-000475-c")</f>
        <v>UA-2018-10-08-000475-c</v>
      </c>
      <c r="C79" s="1" t="s">
        <v>652</v>
      </c>
      <c r="D79" s="1" t="s">
        <v>137</v>
      </c>
      <c r="E79" s="1" t="s">
        <v>390</v>
      </c>
      <c r="F79" s="5">
        <v>43381</v>
      </c>
      <c r="G79" s="7">
        <v>43397.608344907407</v>
      </c>
      <c r="H79" s="6">
        <v>166750</v>
      </c>
      <c r="I79" s="1" t="s">
        <v>700</v>
      </c>
      <c r="J79" s="1" t="s">
        <v>1405</v>
      </c>
      <c r="K79" s="7">
        <v>43413.441444004631</v>
      </c>
      <c r="L79" s="6">
        <v>166750</v>
      </c>
    </row>
    <row r="80" spans="1:12" hidden="1" x14ac:dyDescent="0.25">
      <c r="A80" s="4">
        <v>78</v>
      </c>
      <c r="B80" s="2" t="str">
        <f>HYPERLINK("https://my.zakupki.prom.ua/remote/dispatcher/state_purchase_view/8479891", "UA-2018-10-08-000499-c")</f>
        <v>UA-2018-10-08-000499-c</v>
      </c>
      <c r="C80" s="1" t="s">
        <v>677</v>
      </c>
      <c r="D80" s="1" t="s">
        <v>111</v>
      </c>
      <c r="E80" s="1" t="s">
        <v>390</v>
      </c>
      <c r="F80" s="5">
        <v>43381</v>
      </c>
      <c r="G80" s="1" t="s">
        <v>1398</v>
      </c>
      <c r="H80" s="6">
        <v>48000</v>
      </c>
      <c r="I80" s="1"/>
      <c r="J80" s="1" t="s">
        <v>1406</v>
      </c>
      <c r="K80" s="7">
        <v>43396.516750726369</v>
      </c>
      <c r="L80" s="1"/>
    </row>
    <row r="81" spans="1:12" hidden="1" x14ac:dyDescent="0.25">
      <c r="A81" s="4">
        <v>79</v>
      </c>
      <c r="B81" s="2" t="str">
        <f>HYPERLINK("https://my.zakupki.prom.ua/remote/dispatcher/state_purchase_view/8650780", "UA-2018-10-24-002373-c")</f>
        <v>UA-2018-10-24-002373-c</v>
      </c>
      <c r="C81" s="1" t="s">
        <v>1376</v>
      </c>
      <c r="D81" s="1" t="s">
        <v>30</v>
      </c>
      <c r="E81" s="1" t="s">
        <v>390</v>
      </c>
      <c r="F81" s="5">
        <v>43397</v>
      </c>
      <c r="G81" s="7">
        <v>43416.510104166664</v>
      </c>
      <c r="H81" s="6">
        <v>100000</v>
      </c>
      <c r="I81" s="1" t="s">
        <v>1244</v>
      </c>
      <c r="J81" s="1" t="s">
        <v>1405</v>
      </c>
      <c r="K81" s="7">
        <v>43430.420804810499</v>
      </c>
      <c r="L81" s="6">
        <v>99950</v>
      </c>
    </row>
    <row r="82" spans="1:12" hidden="1" x14ac:dyDescent="0.25">
      <c r="A82" s="4">
        <v>80</v>
      </c>
      <c r="B82" s="2" t="str">
        <f>HYPERLINK("https://my.zakupki.prom.ua/remote/dispatcher/state_purchase_view/7773791", "UA-2018-07-20-001072-b")</f>
        <v>UA-2018-07-20-001072-b</v>
      </c>
      <c r="C82" s="1" t="s">
        <v>366</v>
      </c>
      <c r="D82" s="1" t="s">
        <v>61</v>
      </c>
      <c r="E82" s="1" t="s">
        <v>390</v>
      </c>
      <c r="F82" s="5">
        <v>43301</v>
      </c>
      <c r="G82" s="7">
        <v>43319.506238425929</v>
      </c>
      <c r="H82" s="6">
        <v>130900</v>
      </c>
      <c r="I82" s="1" t="s">
        <v>1351</v>
      </c>
      <c r="J82" s="1" t="s">
        <v>1405</v>
      </c>
      <c r="K82" s="7">
        <v>43333.381560417431</v>
      </c>
      <c r="L82" s="6">
        <v>130850</v>
      </c>
    </row>
    <row r="83" spans="1:12" hidden="1" x14ac:dyDescent="0.25">
      <c r="A83" s="4">
        <v>81</v>
      </c>
      <c r="B83" s="2" t="str">
        <f>HYPERLINK("https://my.zakupki.prom.ua/remote/dispatcher/state_purchase_view/7446782", "UA-2018-06-14-002919-a")</f>
        <v>UA-2018-06-14-002919-a</v>
      </c>
      <c r="C83" s="1" t="s">
        <v>359</v>
      </c>
      <c r="D83" s="1" t="s">
        <v>37</v>
      </c>
      <c r="E83" s="1" t="s">
        <v>488</v>
      </c>
      <c r="F83" s="5">
        <v>43265</v>
      </c>
      <c r="G83" s="1" t="s">
        <v>1397</v>
      </c>
      <c r="H83" s="6">
        <v>55170</v>
      </c>
      <c r="I83" s="1" t="s">
        <v>642</v>
      </c>
      <c r="J83" s="1" t="s">
        <v>1405</v>
      </c>
      <c r="K83" s="7">
        <v>43265.728590514955</v>
      </c>
      <c r="L83" s="6">
        <v>55170</v>
      </c>
    </row>
    <row r="84" spans="1:12" hidden="1" x14ac:dyDescent="0.25">
      <c r="A84" s="4">
        <v>82</v>
      </c>
      <c r="B84" s="2" t="str">
        <f>HYPERLINK("https://my.zakupki.prom.ua/remote/dispatcher/state_purchase_view/7627834", "UA-2018-07-05-000367-a")</f>
        <v>UA-2018-07-05-000367-a</v>
      </c>
      <c r="C84" s="1" t="s">
        <v>963</v>
      </c>
      <c r="D84" s="1" t="s">
        <v>188</v>
      </c>
      <c r="E84" s="1" t="s">
        <v>390</v>
      </c>
      <c r="F84" s="5">
        <v>43286</v>
      </c>
      <c r="G84" s="7">
        <v>43304.62605324074</v>
      </c>
      <c r="H84" s="6">
        <v>700000</v>
      </c>
      <c r="I84" s="1" t="s">
        <v>1322</v>
      </c>
      <c r="J84" s="1" t="s">
        <v>1405</v>
      </c>
      <c r="K84" s="7">
        <v>43319.390261275737</v>
      </c>
      <c r="L84" s="6">
        <v>696008.11</v>
      </c>
    </row>
    <row r="85" spans="1:12" hidden="1" x14ac:dyDescent="0.25">
      <c r="A85" s="4">
        <v>83</v>
      </c>
      <c r="B85" s="2" t="str">
        <f>HYPERLINK("https://my.zakupki.prom.ua/remote/dispatcher/state_purchase_view/4332732", "UA-2017-10-18-001895-a")</f>
        <v>UA-2017-10-18-001895-a</v>
      </c>
      <c r="C85" s="1" t="s">
        <v>863</v>
      </c>
      <c r="D85" s="1" t="s">
        <v>254</v>
      </c>
      <c r="E85" s="1" t="s">
        <v>390</v>
      </c>
      <c r="F85" s="5">
        <v>43026</v>
      </c>
      <c r="G85" s="7">
        <v>43042.628171296295</v>
      </c>
      <c r="H85" s="6">
        <v>420000</v>
      </c>
      <c r="I85" s="1" t="s">
        <v>1135</v>
      </c>
      <c r="J85" s="1" t="s">
        <v>1405</v>
      </c>
      <c r="K85" s="7">
        <v>43056.650303419883</v>
      </c>
      <c r="L85" s="6">
        <v>419760</v>
      </c>
    </row>
    <row r="86" spans="1:12" hidden="1" x14ac:dyDescent="0.25">
      <c r="A86" s="4">
        <v>84</v>
      </c>
      <c r="B86" s="2" t="str">
        <f>HYPERLINK("https://my.zakupki.prom.ua/remote/dispatcher/state_purchase_view/4473716", "UA-2017-11-01-002770-a")</f>
        <v>UA-2017-11-01-002770-a</v>
      </c>
      <c r="C86" s="1" t="s">
        <v>1270</v>
      </c>
      <c r="D86" s="1" t="s">
        <v>210</v>
      </c>
      <c r="E86" s="1" t="s">
        <v>390</v>
      </c>
      <c r="F86" s="5">
        <v>43040</v>
      </c>
      <c r="G86" s="7">
        <v>43056.609652777777</v>
      </c>
      <c r="H86" s="6">
        <v>200000</v>
      </c>
      <c r="I86" s="1" t="s">
        <v>1181</v>
      </c>
      <c r="J86" s="1" t="s">
        <v>1405</v>
      </c>
      <c r="K86" s="7">
        <v>43070.597331695855</v>
      </c>
      <c r="L86" s="6">
        <v>189000</v>
      </c>
    </row>
    <row r="87" spans="1:12" hidden="1" x14ac:dyDescent="0.25">
      <c r="A87" s="4">
        <v>85</v>
      </c>
      <c r="B87" s="2" t="str">
        <f>HYPERLINK("https://my.zakupki.prom.ua/remote/dispatcher/state_purchase_view/12297230", "UA-2019-07-22-000205-b")</f>
        <v>UA-2019-07-22-000205-b</v>
      </c>
      <c r="C87" s="1" t="s">
        <v>1273</v>
      </c>
      <c r="D87" s="1" t="s">
        <v>142</v>
      </c>
      <c r="E87" s="1" t="s">
        <v>390</v>
      </c>
      <c r="F87" s="5">
        <v>43668</v>
      </c>
      <c r="G87" s="1" t="s">
        <v>1398</v>
      </c>
      <c r="H87" s="6">
        <v>540000</v>
      </c>
      <c r="I87" s="1"/>
      <c r="J87" s="1" t="s">
        <v>1419</v>
      </c>
      <c r="K87" s="7">
        <v>43684.388220128967</v>
      </c>
      <c r="L87" s="1"/>
    </row>
    <row r="88" spans="1:12" hidden="1" x14ac:dyDescent="0.25">
      <c r="A88" s="4">
        <v>86</v>
      </c>
      <c r="B88" s="2" t="str">
        <f>HYPERLINK("https://my.zakupki.prom.ua/remote/dispatcher/state_purchase_view/9392958", "UA-2018-12-17-004052-c")</f>
        <v>UA-2018-12-17-004052-c</v>
      </c>
      <c r="C88" s="1" t="s">
        <v>716</v>
      </c>
      <c r="D88" s="1" t="s">
        <v>75</v>
      </c>
      <c r="E88" s="1" t="s">
        <v>470</v>
      </c>
      <c r="F88" s="5">
        <v>43451</v>
      </c>
      <c r="G88" s="1" t="s">
        <v>1398</v>
      </c>
      <c r="H88" s="6">
        <v>19866</v>
      </c>
      <c r="I88" s="1" t="s">
        <v>1237</v>
      </c>
      <c r="J88" s="1" t="s">
        <v>1405</v>
      </c>
      <c r="K88" s="7">
        <v>43473.610097009281</v>
      </c>
      <c r="L88" s="6">
        <v>17724.599999999999</v>
      </c>
    </row>
    <row r="89" spans="1:12" hidden="1" x14ac:dyDescent="0.25">
      <c r="A89" s="4">
        <v>87</v>
      </c>
      <c r="B89" s="2" t="str">
        <f>HYPERLINK("https://my.zakupki.prom.ua/remote/dispatcher/state_purchase_view/11296931", "UA-2019-04-15-000247-a")</f>
        <v>UA-2019-04-15-000247-a</v>
      </c>
      <c r="C89" s="1" t="s">
        <v>463</v>
      </c>
      <c r="D89" s="1" t="s">
        <v>172</v>
      </c>
      <c r="E89" s="1" t="s">
        <v>390</v>
      </c>
      <c r="F89" s="5">
        <v>43570</v>
      </c>
      <c r="G89" s="7">
        <v>43587.46434027778</v>
      </c>
      <c r="H89" s="6">
        <v>455000</v>
      </c>
      <c r="I89" s="1" t="s">
        <v>1331</v>
      </c>
      <c r="J89" s="1" t="s">
        <v>1405</v>
      </c>
      <c r="K89" s="7">
        <v>43599.391064961506</v>
      </c>
      <c r="L89" s="6">
        <v>450000</v>
      </c>
    </row>
    <row r="90" spans="1:12" hidden="1" x14ac:dyDescent="0.25">
      <c r="A90" s="4">
        <v>88</v>
      </c>
      <c r="B90" s="2" t="str">
        <f>HYPERLINK("https://my.zakupki.prom.ua/remote/dispatcher/state_purchase_view/11537211", "UA-2019-05-10-001561-a")</f>
        <v>UA-2019-05-10-001561-a</v>
      </c>
      <c r="C90" s="1" t="s">
        <v>958</v>
      </c>
      <c r="D90" s="1" t="s">
        <v>196</v>
      </c>
      <c r="E90" s="1" t="s">
        <v>470</v>
      </c>
      <c r="F90" s="5">
        <v>43595</v>
      </c>
      <c r="G90" s="1" t="s">
        <v>1398</v>
      </c>
      <c r="H90" s="6">
        <v>12000</v>
      </c>
      <c r="I90" s="1" t="s">
        <v>1322</v>
      </c>
      <c r="J90" s="1" t="s">
        <v>1405</v>
      </c>
      <c r="K90" s="7">
        <v>43615.416619106865</v>
      </c>
      <c r="L90" s="6">
        <v>10660.82</v>
      </c>
    </row>
    <row r="91" spans="1:12" hidden="1" x14ac:dyDescent="0.25">
      <c r="A91" s="4">
        <v>89</v>
      </c>
      <c r="B91" s="2" t="str">
        <f>HYPERLINK("https://my.zakupki.prom.ua/remote/dispatcher/state_purchase_view/11169233", "UA-2019-04-03-001465-a")</f>
        <v>UA-2019-04-03-001465-a</v>
      </c>
      <c r="C91" s="1" t="s">
        <v>529</v>
      </c>
      <c r="D91" s="1" t="s">
        <v>174</v>
      </c>
      <c r="E91" s="1" t="s">
        <v>470</v>
      </c>
      <c r="F91" s="5">
        <v>43558</v>
      </c>
      <c r="G91" s="7">
        <v>43566.468784722223</v>
      </c>
      <c r="H91" s="6">
        <v>33713</v>
      </c>
      <c r="I91" s="1" t="s">
        <v>1322</v>
      </c>
      <c r="J91" s="1" t="s">
        <v>1405</v>
      </c>
      <c r="K91" s="7">
        <v>43573.815178894933</v>
      </c>
      <c r="L91" s="6">
        <v>33713</v>
      </c>
    </row>
    <row r="92" spans="1:12" hidden="1" x14ac:dyDescent="0.25">
      <c r="A92" s="4">
        <v>90</v>
      </c>
      <c r="B92" s="2" t="str">
        <f>HYPERLINK("https://my.zakupki.prom.ua/remote/dispatcher/state_purchase_view/11490877", "UA-2019-05-06-001528-a")</f>
        <v>UA-2019-05-06-001528-a</v>
      </c>
      <c r="C92" s="1" t="s">
        <v>339</v>
      </c>
      <c r="D92" s="1" t="s">
        <v>30</v>
      </c>
      <c r="E92" s="1" t="s">
        <v>390</v>
      </c>
      <c r="F92" s="5">
        <v>43591</v>
      </c>
      <c r="G92" s="7">
        <v>43607.469074074077</v>
      </c>
      <c r="H92" s="6">
        <v>297800</v>
      </c>
      <c r="I92" s="1" t="s">
        <v>1315</v>
      </c>
      <c r="J92" s="1" t="s">
        <v>1405</v>
      </c>
      <c r="K92" s="7">
        <v>43620.623305517096</v>
      </c>
      <c r="L92" s="6">
        <v>296200</v>
      </c>
    </row>
    <row r="93" spans="1:12" hidden="1" x14ac:dyDescent="0.25">
      <c r="A93" s="4">
        <v>91</v>
      </c>
      <c r="B93" s="2" t="str">
        <f>HYPERLINK("https://my.zakupki.prom.ua/remote/dispatcher/state_purchase_view/12660669", "UA-2019-08-28-001327-a")</f>
        <v>UA-2019-08-28-001327-a</v>
      </c>
      <c r="C93" s="1" t="s">
        <v>1009</v>
      </c>
      <c r="D93" s="1" t="s">
        <v>226</v>
      </c>
      <c r="E93" s="1" t="s">
        <v>488</v>
      </c>
      <c r="F93" s="5">
        <v>43705</v>
      </c>
      <c r="G93" s="1" t="s">
        <v>1397</v>
      </c>
      <c r="H93" s="6">
        <v>1373673</v>
      </c>
      <c r="I93" s="1" t="s">
        <v>708</v>
      </c>
      <c r="J93" s="1" t="s">
        <v>1405</v>
      </c>
      <c r="K93" s="7">
        <v>43705.568825988914</v>
      </c>
      <c r="L93" s="6">
        <v>1373673</v>
      </c>
    </row>
    <row r="94" spans="1:12" hidden="1" x14ac:dyDescent="0.25">
      <c r="A94" s="4">
        <v>92</v>
      </c>
      <c r="B94" s="2" t="str">
        <f>HYPERLINK("https://my.zakupki.prom.ua/remote/dispatcher/state_purchase_view/11998701", "UA-2019-06-21-000663-a")</f>
        <v>UA-2019-06-21-000663-a</v>
      </c>
      <c r="C94" s="1" t="s">
        <v>1056</v>
      </c>
      <c r="D94" s="1" t="s">
        <v>142</v>
      </c>
      <c r="E94" s="1" t="s">
        <v>390</v>
      </c>
      <c r="F94" s="5">
        <v>43637</v>
      </c>
      <c r="G94" s="7">
        <v>43654.593761574077</v>
      </c>
      <c r="H94" s="6">
        <v>230800</v>
      </c>
      <c r="I94" s="1" t="s">
        <v>1320</v>
      </c>
      <c r="J94" s="1" t="s">
        <v>1405</v>
      </c>
      <c r="K94" s="7">
        <v>43668.390443247874</v>
      </c>
      <c r="L94" s="6">
        <v>229900</v>
      </c>
    </row>
    <row r="95" spans="1:12" hidden="1" x14ac:dyDescent="0.25">
      <c r="A95" s="4">
        <v>93</v>
      </c>
      <c r="B95" s="2" t="str">
        <f>HYPERLINK("https://my.zakupki.prom.ua/remote/dispatcher/state_purchase_view/12168120", "UA-2019-07-09-000367-b")</f>
        <v>UA-2019-07-09-000367-b</v>
      </c>
      <c r="C95" s="1" t="s">
        <v>334</v>
      </c>
      <c r="D95" s="1" t="s">
        <v>170</v>
      </c>
      <c r="E95" s="1" t="s">
        <v>390</v>
      </c>
      <c r="F95" s="5">
        <v>43655</v>
      </c>
      <c r="G95" s="7">
        <v>43671.489837962959</v>
      </c>
      <c r="H95" s="6">
        <v>318000</v>
      </c>
      <c r="I95" s="1" t="s">
        <v>1331</v>
      </c>
      <c r="J95" s="1" t="s">
        <v>1405</v>
      </c>
      <c r="K95" s="7">
        <v>43683.393328954349</v>
      </c>
      <c r="L95" s="6">
        <v>300000</v>
      </c>
    </row>
    <row r="96" spans="1:12" hidden="1" x14ac:dyDescent="0.25">
      <c r="A96" s="4">
        <v>94</v>
      </c>
      <c r="B96" s="2" t="str">
        <f>HYPERLINK("https://my.zakupki.prom.ua/remote/dispatcher/state_purchase_view/10177108", "UA-2019-01-28-000665-b")</f>
        <v>UA-2019-01-28-000665-b</v>
      </c>
      <c r="C96" s="1" t="s">
        <v>873</v>
      </c>
      <c r="D96" s="1" t="s">
        <v>260</v>
      </c>
      <c r="E96" s="1" t="s">
        <v>390</v>
      </c>
      <c r="F96" s="5">
        <v>43493</v>
      </c>
      <c r="G96" s="1" t="s">
        <v>1398</v>
      </c>
      <c r="H96" s="6">
        <v>308001</v>
      </c>
      <c r="I96" s="1"/>
      <c r="J96" s="1" t="s">
        <v>1406</v>
      </c>
      <c r="K96" s="7">
        <v>43508.542353248318</v>
      </c>
      <c r="L96" s="1"/>
    </row>
    <row r="97" spans="1:12" hidden="1" x14ac:dyDescent="0.25">
      <c r="A97" s="4">
        <v>95</v>
      </c>
      <c r="B97" s="2" t="str">
        <f>HYPERLINK("https://my.zakupki.prom.ua/remote/dispatcher/state_purchase_view/17392566", "UA-2020-06-22-001100-c")</f>
        <v>UA-2020-06-22-001100-c</v>
      </c>
      <c r="C97" s="1" t="s">
        <v>850</v>
      </c>
      <c r="D97" s="1" t="s">
        <v>235</v>
      </c>
      <c r="E97" s="1" t="s">
        <v>390</v>
      </c>
      <c r="F97" s="5">
        <v>44004</v>
      </c>
      <c r="G97" s="7">
        <v>44021.63957175926</v>
      </c>
      <c r="H97" s="6">
        <v>202990</v>
      </c>
      <c r="I97" s="1" t="s">
        <v>1313</v>
      </c>
      <c r="J97" s="1" t="s">
        <v>1405</v>
      </c>
      <c r="K97" s="7">
        <v>44033.600817556471</v>
      </c>
      <c r="L97" s="6">
        <v>189504</v>
      </c>
    </row>
    <row r="98" spans="1:12" hidden="1" x14ac:dyDescent="0.25">
      <c r="A98" s="4">
        <v>96</v>
      </c>
      <c r="B98" s="2" t="str">
        <f>HYPERLINK("https://my.zakupki.prom.ua/remote/dispatcher/state_purchase_view/17390981", "UA-2020-06-22-000671-c")</f>
        <v>UA-2020-06-22-000671-c</v>
      </c>
      <c r="C98" s="1" t="s">
        <v>415</v>
      </c>
      <c r="D98" s="1" t="s">
        <v>151</v>
      </c>
      <c r="E98" s="1" t="s">
        <v>470</v>
      </c>
      <c r="F98" s="5">
        <v>44004</v>
      </c>
      <c r="G98" s="7">
        <v>44018.534826388888</v>
      </c>
      <c r="H98" s="6">
        <v>13650</v>
      </c>
      <c r="I98" s="1" t="s">
        <v>1260</v>
      </c>
      <c r="J98" s="1" t="s">
        <v>1405</v>
      </c>
      <c r="K98" s="7">
        <v>44025.691339299883</v>
      </c>
      <c r="L98" s="6">
        <v>6817.5</v>
      </c>
    </row>
    <row r="99" spans="1:12" hidden="1" x14ac:dyDescent="0.25">
      <c r="A99" s="4">
        <v>97</v>
      </c>
      <c r="B99" s="2" t="str">
        <f>HYPERLINK("https://my.zakupki.prom.ua/remote/dispatcher/state_purchase_view/18950019", "UA-2020-09-02-007533-b")</f>
        <v>UA-2020-09-02-007533-b</v>
      </c>
      <c r="C99" s="1" t="s">
        <v>415</v>
      </c>
      <c r="D99" s="1" t="s">
        <v>59</v>
      </c>
      <c r="E99" s="1" t="s">
        <v>470</v>
      </c>
      <c r="F99" s="5">
        <v>44076</v>
      </c>
      <c r="G99" s="1" t="s">
        <v>1398</v>
      </c>
      <c r="H99" s="6">
        <v>24554</v>
      </c>
      <c r="I99" s="1" t="s">
        <v>1307</v>
      </c>
      <c r="J99" s="1" t="s">
        <v>1405</v>
      </c>
      <c r="K99" s="7">
        <v>44090.601827725674</v>
      </c>
      <c r="L99" s="6">
        <v>24553.919999999998</v>
      </c>
    </row>
    <row r="100" spans="1:12" hidden="1" x14ac:dyDescent="0.25">
      <c r="A100" s="4">
        <v>98</v>
      </c>
      <c r="B100" s="2" t="str">
        <f>HYPERLINK("https://my.zakupki.prom.ua/remote/dispatcher/state_purchase_view/18907826", "UA-2020-09-01-003343-b")</f>
        <v>UA-2020-09-01-003343-b</v>
      </c>
      <c r="C100" s="1" t="s">
        <v>856</v>
      </c>
      <c r="D100" s="1" t="s">
        <v>188</v>
      </c>
      <c r="E100" s="1" t="s">
        <v>1086</v>
      </c>
      <c r="F100" s="5">
        <v>44075</v>
      </c>
      <c r="G100" s="1" t="s">
        <v>1398</v>
      </c>
      <c r="H100" s="6">
        <v>140000</v>
      </c>
      <c r="I100" s="1" t="s">
        <v>1322</v>
      </c>
      <c r="J100" s="1" t="s">
        <v>1405</v>
      </c>
      <c r="K100" s="7">
        <v>44092.532330307535</v>
      </c>
      <c r="L100" s="6">
        <v>140000</v>
      </c>
    </row>
    <row r="101" spans="1:12" hidden="1" x14ac:dyDescent="0.25">
      <c r="A101" s="4">
        <v>99</v>
      </c>
      <c r="B101" s="2" t="str">
        <f>HYPERLINK("https://my.zakupki.prom.ua/remote/dispatcher/state_purchase_view/18994825", "UA-2020-09-03-008565-b")</f>
        <v>UA-2020-09-03-008565-b</v>
      </c>
      <c r="C101" s="1" t="s">
        <v>455</v>
      </c>
      <c r="D101" s="1" t="s">
        <v>137</v>
      </c>
      <c r="E101" s="1" t="s">
        <v>470</v>
      </c>
      <c r="F101" s="5">
        <v>44077</v>
      </c>
      <c r="G101" s="1" t="s">
        <v>1398</v>
      </c>
      <c r="H101" s="6">
        <v>27988</v>
      </c>
      <c r="I101" s="1" t="s">
        <v>1307</v>
      </c>
      <c r="J101" s="1" t="s">
        <v>1405</v>
      </c>
      <c r="K101" s="7">
        <v>44091.547485253854</v>
      </c>
      <c r="L101" s="6">
        <v>27566</v>
      </c>
    </row>
    <row r="102" spans="1:12" hidden="1" x14ac:dyDescent="0.25">
      <c r="A102" s="4">
        <v>100</v>
      </c>
      <c r="B102" s="2" t="str">
        <f>HYPERLINK("https://my.zakupki.prom.ua/remote/dispatcher/state_purchase_view/16226005", "UA-2020-04-13-000246-b")</f>
        <v>UA-2020-04-13-000246-b</v>
      </c>
      <c r="C102" s="1" t="s">
        <v>595</v>
      </c>
      <c r="D102" s="1" t="s">
        <v>111</v>
      </c>
      <c r="E102" s="1" t="s">
        <v>470</v>
      </c>
      <c r="F102" s="5">
        <v>43934</v>
      </c>
      <c r="G102" s="1" t="s">
        <v>1398</v>
      </c>
      <c r="H102" s="6">
        <v>81000</v>
      </c>
      <c r="I102" s="1" t="s">
        <v>1331</v>
      </c>
      <c r="J102" s="1" t="s">
        <v>1405</v>
      </c>
      <c r="K102" s="7">
        <v>43948.540544209354</v>
      </c>
      <c r="L102" s="6">
        <v>78000</v>
      </c>
    </row>
    <row r="103" spans="1:12" hidden="1" x14ac:dyDescent="0.25">
      <c r="A103" s="4">
        <v>101</v>
      </c>
      <c r="B103" s="2" t="str">
        <f>HYPERLINK("https://my.zakupki.prom.ua/remote/dispatcher/state_purchase_view/14574812", "UA-2020-01-17-001634-b")</f>
        <v>UA-2020-01-17-001634-b</v>
      </c>
      <c r="C103" s="1" t="s">
        <v>849</v>
      </c>
      <c r="D103" s="1" t="s">
        <v>255</v>
      </c>
      <c r="E103" s="1" t="s">
        <v>488</v>
      </c>
      <c r="F103" s="5">
        <v>43847</v>
      </c>
      <c r="G103" s="1" t="s">
        <v>1397</v>
      </c>
      <c r="H103" s="6">
        <v>111331.06</v>
      </c>
      <c r="I103" s="1" t="s">
        <v>511</v>
      </c>
      <c r="J103" s="1" t="s">
        <v>1405</v>
      </c>
      <c r="K103" s="7">
        <v>43847.553705656137</v>
      </c>
      <c r="L103" s="6">
        <v>111331.06</v>
      </c>
    </row>
    <row r="104" spans="1:12" hidden="1" x14ac:dyDescent="0.25">
      <c r="A104" s="4">
        <v>102</v>
      </c>
      <c r="B104" s="2" t="str">
        <f>HYPERLINK("https://my.zakupki.prom.ua/remote/dispatcher/state_purchase_view/15215881", "UA-2020-02-11-001839-b")</f>
        <v>UA-2020-02-11-001839-b</v>
      </c>
      <c r="C104" s="1" t="s">
        <v>859</v>
      </c>
      <c r="D104" s="1" t="s">
        <v>196</v>
      </c>
      <c r="E104" s="1" t="s">
        <v>470</v>
      </c>
      <c r="F104" s="5">
        <v>43872</v>
      </c>
      <c r="G104" s="1" t="s">
        <v>1398</v>
      </c>
      <c r="H104" s="6">
        <v>72513</v>
      </c>
      <c r="I104" s="1" t="s">
        <v>1331</v>
      </c>
      <c r="J104" s="1" t="s">
        <v>1405</v>
      </c>
      <c r="K104" s="7">
        <v>43886.548705332607</v>
      </c>
      <c r="L104" s="6">
        <v>72490.83</v>
      </c>
    </row>
    <row r="105" spans="1:12" hidden="1" x14ac:dyDescent="0.25">
      <c r="A105" s="4">
        <v>103</v>
      </c>
      <c r="B105" s="2" t="str">
        <f>HYPERLINK("https://my.zakupki.prom.ua/remote/dispatcher/state_purchase_view/15216256", "UA-2020-02-11-001888-b")</f>
        <v>UA-2020-02-11-001888-b</v>
      </c>
      <c r="C105" s="1" t="s">
        <v>1052</v>
      </c>
      <c r="D105" s="1" t="s">
        <v>30</v>
      </c>
      <c r="E105" s="1" t="s">
        <v>390</v>
      </c>
      <c r="F105" s="5">
        <v>43872</v>
      </c>
      <c r="G105" s="1" t="s">
        <v>1398</v>
      </c>
      <c r="H105" s="6">
        <v>263000</v>
      </c>
      <c r="I105" s="1"/>
      <c r="J105" s="1" t="s">
        <v>1419</v>
      </c>
      <c r="K105" s="7">
        <v>43892.664976129337</v>
      </c>
      <c r="L105" s="1"/>
    </row>
    <row r="106" spans="1:12" hidden="1" x14ac:dyDescent="0.25">
      <c r="A106" s="4">
        <v>104</v>
      </c>
      <c r="B106" s="2" t="str">
        <f>HYPERLINK("https://my.zakupki.prom.ua/remote/dispatcher/state_purchase_view/15191409", "UA-2020-02-10-001725-b")</f>
        <v>UA-2020-02-10-001725-b</v>
      </c>
      <c r="C106" s="1" t="s">
        <v>1066</v>
      </c>
      <c r="D106" s="1" t="s">
        <v>90</v>
      </c>
      <c r="E106" s="1" t="s">
        <v>390</v>
      </c>
      <c r="F106" s="5">
        <v>43871</v>
      </c>
      <c r="G106" s="7">
        <v>43887.507314814815</v>
      </c>
      <c r="H106" s="6">
        <v>321070</v>
      </c>
      <c r="I106" s="1" t="s">
        <v>1333</v>
      </c>
      <c r="J106" s="1" t="s">
        <v>1405</v>
      </c>
      <c r="K106" s="7">
        <v>43901.693599933853</v>
      </c>
      <c r="L106" s="6">
        <v>317140</v>
      </c>
    </row>
    <row r="107" spans="1:12" hidden="1" x14ac:dyDescent="0.25">
      <c r="A107" s="4">
        <v>105</v>
      </c>
      <c r="B107" s="2" t="str">
        <f>HYPERLINK("https://my.zakupki.prom.ua/remote/dispatcher/state_purchase_view/16490505", "UA-2020-04-28-001143-b")</f>
        <v>UA-2020-04-28-001143-b</v>
      </c>
      <c r="C107" s="1" t="s">
        <v>413</v>
      </c>
      <c r="D107" s="1" t="s">
        <v>62</v>
      </c>
      <c r="E107" s="1" t="s">
        <v>470</v>
      </c>
      <c r="F107" s="5">
        <v>43949</v>
      </c>
      <c r="G107" s="7">
        <v>43963.666030092594</v>
      </c>
      <c r="H107" s="6">
        <v>15770</v>
      </c>
      <c r="I107" s="1" t="s">
        <v>1299</v>
      </c>
      <c r="J107" s="1" t="s">
        <v>1405</v>
      </c>
      <c r="K107" s="7">
        <v>43970.629157429918</v>
      </c>
      <c r="L107" s="6">
        <v>11800</v>
      </c>
    </row>
    <row r="108" spans="1:12" hidden="1" x14ac:dyDescent="0.25">
      <c r="A108" s="4">
        <v>106</v>
      </c>
      <c r="B108" s="2" t="str">
        <f>HYPERLINK("https://my.zakupki.prom.ua/remote/dispatcher/state_purchase_view/619114", "UA-2016-10-06-000446-b")</f>
        <v>UA-2016-10-06-000446-b</v>
      </c>
      <c r="C108" s="1" t="s">
        <v>716</v>
      </c>
      <c r="D108" s="1" t="s">
        <v>77</v>
      </c>
      <c r="E108" s="1" t="s">
        <v>470</v>
      </c>
      <c r="F108" s="5">
        <v>42649</v>
      </c>
      <c r="G108" s="7">
        <v>42660.593912037039</v>
      </c>
      <c r="H108" s="6">
        <v>3750</v>
      </c>
      <c r="I108" s="1" t="s">
        <v>1109</v>
      </c>
      <c r="J108" s="1" t="s">
        <v>1405</v>
      </c>
      <c r="K108" s="7">
        <v>42669.699793308493</v>
      </c>
      <c r="L108" s="6">
        <v>3005.4</v>
      </c>
    </row>
    <row r="109" spans="1:12" hidden="1" x14ac:dyDescent="0.25">
      <c r="A109" s="4">
        <v>107</v>
      </c>
      <c r="B109" s="2" t="str">
        <f>HYPERLINK("https://my.zakupki.prom.ua/remote/dispatcher/state_purchase_view/979209", "UA-2016-11-22-000806-a")</f>
        <v>UA-2016-11-22-000806-a</v>
      </c>
      <c r="C109" s="1" t="s">
        <v>641</v>
      </c>
      <c r="D109" s="1" t="s">
        <v>198</v>
      </c>
      <c r="E109" s="1" t="s">
        <v>470</v>
      </c>
      <c r="F109" s="5">
        <v>42696</v>
      </c>
      <c r="G109" s="1" t="s">
        <v>1398</v>
      </c>
      <c r="H109" s="6">
        <v>45998</v>
      </c>
      <c r="I109" s="1" t="s">
        <v>700</v>
      </c>
      <c r="J109" s="1" t="s">
        <v>1405</v>
      </c>
      <c r="K109" s="7">
        <v>42713.61685420802</v>
      </c>
      <c r="L109" s="6">
        <v>45996</v>
      </c>
    </row>
    <row r="110" spans="1:12" hidden="1" x14ac:dyDescent="0.25">
      <c r="A110" s="4">
        <v>108</v>
      </c>
      <c r="B110" s="2" t="str">
        <f>HYPERLINK("https://my.zakupki.prom.ua/remote/dispatcher/state_purchase_view/1168592", "UA-2016-12-12-002340-b")</f>
        <v>UA-2016-12-12-002340-b</v>
      </c>
      <c r="C110" s="1" t="s">
        <v>21</v>
      </c>
      <c r="D110" s="1" t="s">
        <v>143</v>
      </c>
      <c r="E110" s="1" t="s">
        <v>470</v>
      </c>
      <c r="F110" s="5">
        <v>42716</v>
      </c>
      <c r="G110" s="1" t="s">
        <v>1398</v>
      </c>
      <c r="H110" s="6">
        <v>37440</v>
      </c>
      <c r="I110" s="1"/>
      <c r="J110" s="1" t="s">
        <v>1406</v>
      </c>
      <c r="K110" s="7">
        <v>42723.584191442271</v>
      </c>
      <c r="L110" s="1"/>
    </row>
    <row r="111" spans="1:12" hidden="1" x14ac:dyDescent="0.25">
      <c r="A111" s="4">
        <v>109</v>
      </c>
      <c r="B111" s="2" t="str">
        <f>HYPERLINK("https://my.zakupki.prom.ua/remote/dispatcher/state_purchase_view/1072185", "UA-2016-12-01-001277-a")</f>
        <v>UA-2016-12-01-001277-a</v>
      </c>
      <c r="C111" s="1" t="s">
        <v>403</v>
      </c>
      <c r="D111" s="1" t="s">
        <v>84</v>
      </c>
      <c r="E111" s="1" t="s">
        <v>470</v>
      </c>
      <c r="F111" s="5">
        <v>42705</v>
      </c>
      <c r="G111" s="1" t="s">
        <v>1398</v>
      </c>
      <c r="H111" s="6">
        <v>23600</v>
      </c>
      <c r="I111" s="1"/>
      <c r="J111" s="1" t="s">
        <v>1419</v>
      </c>
      <c r="K111" s="7">
        <v>42709.495911035199</v>
      </c>
      <c r="L111" s="1"/>
    </row>
    <row r="112" spans="1:12" hidden="1" x14ac:dyDescent="0.25">
      <c r="A112" s="4">
        <v>110</v>
      </c>
      <c r="B112" s="2" t="str">
        <f>HYPERLINK("https://my.zakupki.prom.ua/remote/dispatcher/state_purchase_view/1762197", "UA-2017-01-25-001921-b")</f>
        <v>UA-2017-01-25-001921-b</v>
      </c>
      <c r="C112" s="1" t="s">
        <v>353</v>
      </c>
      <c r="D112" s="1" t="s">
        <v>163</v>
      </c>
      <c r="E112" s="1" t="s">
        <v>470</v>
      </c>
      <c r="F112" s="5">
        <v>42760</v>
      </c>
      <c r="G112" s="7">
        <v>42772.556944444441</v>
      </c>
      <c r="H112" s="6">
        <v>89195</v>
      </c>
      <c r="I112" s="1" t="s">
        <v>449</v>
      </c>
      <c r="J112" s="1" t="s">
        <v>1405</v>
      </c>
      <c r="K112" s="7">
        <v>42779.390146447549</v>
      </c>
      <c r="L112" s="6">
        <v>83800</v>
      </c>
    </row>
    <row r="113" spans="1:12" hidden="1" x14ac:dyDescent="0.25">
      <c r="A113" s="4">
        <v>111</v>
      </c>
      <c r="B113" s="2" t="str">
        <f>HYPERLINK("https://my.zakupki.prom.ua/remote/dispatcher/state_purchase_view/1784707", "UA-2017-01-26-001168-b")</f>
        <v>UA-2017-01-26-001168-b</v>
      </c>
      <c r="C113" s="1" t="s">
        <v>1249</v>
      </c>
      <c r="D113" s="1" t="s">
        <v>69</v>
      </c>
      <c r="E113" s="1" t="s">
        <v>470</v>
      </c>
      <c r="F113" s="5">
        <v>42761</v>
      </c>
      <c r="G113" s="7">
        <v>42773.491412037038</v>
      </c>
      <c r="H113" s="6">
        <v>3397</v>
      </c>
      <c r="I113" s="1" t="s">
        <v>1109</v>
      </c>
      <c r="J113" s="1" t="s">
        <v>1405</v>
      </c>
      <c r="K113" s="7">
        <v>42781.586986307986</v>
      </c>
      <c r="L113" s="6">
        <v>1548</v>
      </c>
    </row>
    <row r="114" spans="1:12" hidden="1" x14ac:dyDescent="0.25">
      <c r="A114" s="4">
        <v>112</v>
      </c>
      <c r="B114" s="2" t="str">
        <f>HYPERLINK("https://my.zakupki.prom.ua/remote/dispatcher/state_purchase_view/504635", "UA-2016-09-20-001630-c")</f>
        <v>UA-2016-09-20-001630-c</v>
      </c>
      <c r="C114" s="1" t="s">
        <v>4</v>
      </c>
      <c r="D114" s="1" t="s">
        <v>249</v>
      </c>
      <c r="E114" s="1" t="s">
        <v>470</v>
      </c>
      <c r="F114" s="5">
        <v>42633</v>
      </c>
      <c r="G114" s="1" t="s">
        <v>1399</v>
      </c>
      <c r="H114" s="6">
        <v>45000</v>
      </c>
      <c r="I114" s="1" t="s">
        <v>1163</v>
      </c>
      <c r="J114" s="1" t="s">
        <v>1404</v>
      </c>
      <c r="K114" s="7">
        <v>42647.6273786448</v>
      </c>
      <c r="L114" s="6">
        <v>20000</v>
      </c>
    </row>
    <row r="115" spans="1:12" hidden="1" x14ac:dyDescent="0.25">
      <c r="A115" s="4">
        <v>113</v>
      </c>
      <c r="B115" s="2" t="str">
        <f>HYPERLINK("https://my.zakupki.prom.ua/remote/dispatcher/state_purchase_view/504635", "UA-2016-09-20-001630-c")</f>
        <v>UA-2016-09-20-001630-c</v>
      </c>
      <c r="C115" s="1" t="s">
        <v>296</v>
      </c>
      <c r="D115" s="1" t="s">
        <v>249</v>
      </c>
      <c r="E115" s="1" t="s">
        <v>470</v>
      </c>
      <c r="F115" s="5">
        <v>42633</v>
      </c>
      <c r="G115" s="1" t="s">
        <v>1399</v>
      </c>
      <c r="H115" s="6">
        <v>45000</v>
      </c>
      <c r="I115" s="1" t="s">
        <v>1163</v>
      </c>
      <c r="J115" s="1" t="s">
        <v>1404</v>
      </c>
      <c r="K115" s="7">
        <v>42647.631135818345</v>
      </c>
      <c r="L115" s="6">
        <v>20000</v>
      </c>
    </row>
    <row r="116" spans="1:12" hidden="1" x14ac:dyDescent="0.25">
      <c r="A116" s="4">
        <v>114</v>
      </c>
      <c r="B116" s="2" t="str">
        <f>HYPERLINK("https://my.zakupki.prom.ua/remote/dispatcher/state_purchase_view/12254609", "UA-2019-07-17-000387-b")</f>
        <v>UA-2019-07-17-000387-b</v>
      </c>
      <c r="C116" s="1" t="s">
        <v>790</v>
      </c>
      <c r="D116" s="1" t="s">
        <v>233</v>
      </c>
      <c r="E116" s="1" t="s">
        <v>390</v>
      </c>
      <c r="F116" s="5">
        <v>43663</v>
      </c>
      <c r="G116" s="7">
        <v>43679.647997685184</v>
      </c>
      <c r="H116" s="6">
        <v>84000</v>
      </c>
      <c r="I116" s="1" t="s">
        <v>1135</v>
      </c>
      <c r="J116" s="1" t="s">
        <v>1405</v>
      </c>
      <c r="K116" s="7">
        <v>43696.487906770148</v>
      </c>
      <c r="L116" s="6">
        <v>83762.5</v>
      </c>
    </row>
    <row r="117" spans="1:12" hidden="1" x14ac:dyDescent="0.25">
      <c r="A117" s="4">
        <v>115</v>
      </c>
      <c r="B117" s="2" t="str">
        <f>HYPERLINK("https://my.zakupki.prom.ua/remote/dispatcher/state_purchase_view/11212441", "UA-2019-04-08-000359-a")</f>
        <v>UA-2019-04-08-000359-a</v>
      </c>
      <c r="C117" s="1" t="s">
        <v>426</v>
      </c>
      <c r="D117" s="1" t="s">
        <v>60</v>
      </c>
      <c r="E117" s="1" t="s">
        <v>722</v>
      </c>
      <c r="F117" s="5">
        <v>43563</v>
      </c>
      <c r="G117" s="1" t="s">
        <v>1397</v>
      </c>
      <c r="H117" s="6">
        <v>729944.52</v>
      </c>
      <c r="I117" s="1" t="s">
        <v>1195</v>
      </c>
      <c r="J117" s="1" t="s">
        <v>1405</v>
      </c>
      <c r="K117" s="7">
        <v>43577.427719866238</v>
      </c>
      <c r="L117" s="6">
        <v>729944.52</v>
      </c>
    </row>
    <row r="118" spans="1:12" hidden="1" x14ac:dyDescent="0.25">
      <c r="A118" s="4">
        <v>116</v>
      </c>
      <c r="B118" s="2" t="str">
        <f>HYPERLINK("https://my.zakupki.prom.ua/remote/dispatcher/state_purchase_view/12660290", "UA-2019-08-28-001269-a")</f>
        <v>UA-2019-08-28-001269-a</v>
      </c>
      <c r="C118" s="1" t="s">
        <v>315</v>
      </c>
      <c r="D118" s="1" t="s">
        <v>220</v>
      </c>
      <c r="E118" s="1" t="s">
        <v>488</v>
      </c>
      <c r="F118" s="5">
        <v>43705</v>
      </c>
      <c r="G118" s="1" t="s">
        <v>1397</v>
      </c>
      <c r="H118" s="6">
        <v>382518</v>
      </c>
      <c r="I118" s="1" t="s">
        <v>1373</v>
      </c>
      <c r="J118" s="1" t="s">
        <v>1405</v>
      </c>
      <c r="K118" s="7">
        <v>43705.552997555613</v>
      </c>
      <c r="L118" s="6">
        <v>382518</v>
      </c>
    </row>
    <row r="119" spans="1:12" hidden="1" x14ac:dyDescent="0.25">
      <c r="A119" s="4">
        <v>117</v>
      </c>
      <c r="B119" s="2" t="str">
        <f>HYPERLINK("https://my.zakupki.prom.ua/remote/dispatcher/state_purchase_view/13013462", "UA-2019-09-30-000253-b")</f>
        <v>UA-2019-09-30-000253-b</v>
      </c>
      <c r="C119" s="1" t="s">
        <v>310</v>
      </c>
      <c r="D119" s="1" t="s">
        <v>176</v>
      </c>
      <c r="E119" s="1" t="s">
        <v>470</v>
      </c>
      <c r="F119" s="5">
        <v>43738</v>
      </c>
      <c r="G119" s="7">
        <v>43746.55709490741</v>
      </c>
      <c r="H119" s="6">
        <v>70000</v>
      </c>
      <c r="I119" s="1" t="s">
        <v>1137</v>
      </c>
      <c r="J119" s="1" t="s">
        <v>1405</v>
      </c>
      <c r="K119" s="7">
        <v>43759.67515367506</v>
      </c>
      <c r="L119" s="6">
        <v>69891.5</v>
      </c>
    </row>
    <row r="120" spans="1:12" hidden="1" x14ac:dyDescent="0.25">
      <c r="A120" s="4">
        <v>118</v>
      </c>
      <c r="B120" s="2" t="str">
        <f>HYPERLINK("https://my.zakupki.prom.ua/remote/dispatcher/state_purchase_view/12785015", "UA-2019-09-10-000445-b")</f>
        <v>UA-2019-09-10-000445-b</v>
      </c>
      <c r="C120" s="1" t="s">
        <v>773</v>
      </c>
      <c r="D120" s="1" t="s">
        <v>262</v>
      </c>
      <c r="E120" s="1" t="s">
        <v>470</v>
      </c>
      <c r="F120" s="5">
        <v>43718</v>
      </c>
      <c r="G120" s="1" t="s">
        <v>1398</v>
      </c>
      <c r="H120" s="6">
        <v>60000</v>
      </c>
      <c r="I120" s="1"/>
      <c r="J120" s="1" t="s">
        <v>1406</v>
      </c>
      <c r="K120" s="7">
        <v>43725.459597288551</v>
      </c>
      <c r="L120" s="1"/>
    </row>
    <row r="121" spans="1:12" hidden="1" x14ac:dyDescent="0.25">
      <c r="A121" s="4">
        <v>119</v>
      </c>
      <c r="B121" s="2" t="str">
        <f>HYPERLINK("https://my.zakupki.prom.ua/remote/dispatcher/state_purchase_view/10523002", "UA-2019-02-12-001638-b")</f>
        <v>UA-2019-02-12-001638-b</v>
      </c>
      <c r="C121" s="1" t="s">
        <v>359</v>
      </c>
      <c r="D121" s="1" t="s">
        <v>38</v>
      </c>
      <c r="E121" s="1" t="s">
        <v>488</v>
      </c>
      <c r="F121" s="5">
        <v>43508</v>
      </c>
      <c r="G121" s="1" t="s">
        <v>1397</v>
      </c>
      <c r="H121" s="6">
        <v>17100</v>
      </c>
      <c r="I121" s="1" t="s">
        <v>642</v>
      </c>
      <c r="J121" s="1" t="s">
        <v>1405</v>
      </c>
      <c r="K121" s="7">
        <v>43508.594688901518</v>
      </c>
      <c r="L121" s="6">
        <v>17100</v>
      </c>
    </row>
    <row r="122" spans="1:12" hidden="1" x14ac:dyDescent="0.25">
      <c r="A122" s="4">
        <v>120</v>
      </c>
      <c r="B122" s="2" t="str">
        <f>HYPERLINK("https://my.zakupki.prom.ua/remote/dispatcher/state_purchase_view/10066701", "UA-2019-01-23-002586-b")</f>
        <v>UA-2019-01-23-002586-b</v>
      </c>
      <c r="C122" s="1" t="s">
        <v>518</v>
      </c>
      <c r="D122" s="1" t="s">
        <v>174</v>
      </c>
      <c r="E122" s="1" t="s">
        <v>470</v>
      </c>
      <c r="F122" s="5">
        <v>43488</v>
      </c>
      <c r="G122" s="1" t="s">
        <v>1398</v>
      </c>
      <c r="H122" s="6">
        <v>50000</v>
      </c>
      <c r="I122" s="1" t="s">
        <v>1322</v>
      </c>
      <c r="J122" s="1" t="s">
        <v>1405</v>
      </c>
      <c r="K122" s="7">
        <v>43508.602470393715</v>
      </c>
      <c r="L122" s="6">
        <v>50000</v>
      </c>
    </row>
    <row r="123" spans="1:12" hidden="1" x14ac:dyDescent="0.25">
      <c r="A123" s="4">
        <v>121</v>
      </c>
      <c r="B123" s="2" t="str">
        <f>HYPERLINK("https://my.zakupki.prom.ua/remote/dispatcher/state_purchase_view/12909519", "UA-2019-09-19-001991-b")</f>
        <v>UA-2019-09-19-001991-b</v>
      </c>
      <c r="C123" s="1" t="s">
        <v>823</v>
      </c>
      <c r="D123" s="1" t="s">
        <v>246</v>
      </c>
      <c r="E123" s="1" t="s">
        <v>390</v>
      </c>
      <c r="F123" s="5">
        <v>43727</v>
      </c>
      <c r="G123" s="1" t="s">
        <v>1398</v>
      </c>
      <c r="H123" s="6">
        <v>700000</v>
      </c>
      <c r="I123" s="1"/>
      <c r="J123" s="1" t="s">
        <v>1419</v>
      </c>
      <c r="K123" s="7">
        <v>43738.629356271493</v>
      </c>
      <c r="L123" s="1"/>
    </row>
    <row r="124" spans="1:12" hidden="1" x14ac:dyDescent="0.25">
      <c r="A124" s="4">
        <v>122</v>
      </c>
      <c r="B124" s="2" t="str">
        <f>HYPERLINK("https://my.zakupki.prom.ua/remote/dispatcher/state_purchase_view/8695741", "UA-2018-10-29-001706-c")</f>
        <v>UA-2018-10-29-001706-c</v>
      </c>
      <c r="C124" s="1" t="s">
        <v>474</v>
      </c>
      <c r="D124" s="1" t="s">
        <v>36</v>
      </c>
      <c r="E124" s="1" t="s">
        <v>390</v>
      </c>
      <c r="F124" s="5">
        <v>43402</v>
      </c>
      <c r="G124" s="1" t="s">
        <v>1398</v>
      </c>
      <c r="H124" s="6">
        <v>184400</v>
      </c>
      <c r="I124" s="1"/>
      <c r="J124" s="1" t="s">
        <v>1406</v>
      </c>
      <c r="K124" s="7">
        <v>43418.66899489682</v>
      </c>
      <c r="L124" s="1"/>
    </row>
    <row r="125" spans="1:12" hidden="1" x14ac:dyDescent="0.25">
      <c r="A125" s="4">
        <v>123</v>
      </c>
      <c r="B125" s="2" t="str">
        <f>HYPERLINK("https://my.zakupki.prom.ua/remote/dispatcher/state_purchase_view/10959070", "UA-2019-03-18-001024-a")</f>
        <v>UA-2019-03-18-001024-a</v>
      </c>
      <c r="C125" s="1" t="s">
        <v>426</v>
      </c>
      <c r="D125" s="1" t="s">
        <v>60</v>
      </c>
      <c r="E125" s="1" t="s">
        <v>390</v>
      </c>
      <c r="F125" s="5">
        <v>43542</v>
      </c>
      <c r="G125" s="1" t="s">
        <v>1398</v>
      </c>
      <c r="H125" s="6">
        <v>750000</v>
      </c>
      <c r="I125" s="1"/>
      <c r="J125" s="1" t="s">
        <v>1406</v>
      </c>
      <c r="K125" s="7">
        <v>43557.601983730288</v>
      </c>
      <c r="L125" s="1"/>
    </row>
    <row r="126" spans="1:12" hidden="1" x14ac:dyDescent="0.25">
      <c r="A126" s="4">
        <v>124</v>
      </c>
      <c r="B126" s="2" t="str">
        <f>HYPERLINK("https://my.zakupki.prom.ua/remote/dispatcher/state_purchase_view/11663903", "UA-2019-05-21-002577-a")</f>
        <v>UA-2019-05-21-002577-a</v>
      </c>
      <c r="C126" s="1" t="s">
        <v>954</v>
      </c>
      <c r="D126" s="1" t="s">
        <v>196</v>
      </c>
      <c r="E126" s="1" t="s">
        <v>470</v>
      </c>
      <c r="F126" s="5">
        <v>43606</v>
      </c>
      <c r="G126" s="1" t="s">
        <v>1398</v>
      </c>
      <c r="H126" s="6">
        <v>20810</v>
      </c>
      <c r="I126" s="1" t="s">
        <v>1340</v>
      </c>
      <c r="J126" s="1" t="s">
        <v>1405</v>
      </c>
      <c r="K126" s="7">
        <v>43622.596361688345</v>
      </c>
      <c r="L126" s="6">
        <v>20810</v>
      </c>
    </row>
    <row r="127" spans="1:12" hidden="1" x14ac:dyDescent="0.25">
      <c r="A127" s="4">
        <v>125</v>
      </c>
      <c r="B127" s="2" t="str">
        <f>HYPERLINK("https://my.zakupki.prom.ua/remote/dispatcher/state_purchase_view/10986908", "UA-2019-03-19-002624-a")</f>
        <v>UA-2019-03-19-002624-a</v>
      </c>
      <c r="C127" s="1" t="s">
        <v>846</v>
      </c>
      <c r="D127" s="1" t="s">
        <v>228</v>
      </c>
      <c r="E127" s="1" t="s">
        <v>488</v>
      </c>
      <c r="F127" s="5">
        <v>43543</v>
      </c>
      <c r="G127" s="1" t="s">
        <v>1397</v>
      </c>
      <c r="H127" s="6">
        <v>3210</v>
      </c>
      <c r="I127" s="1" t="s">
        <v>1190</v>
      </c>
      <c r="J127" s="1" t="s">
        <v>1405</v>
      </c>
      <c r="K127" s="7">
        <v>43543.69590580104</v>
      </c>
      <c r="L127" s="6">
        <v>3210</v>
      </c>
    </row>
    <row r="128" spans="1:12" hidden="1" x14ac:dyDescent="0.25">
      <c r="A128" s="4">
        <v>126</v>
      </c>
      <c r="B128" s="2" t="str">
        <f>HYPERLINK("https://my.zakupki.prom.ua/remote/dispatcher/state_purchase_view/12386810", "UA-2019-07-31-000125-b")</f>
        <v>UA-2019-07-31-000125-b</v>
      </c>
      <c r="C128" s="1" t="s">
        <v>397</v>
      </c>
      <c r="D128" s="1" t="s">
        <v>29</v>
      </c>
      <c r="E128" s="1" t="s">
        <v>470</v>
      </c>
      <c r="F128" s="5">
        <v>43677</v>
      </c>
      <c r="G128" s="1" t="s">
        <v>1398</v>
      </c>
      <c r="H128" s="6">
        <v>64750</v>
      </c>
      <c r="I128" s="1" t="s">
        <v>1314</v>
      </c>
      <c r="J128" s="1" t="s">
        <v>1405</v>
      </c>
      <c r="K128" s="7">
        <v>43689.538764273406</v>
      </c>
      <c r="L128" s="6">
        <v>64750</v>
      </c>
    </row>
    <row r="129" spans="1:12" hidden="1" x14ac:dyDescent="0.25">
      <c r="A129" s="4">
        <v>127</v>
      </c>
      <c r="B129" s="2" t="str">
        <f>HYPERLINK("https://my.zakupki.prom.ua/remote/dispatcher/state_purchase_view/13620358", "UA-2019-11-19-000930-b")</f>
        <v>UA-2019-11-19-000930-b</v>
      </c>
      <c r="C129" s="1" t="s">
        <v>716</v>
      </c>
      <c r="D129" s="1" t="s">
        <v>75</v>
      </c>
      <c r="E129" s="1" t="s">
        <v>470</v>
      </c>
      <c r="F129" s="5">
        <v>43788</v>
      </c>
      <c r="G129" s="1" t="s">
        <v>1398</v>
      </c>
      <c r="H129" s="6">
        <v>9870</v>
      </c>
      <c r="I129" s="1" t="s">
        <v>1109</v>
      </c>
      <c r="J129" s="1" t="s">
        <v>1405</v>
      </c>
      <c r="K129" s="7">
        <v>43803.464261896901</v>
      </c>
      <c r="L129" s="6">
        <v>7497</v>
      </c>
    </row>
    <row r="130" spans="1:12" hidden="1" x14ac:dyDescent="0.25">
      <c r="A130" s="4">
        <v>128</v>
      </c>
      <c r="B130" s="2" t="str">
        <f>HYPERLINK("https://my.zakupki.prom.ua/remote/dispatcher/state_purchase_view/13504731", "UA-2019-11-11-000320-b")</f>
        <v>UA-2019-11-11-000320-b</v>
      </c>
      <c r="C130" s="1" t="s">
        <v>855</v>
      </c>
      <c r="D130" s="1" t="s">
        <v>194</v>
      </c>
      <c r="E130" s="1" t="s">
        <v>470</v>
      </c>
      <c r="F130" s="5">
        <v>43780</v>
      </c>
      <c r="G130" s="1" t="s">
        <v>1398</v>
      </c>
      <c r="H130" s="6">
        <v>146000</v>
      </c>
      <c r="I130" s="1" t="s">
        <v>1331</v>
      </c>
      <c r="J130" s="1" t="s">
        <v>1405</v>
      </c>
      <c r="K130" s="7">
        <v>43791.388576272977</v>
      </c>
      <c r="L130" s="6">
        <v>145505.32999999999</v>
      </c>
    </row>
    <row r="131" spans="1:12" hidden="1" x14ac:dyDescent="0.25">
      <c r="A131" s="4">
        <v>129</v>
      </c>
      <c r="B131" s="2" t="str">
        <f>HYPERLINK("https://my.zakupki.prom.ua/remote/dispatcher/state_purchase_view/7878827", "UA-2018-08-02-000730-b")</f>
        <v>UA-2018-08-02-000730-b</v>
      </c>
      <c r="C131" s="1" t="s">
        <v>1042</v>
      </c>
      <c r="D131" s="1" t="s">
        <v>71</v>
      </c>
      <c r="E131" s="1" t="s">
        <v>390</v>
      </c>
      <c r="F131" s="5">
        <v>43314</v>
      </c>
      <c r="G131" s="7">
        <v>43332.472442129627</v>
      </c>
      <c r="H131" s="6">
        <v>430000</v>
      </c>
      <c r="I131" s="1" t="s">
        <v>1306</v>
      </c>
      <c r="J131" s="1" t="s">
        <v>1405</v>
      </c>
      <c r="K131" s="7">
        <v>43346.697636454039</v>
      </c>
      <c r="L131" s="6">
        <v>428000</v>
      </c>
    </row>
    <row r="132" spans="1:12" hidden="1" x14ac:dyDescent="0.25">
      <c r="A132" s="4">
        <v>130</v>
      </c>
      <c r="B132" s="2" t="str">
        <f>HYPERLINK("https://my.zakupki.prom.ua/remote/dispatcher/state_purchase_view/8455075", "UA-2018-10-04-001473-c")</f>
        <v>UA-2018-10-04-001473-c</v>
      </c>
      <c r="C132" s="1" t="s">
        <v>582</v>
      </c>
      <c r="D132" s="1" t="s">
        <v>90</v>
      </c>
      <c r="E132" s="1" t="s">
        <v>390</v>
      </c>
      <c r="F132" s="5">
        <v>43377</v>
      </c>
      <c r="G132" s="7">
        <v>43398.578055555554</v>
      </c>
      <c r="H132" s="6">
        <v>1353806</v>
      </c>
      <c r="I132" s="1" t="s">
        <v>700</v>
      </c>
      <c r="J132" s="1" t="s">
        <v>1404</v>
      </c>
      <c r="K132" s="7">
        <v>43413.436689108843</v>
      </c>
      <c r="L132" s="6">
        <v>289400</v>
      </c>
    </row>
    <row r="133" spans="1:12" hidden="1" x14ac:dyDescent="0.25">
      <c r="A133" s="4">
        <v>131</v>
      </c>
      <c r="B133" s="2" t="str">
        <f>HYPERLINK("https://my.zakupki.prom.ua/remote/dispatcher/state_purchase_view/8455075", "UA-2018-10-04-001473-c")</f>
        <v>UA-2018-10-04-001473-c</v>
      </c>
      <c r="C133" s="1" t="s">
        <v>584</v>
      </c>
      <c r="D133" s="1" t="s">
        <v>90</v>
      </c>
      <c r="E133" s="1" t="s">
        <v>390</v>
      </c>
      <c r="F133" s="5">
        <v>43377</v>
      </c>
      <c r="G133" s="7">
        <v>43398.591944444444</v>
      </c>
      <c r="H133" s="6">
        <v>1353806</v>
      </c>
      <c r="I133" s="1" t="s">
        <v>1340</v>
      </c>
      <c r="J133" s="1" t="s">
        <v>1404</v>
      </c>
      <c r="K133" s="7">
        <v>43416.684626472445</v>
      </c>
      <c r="L133" s="6">
        <v>1029400</v>
      </c>
    </row>
    <row r="134" spans="1:12" hidden="1" x14ac:dyDescent="0.25">
      <c r="A134" s="4">
        <v>132</v>
      </c>
      <c r="B134" s="2" t="str">
        <f>HYPERLINK("https://my.zakupki.prom.ua/remote/dispatcher/state_purchase_view/9474103", "UA-2018-12-20-001837-a")</f>
        <v>UA-2018-12-20-001837-a</v>
      </c>
      <c r="C134" s="1" t="s">
        <v>786</v>
      </c>
      <c r="D134" s="1" t="s">
        <v>200</v>
      </c>
      <c r="E134" s="1" t="s">
        <v>470</v>
      </c>
      <c r="F134" s="5">
        <v>43454</v>
      </c>
      <c r="G134" s="1" t="s">
        <v>1398</v>
      </c>
      <c r="H134" s="6">
        <v>70750</v>
      </c>
      <c r="I134" s="1" t="s">
        <v>1320</v>
      </c>
      <c r="J134" s="1" t="s">
        <v>1405</v>
      </c>
      <c r="K134" s="7">
        <v>43476.494196799016</v>
      </c>
      <c r="L134" s="6">
        <v>70635</v>
      </c>
    </row>
    <row r="135" spans="1:12" hidden="1" x14ac:dyDescent="0.25">
      <c r="A135" s="4">
        <v>133</v>
      </c>
      <c r="B135" s="2" t="str">
        <f>HYPERLINK("https://my.zakupki.prom.ua/remote/dispatcher/state_purchase_view/9475457", "UA-2018-12-20-002068-a")</f>
        <v>UA-2018-12-20-002068-a</v>
      </c>
      <c r="C135" s="1" t="s">
        <v>347</v>
      </c>
      <c r="D135" s="1" t="s">
        <v>175</v>
      </c>
      <c r="E135" s="1" t="s">
        <v>470</v>
      </c>
      <c r="F135" s="5">
        <v>43454</v>
      </c>
      <c r="G135" s="1" t="s">
        <v>1398</v>
      </c>
      <c r="H135" s="6">
        <v>20643</v>
      </c>
      <c r="I135" s="1" t="s">
        <v>1137</v>
      </c>
      <c r="J135" s="1" t="s">
        <v>1405</v>
      </c>
      <c r="K135" s="7">
        <v>43476.487819634342</v>
      </c>
      <c r="L135" s="6">
        <v>20643</v>
      </c>
    </row>
    <row r="136" spans="1:12" hidden="1" x14ac:dyDescent="0.25">
      <c r="A136" s="4">
        <v>134</v>
      </c>
      <c r="B136" s="2" t="str">
        <f>HYPERLINK("https://my.zakupki.prom.ua/remote/dispatcher/state_purchase_view/3456503", "UA-2017-07-03-000451-b")</f>
        <v>UA-2017-07-03-000451-b</v>
      </c>
      <c r="C136" s="1" t="s">
        <v>405</v>
      </c>
      <c r="D136" s="1" t="s">
        <v>181</v>
      </c>
      <c r="E136" s="1" t="s">
        <v>470</v>
      </c>
      <c r="F136" s="5">
        <v>42919</v>
      </c>
      <c r="G136" s="1" t="s">
        <v>1398</v>
      </c>
      <c r="H136" s="6">
        <v>8224</v>
      </c>
      <c r="I136" s="1"/>
      <c r="J136" s="1" t="s">
        <v>1406</v>
      </c>
      <c r="K136" s="7">
        <v>42928.605567053055</v>
      </c>
      <c r="L136" s="1"/>
    </row>
    <row r="137" spans="1:12" hidden="1" x14ac:dyDescent="0.25">
      <c r="A137" s="4">
        <v>135</v>
      </c>
      <c r="B137" s="2" t="str">
        <f>HYPERLINK("https://my.zakupki.prom.ua/remote/dispatcher/state_purchase_view/3809280", "UA-2017-08-16-001280-a")</f>
        <v>UA-2017-08-16-001280-a</v>
      </c>
      <c r="C137" s="1" t="s">
        <v>640</v>
      </c>
      <c r="D137" s="1" t="s">
        <v>198</v>
      </c>
      <c r="E137" s="1" t="s">
        <v>470</v>
      </c>
      <c r="F137" s="5">
        <v>42963</v>
      </c>
      <c r="G137" s="1" t="s">
        <v>1398</v>
      </c>
      <c r="H137" s="6">
        <v>152000</v>
      </c>
      <c r="I137" s="1" t="s">
        <v>700</v>
      </c>
      <c r="J137" s="1" t="s">
        <v>1405</v>
      </c>
      <c r="K137" s="7">
        <v>42982.623871044234</v>
      </c>
      <c r="L137" s="6">
        <v>151800</v>
      </c>
    </row>
    <row r="138" spans="1:12" hidden="1" x14ac:dyDescent="0.25">
      <c r="A138" s="4">
        <v>136</v>
      </c>
      <c r="B138" s="2" t="str">
        <f>HYPERLINK("https://my.zakupki.prom.ua/remote/dispatcher/state_purchase_view/4225590", "UA-2017-10-05-001224-c")</f>
        <v>UA-2017-10-05-001224-c</v>
      </c>
      <c r="C138" s="1" t="s">
        <v>10</v>
      </c>
      <c r="D138" s="1" t="s">
        <v>198</v>
      </c>
      <c r="E138" s="1" t="s">
        <v>390</v>
      </c>
      <c r="F138" s="5">
        <v>43013</v>
      </c>
      <c r="G138" s="7">
        <v>43032.474872685183</v>
      </c>
      <c r="H138" s="6">
        <v>160000</v>
      </c>
      <c r="I138" s="1"/>
      <c r="J138" s="1" t="s">
        <v>1406</v>
      </c>
      <c r="K138" s="7">
        <v>43042.961311598621</v>
      </c>
      <c r="L138" s="1"/>
    </row>
    <row r="139" spans="1:12" hidden="1" x14ac:dyDescent="0.25">
      <c r="A139" s="4">
        <v>137</v>
      </c>
      <c r="B139" s="2" t="str">
        <f>HYPERLINK("https://my.zakupki.prom.ua/remote/dispatcher/state_purchase_view/3572783", "UA-2017-07-18-000326-b")</f>
        <v>UA-2017-07-18-000326-b</v>
      </c>
      <c r="C139" s="1" t="s">
        <v>1403</v>
      </c>
      <c r="D139" s="1" t="s">
        <v>168</v>
      </c>
      <c r="E139" s="1" t="s">
        <v>470</v>
      </c>
      <c r="F139" s="5">
        <v>42934</v>
      </c>
      <c r="G139" s="1" t="s">
        <v>1398</v>
      </c>
      <c r="H139" s="6">
        <v>6200</v>
      </c>
      <c r="I139" s="1" t="s">
        <v>1146</v>
      </c>
      <c r="J139" s="1" t="s">
        <v>1405</v>
      </c>
      <c r="K139" s="7">
        <v>42947.408507328888</v>
      </c>
      <c r="L139" s="6">
        <v>6200</v>
      </c>
    </row>
    <row r="140" spans="1:12" hidden="1" x14ac:dyDescent="0.25">
      <c r="A140" s="4">
        <v>138</v>
      </c>
      <c r="B140" s="2" t="str">
        <f>HYPERLINK("https://my.zakupki.prom.ua/remote/dispatcher/state_purchase_view/3648249", "UA-2017-07-27-000582-b")</f>
        <v>UA-2017-07-27-000582-b</v>
      </c>
      <c r="C140" s="1" t="s">
        <v>1390</v>
      </c>
      <c r="D140" s="1" t="s">
        <v>137</v>
      </c>
      <c r="E140" s="1" t="s">
        <v>390</v>
      </c>
      <c r="F140" s="5">
        <v>42943</v>
      </c>
      <c r="G140" s="1" t="s">
        <v>1398</v>
      </c>
      <c r="H140" s="6">
        <v>731500</v>
      </c>
      <c r="I140" s="1"/>
      <c r="J140" s="1" t="s">
        <v>1419</v>
      </c>
      <c r="K140" s="7">
        <v>42943.662563752659</v>
      </c>
      <c r="L140" s="1"/>
    </row>
    <row r="141" spans="1:12" hidden="1" x14ac:dyDescent="0.25">
      <c r="A141" s="4">
        <v>139</v>
      </c>
      <c r="B141" s="2" t="str">
        <f>HYPERLINK("https://my.zakupki.prom.ua/remote/dispatcher/state_purchase_view/3936257", "UA-2017-09-04-001262-b")</f>
        <v>UA-2017-09-04-001262-b</v>
      </c>
      <c r="C141" s="1" t="s">
        <v>1066</v>
      </c>
      <c r="D141" s="1" t="s">
        <v>90</v>
      </c>
      <c r="E141" s="1" t="s">
        <v>390</v>
      </c>
      <c r="F141" s="5">
        <v>42982</v>
      </c>
      <c r="G141" s="7">
        <v>42998.544918981483</v>
      </c>
      <c r="H141" s="6">
        <v>700000</v>
      </c>
      <c r="I141" s="1" t="s">
        <v>700</v>
      </c>
      <c r="J141" s="1" t="s">
        <v>1405</v>
      </c>
      <c r="K141" s="7">
        <v>43011.390089674227</v>
      </c>
      <c r="L141" s="6">
        <v>698040</v>
      </c>
    </row>
    <row r="142" spans="1:12" hidden="1" x14ac:dyDescent="0.25">
      <c r="A142" s="4">
        <v>140</v>
      </c>
      <c r="B142" s="2" t="str">
        <f>HYPERLINK("https://my.zakupki.prom.ua/remote/dispatcher/state_purchase_view/3676006", "UA-2017-07-31-001712-b")</f>
        <v>UA-2017-07-31-001712-b</v>
      </c>
      <c r="C142" s="1" t="s">
        <v>291</v>
      </c>
      <c r="D142" s="1" t="s">
        <v>123</v>
      </c>
      <c r="E142" s="1" t="s">
        <v>390</v>
      </c>
      <c r="F142" s="5">
        <v>42947</v>
      </c>
      <c r="G142" s="7">
        <v>42964.596574074072</v>
      </c>
      <c r="H142" s="6">
        <v>4003000</v>
      </c>
      <c r="I142" s="1" t="s">
        <v>1184</v>
      </c>
      <c r="J142" s="1" t="s">
        <v>1405</v>
      </c>
      <c r="K142" s="7">
        <v>42985.700454696758</v>
      </c>
      <c r="L142" s="6">
        <v>4002997</v>
      </c>
    </row>
    <row r="143" spans="1:12" hidden="1" x14ac:dyDescent="0.25">
      <c r="A143" s="4">
        <v>141</v>
      </c>
      <c r="B143" s="2" t="str">
        <f>HYPERLINK("https://my.zakupki.prom.ua/remote/dispatcher/state_purchase_view/3996280", "UA-2017-09-11-000412-c")</f>
        <v>UA-2017-09-11-000412-c</v>
      </c>
      <c r="C143" s="1" t="s">
        <v>712</v>
      </c>
      <c r="D143" s="1" t="s">
        <v>62</v>
      </c>
      <c r="E143" s="1" t="s">
        <v>470</v>
      </c>
      <c r="F143" s="5">
        <v>42989</v>
      </c>
      <c r="G143" s="7">
        <v>42999.527824074074</v>
      </c>
      <c r="H143" s="6">
        <v>8345</v>
      </c>
      <c r="I143" s="1" t="s">
        <v>1162</v>
      </c>
      <c r="J143" s="1" t="s">
        <v>1405</v>
      </c>
      <c r="K143" s="7">
        <v>43011.643235484466</v>
      </c>
      <c r="L143" s="6">
        <v>6078.42</v>
      </c>
    </row>
    <row r="144" spans="1:12" hidden="1" x14ac:dyDescent="0.25">
      <c r="A144" s="4">
        <v>142</v>
      </c>
      <c r="B144" s="2" t="str">
        <f>HYPERLINK("https://my.zakupki.prom.ua/remote/dispatcher/state_purchase_view/3439812", "UA-2017-06-29-000809-b")</f>
        <v>UA-2017-06-29-000809-b</v>
      </c>
      <c r="C144" s="1" t="s">
        <v>1099</v>
      </c>
      <c r="D144" s="1" t="s">
        <v>174</v>
      </c>
      <c r="E144" s="1" t="s">
        <v>470</v>
      </c>
      <c r="F144" s="5">
        <v>42915</v>
      </c>
      <c r="G144" s="7">
        <v>42923.655277777776</v>
      </c>
      <c r="H144" s="6">
        <v>8140</v>
      </c>
      <c r="I144" s="1" t="s">
        <v>1286</v>
      </c>
      <c r="J144" s="1" t="s">
        <v>1405</v>
      </c>
      <c r="K144" s="7">
        <v>42940.741176965406</v>
      </c>
      <c r="L144" s="6">
        <v>6570.36</v>
      </c>
    </row>
    <row r="145" spans="1:12" hidden="1" x14ac:dyDescent="0.25">
      <c r="A145" s="4">
        <v>143</v>
      </c>
      <c r="B145" s="2" t="str">
        <f>HYPERLINK("https://my.zakupki.prom.ua/remote/dispatcher/state_purchase_view/3498104", "UA-2017-07-07-000383-b")</f>
        <v>UA-2017-07-07-000383-b</v>
      </c>
      <c r="C145" s="1" t="s">
        <v>1285</v>
      </c>
      <c r="D145" s="1" t="s">
        <v>111</v>
      </c>
      <c r="E145" s="1" t="s">
        <v>390</v>
      </c>
      <c r="F145" s="5">
        <v>42923</v>
      </c>
      <c r="G145" s="7">
        <v>42941.632314814815</v>
      </c>
      <c r="H145" s="6">
        <v>1029000</v>
      </c>
      <c r="I145" s="1"/>
      <c r="J145" s="1" t="s">
        <v>1406</v>
      </c>
      <c r="K145" s="7">
        <v>42954.000411707442</v>
      </c>
      <c r="L145" s="1"/>
    </row>
    <row r="146" spans="1:12" hidden="1" x14ac:dyDescent="0.25">
      <c r="A146" s="4">
        <v>144</v>
      </c>
      <c r="B146" s="2" t="str">
        <f>HYPERLINK("https://my.zakupki.prom.ua/remote/dispatcher/state_purchase_view/6942184", "UA-2018-04-25-000225-a")</f>
        <v>UA-2018-04-25-000225-a</v>
      </c>
      <c r="C146" s="1" t="s">
        <v>474</v>
      </c>
      <c r="D146" s="1" t="s">
        <v>36</v>
      </c>
      <c r="E146" s="1" t="s">
        <v>722</v>
      </c>
      <c r="F146" s="5">
        <v>43215</v>
      </c>
      <c r="G146" s="1" t="s">
        <v>1397</v>
      </c>
      <c r="H146" s="6">
        <v>1067699</v>
      </c>
      <c r="I146" s="1"/>
      <c r="J146" s="1" t="s">
        <v>1419</v>
      </c>
      <c r="K146" s="7">
        <v>43215.415282800524</v>
      </c>
      <c r="L146" s="1"/>
    </row>
    <row r="147" spans="1:12" hidden="1" x14ac:dyDescent="0.25">
      <c r="A147" s="4">
        <v>145</v>
      </c>
      <c r="B147" s="2" t="str">
        <f>HYPERLINK("https://my.zakupki.prom.ua/remote/dispatcher/state_purchase_view/7276427", "UA-2018-05-30-001781-a")</f>
        <v>UA-2018-05-30-001781-a</v>
      </c>
      <c r="C147" s="1" t="s">
        <v>1014</v>
      </c>
      <c r="D147" s="1" t="s">
        <v>226</v>
      </c>
      <c r="E147" s="1" t="s">
        <v>722</v>
      </c>
      <c r="F147" s="5">
        <v>43250</v>
      </c>
      <c r="G147" s="1" t="s">
        <v>1397</v>
      </c>
      <c r="H147" s="6">
        <v>105000</v>
      </c>
      <c r="I147" s="1" t="s">
        <v>708</v>
      </c>
      <c r="J147" s="1" t="s">
        <v>1419</v>
      </c>
      <c r="K147" s="7">
        <v>43263.677673849546</v>
      </c>
      <c r="L147" s="6">
        <v>105000</v>
      </c>
    </row>
    <row r="148" spans="1:12" hidden="1" x14ac:dyDescent="0.25">
      <c r="A148" s="4">
        <v>146</v>
      </c>
      <c r="B148" s="2" t="str">
        <f>HYPERLINK("https://my.zakupki.prom.ua/remote/dispatcher/state_purchase_view/7245311", "UA-2018-05-25-000788-a")</f>
        <v>UA-2018-05-25-000788-a</v>
      </c>
      <c r="C148" s="1" t="s">
        <v>384</v>
      </c>
      <c r="D148" s="1" t="s">
        <v>166</v>
      </c>
      <c r="E148" s="1" t="s">
        <v>488</v>
      </c>
      <c r="F148" s="5">
        <v>43245</v>
      </c>
      <c r="G148" s="1" t="s">
        <v>1397</v>
      </c>
      <c r="H148" s="6">
        <v>185535.35</v>
      </c>
      <c r="I148" s="1" t="s">
        <v>642</v>
      </c>
      <c r="J148" s="1" t="s">
        <v>1405</v>
      </c>
      <c r="K148" s="7">
        <v>43245.472442939245</v>
      </c>
      <c r="L148" s="6">
        <v>185535.35</v>
      </c>
    </row>
    <row r="149" spans="1:12" hidden="1" x14ac:dyDescent="0.25">
      <c r="A149" s="4">
        <v>147</v>
      </c>
      <c r="B149" s="2" t="str">
        <f>HYPERLINK("https://my.zakupki.prom.ua/remote/dispatcher/state_purchase_view/7446063", "UA-2018-06-14-002752-a")</f>
        <v>UA-2018-06-14-002752-a</v>
      </c>
      <c r="C149" s="1" t="s">
        <v>550</v>
      </c>
      <c r="D149" s="1" t="s">
        <v>165</v>
      </c>
      <c r="E149" s="1" t="s">
        <v>391</v>
      </c>
      <c r="F149" s="5">
        <v>43265</v>
      </c>
      <c r="G149" s="7">
        <v>43304.581006944441</v>
      </c>
      <c r="H149" s="6">
        <v>5000000</v>
      </c>
      <c r="I149" s="1" t="s">
        <v>1114</v>
      </c>
      <c r="J149" s="1" t="s">
        <v>1405</v>
      </c>
      <c r="K149" s="7">
        <v>43320.6266755377</v>
      </c>
      <c r="L149" s="6">
        <v>4974642</v>
      </c>
    </row>
    <row r="150" spans="1:12" hidden="1" x14ac:dyDescent="0.25">
      <c r="A150" s="4">
        <v>148</v>
      </c>
      <c r="B150" s="2" t="str">
        <f>HYPERLINK("https://my.zakupki.prom.ua/remote/dispatcher/state_purchase_view/7765503", "UA-2018-07-19-001880-b")</f>
        <v>UA-2018-07-19-001880-b</v>
      </c>
      <c r="C150" s="1" t="s">
        <v>359</v>
      </c>
      <c r="D150" s="1" t="s">
        <v>37</v>
      </c>
      <c r="E150" s="1" t="s">
        <v>488</v>
      </c>
      <c r="F150" s="5">
        <v>43300</v>
      </c>
      <c r="G150" s="1" t="s">
        <v>1397</v>
      </c>
      <c r="H150" s="6">
        <v>8300</v>
      </c>
      <c r="I150" s="1" t="s">
        <v>642</v>
      </c>
      <c r="J150" s="1" t="s">
        <v>1405</v>
      </c>
      <c r="K150" s="7">
        <v>43300.690426282017</v>
      </c>
      <c r="L150" s="6">
        <v>8300</v>
      </c>
    </row>
    <row r="151" spans="1:12" hidden="1" x14ac:dyDescent="0.25">
      <c r="A151" s="4">
        <v>149</v>
      </c>
      <c r="B151" s="2" t="str">
        <f>HYPERLINK("https://my.zakupki.prom.ua/remote/dispatcher/state_purchase_view/7644129", "UA-2018-07-06-000868-a")</f>
        <v>UA-2018-07-06-000868-a</v>
      </c>
      <c r="C151" s="1" t="s">
        <v>341</v>
      </c>
      <c r="D151" s="1" t="s">
        <v>29</v>
      </c>
      <c r="E151" s="1" t="s">
        <v>390</v>
      </c>
      <c r="F151" s="5">
        <v>43287</v>
      </c>
      <c r="G151" s="7">
        <v>43304.484918981485</v>
      </c>
      <c r="H151" s="6">
        <v>368550</v>
      </c>
      <c r="I151" s="1" t="s">
        <v>1159</v>
      </c>
      <c r="J151" s="1" t="s">
        <v>1405</v>
      </c>
      <c r="K151" s="7">
        <v>43321.631939707477</v>
      </c>
      <c r="L151" s="6">
        <v>366707</v>
      </c>
    </row>
    <row r="152" spans="1:12" hidden="1" x14ac:dyDescent="0.25">
      <c r="A152" s="4">
        <v>150</v>
      </c>
      <c r="B152" s="2" t="str">
        <f>HYPERLINK("https://my.zakupki.prom.ua/remote/dispatcher/state_purchase_view/6467337", "UA-2018-03-12-001335-c")</f>
        <v>UA-2018-03-12-001335-c</v>
      </c>
      <c r="C152" s="1" t="s">
        <v>736</v>
      </c>
      <c r="D152" s="1" t="s">
        <v>165</v>
      </c>
      <c r="E152" s="1" t="s">
        <v>391</v>
      </c>
      <c r="F152" s="5">
        <v>43171</v>
      </c>
      <c r="G152" s="7">
        <v>43234.485208333332</v>
      </c>
      <c r="H152" s="6">
        <v>6300000</v>
      </c>
      <c r="I152" s="1" t="s">
        <v>1114</v>
      </c>
      <c r="J152" s="1" t="s">
        <v>1404</v>
      </c>
      <c r="K152" s="7">
        <v>43256.417683614724</v>
      </c>
      <c r="L152" s="6">
        <v>4974642</v>
      </c>
    </row>
    <row r="153" spans="1:12" hidden="1" x14ac:dyDescent="0.25">
      <c r="A153" s="4">
        <v>151</v>
      </c>
      <c r="B153" s="2" t="str">
        <f>HYPERLINK("https://my.zakupki.prom.ua/remote/dispatcher/state_purchase_view/6467337", "UA-2018-03-12-001335-c")</f>
        <v>UA-2018-03-12-001335-c</v>
      </c>
      <c r="C153" s="1" t="s">
        <v>346</v>
      </c>
      <c r="D153" s="1" t="s">
        <v>165</v>
      </c>
      <c r="E153" s="1" t="s">
        <v>391</v>
      </c>
      <c r="F153" s="5">
        <v>43171</v>
      </c>
      <c r="G153" s="7">
        <v>43234.518101851849</v>
      </c>
      <c r="H153" s="6">
        <v>6300000</v>
      </c>
      <c r="I153" s="1" t="s">
        <v>1114</v>
      </c>
      <c r="J153" s="1" t="s">
        <v>1404</v>
      </c>
      <c r="K153" s="7">
        <v>43262.391475090903</v>
      </c>
      <c r="L153" s="6">
        <v>791938.62</v>
      </c>
    </row>
    <row r="154" spans="1:12" hidden="1" x14ac:dyDescent="0.25">
      <c r="A154" s="4">
        <v>152</v>
      </c>
      <c r="B154" s="2" t="str">
        <f>HYPERLINK("https://my.zakupki.prom.ua/remote/dispatcher/state_purchase_view/6467337", "UA-2018-03-12-001335-c")</f>
        <v>UA-2018-03-12-001335-c</v>
      </c>
      <c r="C154" s="1" t="s">
        <v>648</v>
      </c>
      <c r="D154" s="1" t="s">
        <v>165</v>
      </c>
      <c r="E154" s="1" t="s">
        <v>391</v>
      </c>
      <c r="F154" s="5">
        <v>43171</v>
      </c>
      <c r="G154" s="7">
        <v>43234.540486111109</v>
      </c>
      <c r="H154" s="6">
        <v>6300000</v>
      </c>
      <c r="I154" s="1" t="s">
        <v>1114</v>
      </c>
      <c r="J154" s="1" t="s">
        <v>1404</v>
      </c>
      <c r="K154" s="7">
        <v>43262.38509623237</v>
      </c>
      <c r="L154" s="6">
        <v>498548.52</v>
      </c>
    </row>
    <row r="155" spans="1:12" hidden="1" x14ac:dyDescent="0.25">
      <c r="A155" s="4">
        <v>153</v>
      </c>
      <c r="B155" s="2" t="str">
        <f>HYPERLINK("https://my.zakupki.prom.ua/remote/dispatcher/state_purchase_view/17333609", "UA-2020-06-18-002795-c")</f>
        <v>UA-2020-06-18-002795-c</v>
      </c>
      <c r="C155" s="1" t="s">
        <v>413</v>
      </c>
      <c r="D155" s="1" t="s">
        <v>142</v>
      </c>
      <c r="E155" s="1" t="s">
        <v>488</v>
      </c>
      <c r="F155" s="5">
        <v>44000</v>
      </c>
      <c r="G155" s="1" t="s">
        <v>1397</v>
      </c>
      <c r="H155" s="6">
        <v>1595</v>
      </c>
      <c r="I155" s="1" t="s">
        <v>429</v>
      </c>
      <c r="J155" s="1" t="s">
        <v>1405</v>
      </c>
      <c r="K155" s="7">
        <v>44000.484281329816</v>
      </c>
      <c r="L155" s="6">
        <v>1595</v>
      </c>
    </row>
    <row r="156" spans="1:12" hidden="1" x14ac:dyDescent="0.25">
      <c r="A156" s="4">
        <v>154</v>
      </c>
      <c r="B156" s="2" t="str">
        <f>HYPERLINK("https://my.zakupki.prom.ua/remote/dispatcher/state_purchase_view/17393155", "UA-2020-06-22-001239-c")</f>
        <v>UA-2020-06-22-001239-c</v>
      </c>
      <c r="C156" s="1" t="s">
        <v>939</v>
      </c>
      <c r="D156" s="1" t="s">
        <v>188</v>
      </c>
      <c r="E156" s="1" t="s">
        <v>390</v>
      </c>
      <c r="F156" s="5">
        <v>44004</v>
      </c>
      <c r="G156" s="7">
        <v>44021.582557870373</v>
      </c>
      <c r="H156" s="6">
        <v>125000</v>
      </c>
      <c r="I156" s="1" t="s">
        <v>1143</v>
      </c>
      <c r="J156" s="1" t="s">
        <v>1405</v>
      </c>
      <c r="K156" s="7">
        <v>44033.592106420081</v>
      </c>
      <c r="L156" s="6">
        <v>124347.42</v>
      </c>
    </row>
    <row r="157" spans="1:12" hidden="1" x14ac:dyDescent="0.25">
      <c r="A157" s="4">
        <v>155</v>
      </c>
      <c r="B157" s="2" t="str">
        <f>HYPERLINK("https://my.zakupki.prom.ua/remote/dispatcher/state_purchase_view/14525411", "UA-2020-01-16-000327-c")</f>
        <v>UA-2020-01-16-000327-c</v>
      </c>
      <c r="C157" s="1" t="s">
        <v>857</v>
      </c>
      <c r="D157" s="1" t="s">
        <v>189</v>
      </c>
      <c r="E157" s="1" t="s">
        <v>470</v>
      </c>
      <c r="F157" s="5">
        <v>43846</v>
      </c>
      <c r="G157" s="1" t="s">
        <v>1398</v>
      </c>
      <c r="H157" s="6">
        <v>26500</v>
      </c>
      <c r="I157" s="1" t="s">
        <v>1322</v>
      </c>
      <c r="J157" s="1" t="s">
        <v>1405</v>
      </c>
      <c r="K157" s="7">
        <v>43859.448160149026</v>
      </c>
      <c r="L157" s="6">
        <v>26023.52</v>
      </c>
    </row>
    <row r="158" spans="1:12" hidden="1" x14ac:dyDescent="0.25">
      <c r="A158" s="4">
        <v>156</v>
      </c>
      <c r="B158" s="2" t="str">
        <f>HYPERLINK("https://my.zakupki.prom.ua/remote/dispatcher/state_purchase_view/14527807", "UA-2020-01-16-000629-c")</f>
        <v>UA-2020-01-16-000629-c</v>
      </c>
      <c r="C158" s="1" t="s">
        <v>767</v>
      </c>
      <c r="D158" s="1" t="s">
        <v>227</v>
      </c>
      <c r="E158" s="1" t="s">
        <v>488</v>
      </c>
      <c r="F158" s="5">
        <v>43846</v>
      </c>
      <c r="G158" s="1" t="s">
        <v>1397</v>
      </c>
      <c r="H158" s="6">
        <v>4800</v>
      </c>
      <c r="I158" s="1" t="s">
        <v>1240</v>
      </c>
      <c r="J158" s="1" t="s">
        <v>1405</v>
      </c>
      <c r="K158" s="7">
        <v>43846.44706096733</v>
      </c>
      <c r="L158" s="6">
        <v>4800</v>
      </c>
    </row>
    <row r="159" spans="1:12" hidden="1" x14ac:dyDescent="0.25">
      <c r="A159" s="4">
        <v>157</v>
      </c>
      <c r="B159" s="2" t="str">
        <f>HYPERLINK("https://my.zakupki.prom.ua/remote/dispatcher/state_purchase_view/14927484", "UA-2020-01-29-001719-b")</f>
        <v>UA-2020-01-29-001719-b</v>
      </c>
      <c r="C159" s="1" t="s">
        <v>683</v>
      </c>
      <c r="D159" s="1" t="s">
        <v>217</v>
      </c>
      <c r="E159" s="1" t="s">
        <v>488</v>
      </c>
      <c r="F159" s="5">
        <v>43859</v>
      </c>
      <c r="G159" s="1" t="s">
        <v>1397</v>
      </c>
      <c r="H159" s="6">
        <v>306000</v>
      </c>
      <c r="I159" s="1" t="s">
        <v>1355</v>
      </c>
      <c r="J159" s="1" t="s">
        <v>1405</v>
      </c>
      <c r="K159" s="7">
        <v>43859.522898622949</v>
      </c>
      <c r="L159" s="6">
        <v>306000</v>
      </c>
    </row>
    <row r="160" spans="1:12" hidden="1" x14ac:dyDescent="0.25">
      <c r="A160" s="4">
        <v>158</v>
      </c>
      <c r="B160" s="2" t="str">
        <f>HYPERLINK("https://my.zakupki.prom.ua/remote/dispatcher/state_purchase_view/16058300", "UA-2020-04-01-000903-b")</f>
        <v>UA-2020-04-01-000903-b</v>
      </c>
      <c r="C160" s="1" t="s">
        <v>289</v>
      </c>
      <c r="D160" s="1" t="s">
        <v>123</v>
      </c>
      <c r="E160" s="1" t="s">
        <v>470</v>
      </c>
      <c r="F160" s="5">
        <v>43922</v>
      </c>
      <c r="G160" s="1" t="s">
        <v>1398</v>
      </c>
      <c r="H160" s="6">
        <v>119900</v>
      </c>
      <c r="I160" s="1" t="s">
        <v>1170</v>
      </c>
      <c r="J160" s="1" t="s">
        <v>1405</v>
      </c>
      <c r="K160" s="7">
        <v>43934.563428346446</v>
      </c>
      <c r="L160" s="6">
        <v>119700</v>
      </c>
    </row>
    <row r="161" spans="1:12" hidden="1" x14ac:dyDescent="0.25">
      <c r="A161" s="4">
        <v>159</v>
      </c>
      <c r="B161" s="2" t="str">
        <f>HYPERLINK("https://my.zakupki.prom.ua/remote/dispatcher/state_purchase_view/16058507", "UA-2020-04-01-000993-b")</f>
        <v>UA-2020-04-01-000993-b</v>
      </c>
      <c r="C161" s="1" t="s">
        <v>502</v>
      </c>
      <c r="D161" s="1" t="s">
        <v>104</v>
      </c>
      <c r="E161" s="1" t="s">
        <v>488</v>
      </c>
      <c r="F161" s="5">
        <v>43922</v>
      </c>
      <c r="G161" s="1" t="s">
        <v>1397</v>
      </c>
      <c r="H161" s="6">
        <v>61850</v>
      </c>
      <c r="I161" s="1" t="s">
        <v>1350</v>
      </c>
      <c r="J161" s="1" t="s">
        <v>1405</v>
      </c>
      <c r="K161" s="7">
        <v>43922.479452083498</v>
      </c>
      <c r="L161" s="6">
        <v>61850</v>
      </c>
    </row>
    <row r="162" spans="1:12" hidden="1" x14ac:dyDescent="0.25">
      <c r="A162" s="4">
        <v>160</v>
      </c>
      <c r="B162" s="2" t="str">
        <f>HYPERLINK("https://my.zakupki.prom.ua/remote/dispatcher/state_purchase_view/3682565", "UA-2017-08-01-001169-b")</f>
        <v>UA-2017-08-01-001169-b</v>
      </c>
      <c r="C162" s="1" t="s">
        <v>1412</v>
      </c>
      <c r="D162" s="1" t="s">
        <v>111</v>
      </c>
      <c r="E162" s="1" t="s">
        <v>390</v>
      </c>
      <c r="F162" s="5">
        <v>42948</v>
      </c>
      <c r="G162" s="7">
        <v>42965.517291666663</v>
      </c>
      <c r="H162" s="6">
        <v>2289000</v>
      </c>
      <c r="I162" s="1"/>
      <c r="J162" s="1" t="s">
        <v>1419</v>
      </c>
      <c r="K162" s="7">
        <v>42948.57386986175</v>
      </c>
      <c r="L162" s="1"/>
    </row>
    <row r="163" spans="1:12" hidden="1" x14ac:dyDescent="0.25">
      <c r="A163" s="4">
        <v>161</v>
      </c>
      <c r="B163" s="2" t="str">
        <f>HYPERLINK("https://my.zakupki.prom.ua/remote/dispatcher/state_purchase_view/3682565", "UA-2017-08-01-001169-b")</f>
        <v>UA-2017-08-01-001169-b</v>
      </c>
      <c r="C163" s="1" t="s">
        <v>1413</v>
      </c>
      <c r="D163" s="1" t="s">
        <v>111</v>
      </c>
      <c r="E163" s="1" t="s">
        <v>390</v>
      </c>
      <c r="F163" s="5">
        <v>42948</v>
      </c>
      <c r="G163" s="7">
        <v>42965.52306712963</v>
      </c>
      <c r="H163" s="6">
        <v>2289000</v>
      </c>
      <c r="I163" s="1"/>
      <c r="J163" s="1" t="s">
        <v>1419</v>
      </c>
      <c r="K163" s="7">
        <v>42948.57386986175</v>
      </c>
      <c r="L163" s="1"/>
    </row>
    <row r="164" spans="1:12" hidden="1" x14ac:dyDescent="0.25">
      <c r="A164" s="4">
        <v>162</v>
      </c>
      <c r="B164" s="2" t="str">
        <f>HYPERLINK("https://my.zakupki.prom.ua/remote/dispatcher/state_purchase_view/3682565", "UA-2017-08-01-001169-b")</f>
        <v>UA-2017-08-01-001169-b</v>
      </c>
      <c r="C164" s="1" t="s">
        <v>1422</v>
      </c>
      <c r="D164" s="1" t="s">
        <v>111</v>
      </c>
      <c r="E164" s="1" t="s">
        <v>390</v>
      </c>
      <c r="F164" s="5">
        <v>42948</v>
      </c>
      <c r="G164" s="7">
        <v>42965.546134259261</v>
      </c>
      <c r="H164" s="6">
        <v>2289000</v>
      </c>
      <c r="I164" s="1"/>
      <c r="J164" s="1" t="s">
        <v>1419</v>
      </c>
      <c r="K164" s="7">
        <v>42948.57386986175</v>
      </c>
      <c r="L164" s="1"/>
    </row>
    <row r="165" spans="1:12" hidden="1" x14ac:dyDescent="0.25">
      <c r="A165" s="4">
        <v>163</v>
      </c>
      <c r="B165" s="2" t="str">
        <f>HYPERLINK("https://my.zakupki.prom.ua/remote/dispatcher/state_purchase_view/3682565", "UA-2017-08-01-001169-b")</f>
        <v>UA-2017-08-01-001169-b</v>
      </c>
      <c r="C165" s="1" t="s">
        <v>1423</v>
      </c>
      <c r="D165" s="1" t="s">
        <v>111</v>
      </c>
      <c r="E165" s="1" t="s">
        <v>390</v>
      </c>
      <c r="F165" s="5">
        <v>42948</v>
      </c>
      <c r="G165" s="7">
        <v>42965.576828703706</v>
      </c>
      <c r="H165" s="6">
        <v>2289000</v>
      </c>
      <c r="I165" s="1"/>
      <c r="J165" s="1" t="s">
        <v>1419</v>
      </c>
      <c r="K165" s="7">
        <v>42948.57386986175</v>
      </c>
      <c r="L165" s="1"/>
    </row>
    <row r="166" spans="1:12" hidden="1" x14ac:dyDescent="0.25">
      <c r="A166" s="4">
        <v>164</v>
      </c>
      <c r="B166" s="2" t="str">
        <f>HYPERLINK("https://my.zakupki.prom.ua/remote/dispatcher/state_purchase_view/4394561", "UA-2017-10-25-000247-c")</f>
        <v>UA-2017-10-25-000247-c</v>
      </c>
      <c r="C166" s="1" t="s">
        <v>637</v>
      </c>
      <c r="D166" s="1" t="s">
        <v>198</v>
      </c>
      <c r="E166" s="1" t="s">
        <v>390</v>
      </c>
      <c r="F166" s="5">
        <v>43033</v>
      </c>
      <c r="G166" s="7">
        <v>43049.489652777775</v>
      </c>
      <c r="H166" s="6">
        <v>160000</v>
      </c>
      <c r="I166" s="1" t="s">
        <v>1340</v>
      </c>
      <c r="J166" s="1" t="s">
        <v>1405</v>
      </c>
      <c r="K166" s="7">
        <v>43060.603910666803</v>
      </c>
      <c r="L166" s="6">
        <v>158800</v>
      </c>
    </row>
    <row r="167" spans="1:12" hidden="1" x14ac:dyDescent="0.25">
      <c r="A167" s="4">
        <v>165</v>
      </c>
      <c r="B167" s="2" t="str">
        <f>HYPERLINK("https://my.zakupki.prom.ua/remote/dispatcher/state_purchase_view/4221458", "UA-2017-10-05-000715-c")</f>
        <v>UA-2017-10-05-000715-c</v>
      </c>
      <c r="C167" s="1" t="s">
        <v>427</v>
      </c>
      <c r="D167" s="1" t="s">
        <v>165</v>
      </c>
      <c r="E167" s="1" t="s">
        <v>390</v>
      </c>
      <c r="F167" s="5">
        <v>43013</v>
      </c>
      <c r="G167" s="7">
        <v>43031.556215277778</v>
      </c>
      <c r="H167" s="6">
        <v>2741560</v>
      </c>
      <c r="I167" s="1" t="s">
        <v>1121</v>
      </c>
      <c r="J167" s="1" t="s">
        <v>1405</v>
      </c>
      <c r="K167" s="7">
        <v>43047.697112708527</v>
      </c>
      <c r="L167" s="6">
        <v>2041086</v>
      </c>
    </row>
    <row r="168" spans="1:12" hidden="1" x14ac:dyDescent="0.25">
      <c r="A168" s="4">
        <v>166</v>
      </c>
      <c r="B168" s="2" t="str">
        <f>HYPERLINK("https://my.zakupki.prom.ua/remote/dispatcher/state_purchase_view/4102237", "UA-2017-09-21-001028-b")</f>
        <v>UA-2017-09-21-001028-b</v>
      </c>
      <c r="C168" s="1" t="s">
        <v>870</v>
      </c>
      <c r="D168" s="1" t="s">
        <v>254</v>
      </c>
      <c r="E168" s="1" t="s">
        <v>390</v>
      </c>
      <c r="F168" s="5">
        <v>42999</v>
      </c>
      <c r="G168" s="1" t="s">
        <v>1398</v>
      </c>
      <c r="H168" s="6">
        <v>85000</v>
      </c>
      <c r="I168" s="1"/>
      <c r="J168" s="1" t="s">
        <v>1406</v>
      </c>
      <c r="K168" s="7">
        <v>43014.62560341131</v>
      </c>
      <c r="L168" s="1"/>
    </row>
    <row r="169" spans="1:12" hidden="1" x14ac:dyDescent="0.25">
      <c r="A169" s="4">
        <v>167</v>
      </c>
      <c r="B169" s="2" t="str">
        <f>HYPERLINK("https://my.zakupki.prom.ua/remote/dispatcher/state_purchase_view/4515041", "UA-2017-11-06-002179-c")</f>
        <v>UA-2017-11-06-002179-c</v>
      </c>
      <c r="C169" s="1" t="s">
        <v>402</v>
      </c>
      <c r="D169" s="1" t="s">
        <v>84</v>
      </c>
      <c r="E169" s="1" t="s">
        <v>390</v>
      </c>
      <c r="F169" s="5">
        <v>43045</v>
      </c>
      <c r="G169" s="7">
        <v>43061.476018518515</v>
      </c>
      <c r="H169" s="6">
        <v>499600</v>
      </c>
      <c r="I169" s="1" t="s">
        <v>449</v>
      </c>
      <c r="J169" s="1" t="s">
        <v>1405</v>
      </c>
      <c r="K169" s="7">
        <v>43080.454745133713</v>
      </c>
      <c r="L169" s="6">
        <v>493244</v>
      </c>
    </row>
    <row r="170" spans="1:12" hidden="1" x14ac:dyDescent="0.25">
      <c r="A170" s="4">
        <v>168</v>
      </c>
      <c r="B170" s="2" t="str">
        <f>HYPERLINK("https://my.zakupki.prom.ua/remote/dispatcher/state_purchase_view/4380360", "UA-2017-10-24-001159-a")</f>
        <v>UA-2017-10-24-001159-a</v>
      </c>
      <c r="C170" s="1" t="s">
        <v>569</v>
      </c>
      <c r="D170" s="1" t="s">
        <v>52</v>
      </c>
      <c r="E170" s="1" t="s">
        <v>390</v>
      </c>
      <c r="F170" s="5">
        <v>43032</v>
      </c>
      <c r="G170" s="7">
        <v>43048.514652777776</v>
      </c>
      <c r="H170" s="6">
        <v>210000</v>
      </c>
      <c r="I170" s="1" t="s">
        <v>1342</v>
      </c>
      <c r="J170" s="1" t="s">
        <v>1405</v>
      </c>
      <c r="K170" s="7">
        <v>43063.634129360929</v>
      </c>
      <c r="L170" s="6">
        <v>195550</v>
      </c>
    </row>
    <row r="171" spans="1:12" hidden="1" x14ac:dyDescent="0.25">
      <c r="A171" s="4">
        <v>169</v>
      </c>
      <c r="B171" s="2" t="str">
        <f>HYPERLINK("https://my.zakupki.prom.ua/remote/dispatcher/state_purchase_view/2766502", "UA-2017-04-06-001905-b")</f>
        <v>UA-2017-04-06-001905-b</v>
      </c>
      <c r="C171" s="1" t="s">
        <v>519</v>
      </c>
      <c r="D171" s="1" t="s">
        <v>174</v>
      </c>
      <c r="E171" s="1" t="s">
        <v>470</v>
      </c>
      <c r="F171" s="5">
        <v>42831</v>
      </c>
      <c r="G171" s="1" t="s">
        <v>1398</v>
      </c>
      <c r="H171" s="6">
        <v>10990</v>
      </c>
      <c r="I171" s="1"/>
      <c r="J171" s="1" t="s">
        <v>1406</v>
      </c>
      <c r="K171" s="7">
        <v>42839.7086015409</v>
      </c>
      <c r="L171" s="1"/>
    </row>
    <row r="172" spans="1:12" hidden="1" x14ac:dyDescent="0.25">
      <c r="A172" s="4">
        <v>170</v>
      </c>
      <c r="B172" s="2" t="str">
        <f>HYPERLINK("https://my.zakupki.prom.ua/remote/dispatcher/state_purchase_view/3377081", "UA-2017-06-20-002653-b")</f>
        <v>UA-2017-06-20-002653-b</v>
      </c>
      <c r="C172" s="1" t="s">
        <v>659</v>
      </c>
      <c r="D172" s="1" t="s">
        <v>161</v>
      </c>
      <c r="E172" s="1" t="s">
        <v>390</v>
      </c>
      <c r="F172" s="5">
        <v>42906</v>
      </c>
      <c r="G172" s="7">
        <v>42923.655312499999</v>
      </c>
      <c r="H172" s="6">
        <v>3200000</v>
      </c>
      <c r="I172" s="1"/>
      <c r="J172" s="1" t="s">
        <v>1419</v>
      </c>
      <c r="K172" s="7">
        <v>42906.702006402636</v>
      </c>
      <c r="L172" s="1"/>
    </row>
    <row r="173" spans="1:12" hidden="1" x14ac:dyDescent="0.25">
      <c r="A173" s="4">
        <v>171</v>
      </c>
      <c r="B173" s="2" t="str">
        <f>HYPERLINK("https://my.zakupki.prom.ua/remote/dispatcher/state_purchase_view/3377081", "UA-2017-06-20-002653-b")</f>
        <v>UA-2017-06-20-002653-b</v>
      </c>
      <c r="C173" s="1" t="s">
        <v>659</v>
      </c>
      <c r="D173" s="1" t="s">
        <v>161</v>
      </c>
      <c r="E173" s="1" t="s">
        <v>390</v>
      </c>
      <c r="F173" s="5">
        <v>42906</v>
      </c>
      <c r="G173" s="7">
        <v>42923.4606712963</v>
      </c>
      <c r="H173" s="6">
        <v>3200000</v>
      </c>
      <c r="I173" s="1"/>
      <c r="J173" s="1" t="s">
        <v>1419</v>
      </c>
      <c r="K173" s="7">
        <v>42906.702006402636</v>
      </c>
      <c r="L173" s="1"/>
    </row>
    <row r="174" spans="1:12" hidden="1" x14ac:dyDescent="0.25">
      <c r="A174" s="4">
        <v>172</v>
      </c>
      <c r="B174" s="2" t="str">
        <f>HYPERLINK("https://my.zakupki.prom.ua/remote/dispatcher/state_purchase_view/3377081", "UA-2017-06-20-002653-b")</f>
        <v>UA-2017-06-20-002653-b</v>
      </c>
      <c r="C174" s="1" t="s">
        <v>659</v>
      </c>
      <c r="D174" s="1" t="s">
        <v>161</v>
      </c>
      <c r="E174" s="1" t="s">
        <v>390</v>
      </c>
      <c r="F174" s="5">
        <v>42906</v>
      </c>
      <c r="G174" s="7">
        <v>42923.492476851854</v>
      </c>
      <c r="H174" s="6">
        <v>3200000</v>
      </c>
      <c r="I174" s="1"/>
      <c r="J174" s="1" t="s">
        <v>1419</v>
      </c>
      <c r="K174" s="7">
        <v>42906.702006402636</v>
      </c>
      <c r="L174" s="1"/>
    </row>
    <row r="175" spans="1:12" hidden="1" x14ac:dyDescent="0.25">
      <c r="A175" s="4">
        <v>173</v>
      </c>
      <c r="B175" s="2" t="str">
        <f>HYPERLINK("https://my.zakupki.prom.ua/remote/dispatcher/state_purchase_view/4656133", "UA-2017-11-17-001329-b")</f>
        <v>UA-2017-11-17-001329-b</v>
      </c>
      <c r="C175" s="1" t="s">
        <v>1093</v>
      </c>
      <c r="D175" s="1" t="s">
        <v>133</v>
      </c>
      <c r="E175" s="1" t="s">
        <v>470</v>
      </c>
      <c r="F175" s="5">
        <v>43056</v>
      </c>
      <c r="G175" s="1" t="s">
        <v>1398</v>
      </c>
      <c r="H175" s="6">
        <v>26400</v>
      </c>
      <c r="I175" s="1" t="s">
        <v>1177</v>
      </c>
      <c r="J175" s="1" t="s">
        <v>1405</v>
      </c>
      <c r="K175" s="7">
        <v>43068.63374195822</v>
      </c>
      <c r="L175" s="6">
        <v>22020</v>
      </c>
    </row>
    <row r="176" spans="1:12" hidden="1" x14ac:dyDescent="0.25">
      <c r="A176" s="4">
        <v>174</v>
      </c>
      <c r="B176" s="2" t="str">
        <f>HYPERLINK("https://my.zakupki.prom.ua/remote/dispatcher/state_purchase_view/4626499", "UA-2017-11-15-003363-a")</f>
        <v>UA-2017-11-15-003363-a</v>
      </c>
      <c r="C176" s="1" t="s">
        <v>575</v>
      </c>
      <c r="D176" s="1" t="s">
        <v>130</v>
      </c>
      <c r="E176" s="1" t="s">
        <v>390</v>
      </c>
      <c r="F176" s="5">
        <v>43054</v>
      </c>
      <c r="G176" s="7">
        <v>43070.531863425924</v>
      </c>
      <c r="H176" s="6">
        <v>136220</v>
      </c>
      <c r="I176" s="1" t="s">
        <v>1258</v>
      </c>
      <c r="J176" s="1" t="s">
        <v>1405</v>
      </c>
      <c r="K176" s="7">
        <v>43081.455738444318</v>
      </c>
      <c r="L176" s="6">
        <v>134250</v>
      </c>
    </row>
    <row r="177" spans="1:12" hidden="1" x14ac:dyDescent="0.25">
      <c r="A177" s="4">
        <v>175</v>
      </c>
      <c r="B177" s="2" t="str">
        <f>HYPERLINK("https://my.zakupki.prom.ua/remote/dispatcher/state_purchase_view/4735765", "UA-2017-11-24-001036-b")</f>
        <v>UA-2017-11-24-001036-b</v>
      </c>
      <c r="C177" s="1" t="s">
        <v>575</v>
      </c>
      <c r="D177" s="1" t="s">
        <v>130</v>
      </c>
      <c r="E177" s="1" t="s">
        <v>390</v>
      </c>
      <c r="F177" s="5">
        <v>43063</v>
      </c>
      <c r="G177" s="7">
        <v>43080.646504629629</v>
      </c>
      <c r="H177" s="6">
        <v>118600</v>
      </c>
      <c r="I177" s="1" t="s">
        <v>1263</v>
      </c>
      <c r="J177" s="1" t="s">
        <v>1405</v>
      </c>
      <c r="K177" s="7">
        <v>43095.468538104215</v>
      </c>
      <c r="L177" s="6">
        <v>117600</v>
      </c>
    </row>
    <row r="178" spans="1:12" hidden="1" x14ac:dyDescent="0.25">
      <c r="A178" s="4">
        <v>176</v>
      </c>
      <c r="B178" s="2" t="str">
        <f>HYPERLINK("https://my.zakupki.prom.ua/remote/dispatcher/state_purchase_view/3438344", "UA-2017-06-29-000498-b")</f>
        <v>UA-2017-06-29-000498-b</v>
      </c>
      <c r="C178" s="1" t="s">
        <v>757</v>
      </c>
      <c r="D178" s="1" t="s">
        <v>233</v>
      </c>
      <c r="E178" s="1" t="s">
        <v>390</v>
      </c>
      <c r="F178" s="5">
        <v>42915</v>
      </c>
      <c r="G178" s="7">
        <v>42934.517164351855</v>
      </c>
      <c r="H178" s="6">
        <v>870000</v>
      </c>
      <c r="I178" s="1" t="s">
        <v>1135</v>
      </c>
      <c r="J178" s="1" t="s">
        <v>1405</v>
      </c>
      <c r="K178" s="7">
        <v>42951.553280041051</v>
      </c>
      <c r="L178" s="6">
        <v>850780.08</v>
      </c>
    </row>
    <row r="179" spans="1:12" hidden="1" x14ac:dyDescent="0.25">
      <c r="A179" s="4">
        <v>177</v>
      </c>
      <c r="B179" s="2" t="str">
        <f>HYPERLINK("https://my.zakupki.prom.ua/remote/dispatcher/state_purchase_view/3899694", "UA-2017-08-30-000064-a")</f>
        <v>UA-2017-08-30-000064-a</v>
      </c>
      <c r="C179" s="1" t="s">
        <v>1033</v>
      </c>
      <c r="D179" s="1" t="s">
        <v>220</v>
      </c>
      <c r="E179" s="1" t="s">
        <v>470</v>
      </c>
      <c r="F179" s="5">
        <v>42977</v>
      </c>
      <c r="G179" s="1" t="s">
        <v>1398</v>
      </c>
      <c r="H179" s="6">
        <v>300000</v>
      </c>
      <c r="I179" s="1" t="s">
        <v>1360</v>
      </c>
      <c r="J179" s="1" t="s">
        <v>1405</v>
      </c>
      <c r="K179" s="7">
        <v>43003.489776102746</v>
      </c>
      <c r="L179" s="6">
        <v>300000</v>
      </c>
    </row>
    <row r="180" spans="1:12" hidden="1" x14ac:dyDescent="0.25">
      <c r="A180" s="4">
        <v>178</v>
      </c>
      <c r="B180" s="2" t="str">
        <f>HYPERLINK("https://my.zakupki.prom.ua/remote/dispatcher/state_purchase_view/4044732", "UA-2017-09-15-000861-c")</f>
        <v>UA-2017-09-15-000861-c</v>
      </c>
      <c r="C180" s="1" t="s">
        <v>1272</v>
      </c>
      <c r="D180" s="1" t="s">
        <v>117</v>
      </c>
      <c r="E180" s="1" t="s">
        <v>470</v>
      </c>
      <c r="F180" s="5">
        <v>42993</v>
      </c>
      <c r="G180" s="1" t="s">
        <v>1398</v>
      </c>
      <c r="H180" s="6">
        <v>80000</v>
      </c>
      <c r="I180" s="1" t="s">
        <v>1296</v>
      </c>
      <c r="J180" s="1" t="s">
        <v>1405</v>
      </c>
      <c r="K180" s="7">
        <v>43013.704972457352</v>
      </c>
      <c r="L180" s="6">
        <v>80000</v>
      </c>
    </row>
    <row r="181" spans="1:12" hidden="1" x14ac:dyDescent="0.25">
      <c r="A181" s="4">
        <v>179</v>
      </c>
      <c r="B181" s="2" t="str">
        <f>HYPERLINK("https://my.zakupki.prom.ua/remote/dispatcher/state_purchase_view/4787286", "UA-2017-11-29-001188-c")</f>
        <v>UA-2017-11-29-001188-c</v>
      </c>
      <c r="C181" s="1" t="s">
        <v>852</v>
      </c>
      <c r="D181" s="1" t="s">
        <v>228</v>
      </c>
      <c r="E181" s="1" t="s">
        <v>470</v>
      </c>
      <c r="F181" s="5">
        <v>43068</v>
      </c>
      <c r="G181" s="1" t="s">
        <v>1398</v>
      </c>
      <c r="H181" s="6">
        <v>40800</v>
      </c>
      <c r="I181" s="1"/>
      <c r="J181" s="1" t="s">
        <v>1419</v>
      </c>
      <c r="K181" s="7">
        <v>43075.401015239571</v>
      </c>
      <c r="L181" s="1"/>
    </row>
    <row r="182" spans="1:12" hidden="1" x14ac:dyDescent="0.25">
      <c r="A182" s="4">
        <v>180</v>
      </c>
      <c r="B182" s="2" t="str">
        <f>HYPERLINK("https://my.zakupki.prom.ua/remote/dispatcher/state_purchase_view/7146879", "UA-2018-05-16-002474-a")</f>
        <v>UA-2018-05-16-002474-a</v>
      </c>
      <c r="C182" s="1" t="s">
        <v>851</v>
      </c>
      <c r="D182" s="1" t="s">
        <v>235</v>
      </c>
      <c r="E182" s="1" t="s">
        <v>390</v>
      </c>
      <c r="F182" s="5">
        <v>43236</v>
      </c>
      <c r="G182" s="7">
        <v>43255.648564814815</v>
      </c>
      <c r="H182" s="6">
        <v>598500</v>
      </c>
      <c r="I182" s="1" t="s">
        <v>1135</v>
      </c>
      <c r="J182" s="1" t="s">
        <v>1405</v>
      </c>
      <c r="K182" s="7">
        <v>43276.728237734962</v>
      </c>
      <c r="L182" s="6">
        <v>595350</v>
      </c>
    </row>
    <row r="183" spans="1:12" hidden="1" x14ac:dyDescent="0.25">
      <c r="A183" s="4">
        <v>181</v>
      </c>
      <c r="B183" s="2" t="str">
        <f>HYPERLINK("https://my.zakupki.prom.ua/remote/dispatcher/state_purchase_view/6771436", "UA-2018-04-06-000788-a")</f>
        <v>UA-2018-04-06-000788-a</v>
      </c>
      <c r="C183" s="1" t="s">
        <v>457</v>
      </c>
      <c r="D183" s="1" t="s">
        <v>137</v>
      </c>
      <c r="E183" s="1" t="s">
        <v>470</v>
      </c>
      <c r="F183" s="5">
        <v>43196</v>
      </c>
      <c r="G183" s="1" t="s">
        <v>1398</v>
      </c>
      <c r="H183" s="6">
        <v>199000</v>
      </c>
      <c r="I183" s="1" t="s">
        <v>1319</v>
      </c>
      <c r="J183" s="1" t="s">
        <v>1405</v>
      </c>
      <c r="K183" s="7">
        <v>43214.531210425012</v>
      </c>
      <c r="L183" s="6">
        <v>199000</v>
      </c>
    </row>
    <row r="184" spans="1:12" hidden="1" x14ac:dyDescent="0.25">
      <c r="A184" s="4">
        <v>182</v>
      </c>
      <c r="B184" s="2" t="str">
        <f>HYPERLINK("https://my.zakupki.prom.ua/remote/dispatcher/state_purchase_view/748482", "UA-2016-10-28-001036-a")</f>
        <v>UA-2016-10-28-001036-a</v>
      </c>
      <c r="C184" s="1" t="s">
        <v>434</v>
      </c>
      <c r="D184" s="1" t="s">
        <v>127</v>
      </c>
      <c r="E184" s="1" t="s">
        <v>470</v>
      </c>
      <c r="F184" s="5">
        <v>42671</v>
      </c>
      <c r="G184" s="1" t="s">
        <v>1399</v>
      </c>
      <c r="H184" s="6">
        <v>15850</v>
      </c>
      <c r="I184" s="1" t="s">
        <v>1320</v>
      </c>
      <c r="J184" s="1" t="s">
        <v>1404</v>
      </c>
      <c r="K184" s="7">
        <v>42688.529342147376</v>
      </c>
      <c r="L184" s="6">
        <v>12777</v>
      </c>
    </row>
    <row r="185" spans="1:12" hidden="1" x14ac:dyDescent="0.25">
      <c r="A185" s="4">
        <v>183</v>
      </c>
      <c r="B185" s="2" t="str">
        <f>HYPERLINK("https://my.zakupki.prom.ua/remote/dispatcher/state_purchase_view/748482", "UA-2016-10-28-001036-a")</f>
        <v>UA-2016-10-28-001036-a</v>
      </c>
      <c r="C185" s="1" t="s">
        <v>438</v>
      </c>
      <c r="D185" s="1" t="s">
        <v>128</v>
      </c>
      <c r="E185" s="1" t="s">
        <v>470</v>
      </c>
      <c r="F185" s="5">
        <v>42671</v>
      </c>
      <c r="G185" s="1" t="s">
        <v>1399</v>
      </c>
      <c r="H185" s="6">
        <v>15850</v>
      </c>
      <c r="I185" s="1" t="s">
        <v>1320</v>
      </c>
      <c r="J185" s="1" t="s">
        <v>1404</v>
      </c>
      <c r="K185" s="7">
        <v>42688.529524398284</v>
      </c>
      <c r="L185" s="6">
        <v>2999</v>
      </c>
    </row>
    <row r="186" spans="1:12" hidden="1" x14ac:dyDescent="0.25">
      <c r="A186" s="4">
        <v>184</v>
      </c>
      <c r="B186" s="2" t="str">
        <f>HYPERLINK("https://my.zakupki.prom.ua/remote/dispatcher/state_purchase_view/977848", "UA-2016-11-22-000614-a")</f>
        <v>UA-2016-11-22-000614-a</v>
      </c>
      <c r="C186" s="1" t="s">
        <v>685</v>
      </c>
      <c r="D186" s="1" t="s">
        <v>91</v>
      </c>
      <c r="E186" s="1" t="s">
        <v>470</v>
      </c>
      <c r="F186" s="5">
        <v>42696</v>
      </c>
      <c r="G186" s="1" t="s">
        <v>1398</v>
      </c>
      <c r="H186" s="6">
        <v>195830</v>
      </c>
      <c r="I186" s="1" t="s">
        <v>700</v>
      </c>
      <c r="J186" s="1" t="s">
        <v>1405</v>
      </c>
      <c r="K186" s="7">
        <v>42713.617990621664</v>
      </c>
      <c r="L186" s="6">
        <v>195830</v>
      </c>
    </row>
    <row r="187" spans="1:12" hidden="1" x14ac:dyDescent="0.25">
      <c r="A187" s="4">
        <v>185</v>
      </c>
      <c r="B187" s="2" t="str">
        <f>HYPERLINK("https://my.zakupki.prom.ua/remote/dispatcher/state_purchase_view/967276", "UA-2016-11-21-000847-a")</f>
        <v>UA-2016-11-21-000847-a</v>
      </c>
      <c r="C187" s="1" t="s">
        <v>1058</v>
      </c>
      <c r="D187" s="1" t="s">
        <v>235</v>
      </c>
      <c r="E187" s="1" t="s">
        <v>470</v>
      </c>
      <c r="F187" s="5">
        <v>42695</v>
      </c>
      <c r="G187" s="1" t="s">
        <v>1398</v>
      </c>
      <c r="H187" s="6">
        <v>182100</v>
      </c>
      <c r="I187" s="1" t="s">
        <v>1135</v>
      </c>
      <c r="J187" s="1" t="s">
        <v>1405</v>
      </c>
      <c r="K187" s="7">
        <v>42710.708391570159</v>
      </c>
      <c r="L187" s="6">
        <v>174119.17</v>
      </c>
    </row>
    <row r="188" spans="1:12" hidden="1" x14ac:dyDescent="0.25">
      <c r="A188" s="4">
        <v>186</v>
      </c>
      <c r="B188" s="2" t="str">
        <f>HYPERLINK("https://my.zakupki.prom.ua/remote/dispatcher/state_purchase_view/1458131", "UA-2017-01-12-000293-b")</f>
        <v>UA-2017-01-12-000293-b</v>
      </c>
      <c r="C188" s="1" t="s">
        <v>370</v>
      </c>
      <c r="D188" s="1" t="s">
        <v>219</v>
      </c>
      <c r="E188" s="1" t="s">
        <v>470</v>
      </c>
      <c r="F188" s="5">
        <v>42747</v>
      </c>
      <c r="G188" s="1" t="s">
        <v>1398</v>
      </c>
      <c r="H188" s="6">
        <v>1250000</v>
      </c>
      <c r="I188" s="1"/>
      <c r="J188" s="1" t="s">
        <v>1419</v>
      </c>
      <c r="K188" s="7">
        <v>42758.559373480915</v>
      </c>
      <c r="L188" s="1"/>
    </row>
    <row r="189" spans="1:12" hidden="1" x14ac:dyDescent="0.25">
      <c r="A189" s="4">
        <v>187</v>
      </c>
      <c r="B189" s="2" t="str">
        <f>HYPERLINK("https://my.zakupki.prom.ua/remote/dispatcher/state_purchase_view/1763203", "UA-2017-01-25-001982-b")</f>
        <v>UA-2017-01-25-001982-b</v>
      </c>
      <c r="C189" s="1" t="s">
        <v>645</v>
      </c>
      <c r="D189" s="1" t="s">
        <v>43</v>
      </c>
      <c r="E189" s="1" t="s">
        <v>470</v>
      </c>
      <c r="F189" s="5">
        <v>42760</v>
      </c>
      <c r="G189" s="7">
        <v>42772.470613425925</v>
      </c>
      <c r="H189" s="6">
        <v>42040</v>
      </c>
      <c r="I189" s="1" t="s">
        <v>449</v>
      </c>
      <c r="J189" s="1" t="s">
        <v>1405</v>
      </c>
      <c r="K189" s="7">
        <v>42779.710361803205</v>
      </c>
      <c r="L189" s="6">
        <v>42039</v>
      </c>
    </row>
    <row r="190" spans="1:12" hidden="1" x14ac:dyDescent="0.25">
      <c r="A190" s="4">
        <v>188</v>
      </c>
      <c r="B190" s="2" t="str">
        <f>HYPERLINK("https://my.zakupki.prom.ua/remote/dispatcher/state_purchase_view/1785544", "UA-2017-01-26-001212-b")</f>
        <v>UA-2017-01-26-001212-b</v>
      </c>
      <c r="C190" s="1" t="s">
        <v>1370</v>
      </c>
      <c r="D190" s="1" t="s">
        <v>83</v>
      </c>
      <c r="E190" s="1" t="s">
        <v>470</v>
      </c>
      <c r="F190" s="5">
        <v>42761</v>
      </c>
      <c r="G190" s="7">
        <v>42773.509965277779</v>
      </c>
      <c r="H190" s="6">
        <v>3265</v>
      </c>
      <c r="I190" s="1" t="s">
        <v>1304</v>
      </c>
      <c r="J190" s="1" t="s">
        <v>1405</v>
      </c>
      <c r="K190" s="7">
        <v>42781.550760405924</v>
      </c>
      <c r="L190" s="6">
        <v>2709</v>
      </c>
    </row>
    <row r="191" spans="1:12" hidden="1" x14ac:dyDescent="0.25">
      <c r="A191" s="4">
        <v>189</v>
      </c>
      <c r="B191" s="2" t="str">
        <f>HYPERLINK("https://my.zakupki.prom.ua/remote/dispatcher/state_purchase_view/1109065", "UA-2016-12-06-000805-a")</f>
        <v>UA-2016-12-06-000805-a</v>
      </c>
      <c r="C191" s="1" t="s">
        <v>332</v>
      </c>
      <c r="D191" s="1" t="s">
        <v>97</v>
      </c>
      <c r="E191" s="1" t="s">
        <v>470</v>
      </c>
      <c r="F191" s="5">
        <v>42710</v>
      </c>
      <c r="G191" s="7">
        <v>42717.513067129628</v>
      </c>
      <c r="H191" s="6">
        <v>11960</v>
      </c>
      <c r="I191" s="1" t="s">
        <v>1292</v>
      </c>
      <c r="J191" s="1" t="s">
        <v>1405</v>
      </c>
      <c r="K191" s="7">
        <v>42720.655186178425</v>
      </c>
      <c r="L191" s="6">
        <v>11490</v>
      </c>
    </row>
    <row r="192" spans="1:12" hidden="1" x14ac:dyDescent="0.25">
      <c r="A192" s="4">
        <v>190</v>
      </c>
      <c r="B192" s="2" t="str">
        <f>HYPERLINK("https://my.zakupki.prom.ua/remote/dispatcher/state_purchase_view/1118278", "UA-2016-12-07-000266-a")</f>
        <v>UA-2016-12-07-000266-a</v>
      </c>
      <c r="C192" s="1" t="s">
        <v>742</v>
      </c>
      <c r="D192" s="1" t="s">
        <v>258</v>
      </c>
      <c r="E192" s="1" t="s">
        <v>470</v>
      </c>
      <c r="F192" s="5">
        <v>42711</v>
      </c>
      <c r="G192" s="1" t="s">
        <v>1398</v>
      </c>
      <c r="H192" s="6">
        <v>72433</v>
      </c>
      <c r="I192" s="1" t="s">
        <v>1105</v>
      </c>
      <c r="J192" s="1" t="s">
        <v>1405</v>
      </c>
      <c r="K192" s="7">
        <v>42725.491386563648</v>
      </c>
      <c r="L192" s="6">
        <v>72072</v>
      </c>
    </row>
    <row r="193" spans="1:12" hidden="1" x14ac:dyDescent="0.25">
      <c r="A193" s="4">
        <v>191</v>
      </c>
      <c r="B193" s="2" t="str">
        <f>HYPERLINK("https://my.zakupki.prom.ua/remote/dispatcher/state_purchase_view/1041534", "UA-2016-11-29-000212-a")</f>
        <v>UA-2016-11-29-000212-a</v>
      </c>
      <c r="C193" s="1" t="s">
        <v>2</v>
      </c>
      <c r="D193" s="1" t="s">
        <v>258</v>
      </c>
      <c r="E193" s="1" t="s">
        <v>470</v>
      </c>
      <c r="F193" s="5">
        <v>42703</v>
      </c>
      <c r="G193" s="1" t="s">
        <v>1398</v>
      </c>
      <c r="H193" s="6">
        <v>72433</v>
      </c>
      <c r="I193" s="1"/>
      <c r="J193" s="1" t="s">
        <v>1406</v>
      </c>
      <c r="K193" s="7">
        <v>42711.419388650407</v>
      </c>
      <c r="L193" s="1"/>
    </row>
    <row r="194" spans="1:12" hidden="1" x14ac:dyDescent="0.25">
      <c r="A194" s="4">
        <v>192</v>
      </c>
      <c r="B194" s="2" t="str">
        <f>HYPERLINK("https://my.zakupki.prom.ua/remote/dispatcher/state_purchase_view/8174141", "UA-2018-09-05-002267-a")</f>
        <v>UA-2018-09-05-002267-a</v>
      </c>
      <c r="C194" s="1" t="s">
        <v>880</v>
      </c>
      <c r="D194" s="1" t="s">
        <v>191</v>
      </c>
      <c r="E194" s="1" t="s">
        <v>488</v>
      </c>
      <c r="F194" s="5">
        <v>43348</v>
      </c>
      <c r="G194" s="1" t="s">
        <v>1397</v>
      </c>
      <c r="H194" s="6">
        <v>36000</v>
      </c>
      <c r="I194" s="1" t="s">
        <v>1097</v>
      </c>
      <c r="J194" s="1" t="s">
        <v>1405</v>
      </c>
      <c r="K194" s="7">
        <v>43348.744997108603</v>
      </c>
      <c r="L194" s="6">
        <v>36000</v>
      </c>
    </row>
    <row r="195" spans="1:12" hidden="1" x14ac:dyDescent="0.25">
      <c r="A195" s="4">
        <v>193</v>
      </c>
      <c r="B195" s="2" t="str">
        <f>HYPERLINK("https://my.zakupki.prom.ua/remote/dispatcher/state_purchase_view/8418367", "UA-2018-10-01-001789-c")</f>
        <v>UA-2018-10-01-001789-c</v>
      </c>
      <c r="C195" s="1" t="s">
        <v>818</v>
      </c>
      <c r="D195" s="1" t="s">
        <v>235</v>
      </c>
      <c r="E195" s="1" t="s">
        <v>390</v>
      </c>
      <c r="F195" s="5">
        <v>43374</v>
      </c>
      <c r="G195" s="7">
        <v>43390.597685185188</v>
      </c>
      <c r="H195" s="6">
        <v>18033</v>
      </c>
      <c r="I195" s="1" t="s">
        <v>1126</v>
      </c>
      <c r="J195" s="1" t="s">
        <v>1405</v>
      </c>
      <c r="K195" s="7">
        <v>43409.708027614768</v>
      </c>
      <c r="L195" s="6">
        <v>18032.400000000001</v>
      </c>
    </row>
    <row r="196" spans="1:12" hidden="1" x14ac:dyDescent="0.25">
      <c r="A196" s="4">
        <v>194</v>
      </c>
      <c r="B196" s="2" t="str">
        <f>HYPERLINK("https://my.zakupki.prom.ua/remote/dispatcher/state_purchase_view/7270374", "UA-2018-05-30-000317-a")</f>
        <v>UA-2018-05-30-000317-a</v>
      </c>
      <c r="C196" s="1" t="s">
        <v>660</v>
      </c>
      <c r="D196" s="1" t="s">
        <v>121</v>
      </c>
      <c r="E196" s="1" t="s">
        <v>390</v>
      </c>
      <c r="F196" s="5">
        <v>43250</v>
      </c>
      <c r="G196" s="1" t="s">
        <v>1398</v>
      </c>
      <c r="H196" s="6">
        <v>2400000</v>
      </c>
      <c r="I196" s="1"/>
      <c r="J196" s="1" t="s">
        <v>1419</v>
      </c>
      <c r="K196" s="7">
        <v>43265.684387849709</v>
      </c>
      <c r="L196" s="1"/>
    </row>
    <row r="197" spans="1:12" hidden="1" x14ac:dyDescent="0.25">
      <c r="A197" s="4">
        <v>195</v>
      </c>
      <c r="B197" s="2" t="str">
        <f>HYPERLINK("https://my.zakupki.prom.ua/remote/dispatcher/state_purchase_view/8807131", "UA-2018-11-08-000403-c")</f>
        <v>UA-2018-11-08-000403-c</v>
      </c>
      <c r="C197" s="1" t="s">
        <v>891</v>
      </c>
      <c r="D197" s="1" t="s">
        <v>245</v>
      </c>
      <c r="E197" s="1" t="s">
        <v>390</v>
      </c>
      <c r="F197" s="5">
        <v>43412</v>
      </c>
      <c r="G197" s="7">
        <v>43430.514004629629</v>
      </c>
      <c r="H197" s="6">
        <v>100000</v>
      </c>
      <c r="I197" s="1" t="s">
        <v>1341</v>
      </c>
      <c r="J197" s="1" t="s">
        <v>1405</v>
      </c>
      <c r="K197" s="7">
        <v>43446.426307279107</v>
      </c>
      <c r="L197" s="6">
        <v>99990</v>
      </c>
    </row>
    <row r="198" spans="1:12" hidden="1" x14ac:dyDescent="0.25">
      <c r="A198" s="4">
        <v>196</v>
      </c>
      <c r="B198" s="2" t="str">
        <f>HYPERLINK("https://my.zakupki.prom.ua/remote/dispatcher/state_purchase_view/15810421", "UA-2020-03-17-002908-b")</f>
        <v>UA-2020-03-17-002908-b</v>
      </c>
      <c r="C198" s="1" t="s">
        <v>501</v>
      </c>
      <c r="D198" s="1" t="s">
        <v>104</v>
      </c>
      <c r="E198" s="1" t="s">
        <v>488</v>
      </c>
      <c r="F198" s="5">
        <v>43907</v>
      </c>
      <c r="G198" s="1" t="s">
        <v>1397</v>
      </c>
      <c r="H198" s="6">
        <v>35070</v>
      </c>
      <c r="I198" s="1" t="s">
        <v>991</v>
      </c>
      <c r="J198" s="1" t="s">
        <v>1405</v>
      </c>
      <c r="K198" s="7">
        <v>43907.63560648272</v>
      </c>
      <c r="L198" s="6">
        <v>35070</v>
      </c>
    </row>
    <row r="199" spans="1:12" hidden="1" x14ac:dyDescent="0.25">
      <c r="A199" s="4">
        <v>197</v>
      </c>
      <c r="B199" s="2" t="str">
        <f>HYPERLINK("https://my.zakupki.prom.ua/remote/dispatcher/state_purchase_view/15882820", "UA-2020-03-20-002470-b")</f>
        <v>UA-2020-03-20-002470-b</v>
      </c>
      <c r="C199" s="1" t="s">
        <v>952</v>
      </c>
      <c r="D199" s="1" t="s">
        <v>194</v>
      </c>
      <c r="E199" s="1" t="s">
        <v>390</v>
      </c>
      <c r="F199" s="5">
        <v>43910</v>
      </c>
      <c r="G199" s="7">
        <v>43927.495057870372</v>
      </c>
      <c r="H199" s="6">
        <v>285000</v>
      </c>
      <c r="I199" s="1" t="s">
        <v>1313</v>
      </c>
      <c r="J199" s="1" t="s">
        <v>1405</v>
      </c>
      <c r="K199" s="7">
        <v>43942.403259460763</v>
      </c>
      <c r="L199" s="6">
        <v>283566.02</v>
      </c>
    </row>
    <row r="200" spans="1:12" hidden="1" x14ac:dyDescent="0.25">
      <c r="A200" s="4">
        <v>198</v>
      </c>
      <c r="B200" s="2" t="str">
        <f>HYPERLINK("https://my.zakupki.prom.ua/remote/dispatcher/state_purchase_view/16698717", "UA-2020-05-15-004093-b")</f>
        <v>UA-2020-05-15-004093-b</v>
      </c>
      <c r="C200" s="1" t="s">
        <v>331</v>
      </c>
      <c r="D200" s="1" t="s">
        <v>50</v>
      </c>
      <c r="E200" s="1" t="s">
        <v>488</v>
      </c>
      <c r="F200" s="5">
        <v>43966</v>
      </c>
      <c r="G200" s="1" t="s">
        <v>1397</v>
      </c>
      <c r="H200" s="6">
        <v>2250</v>
      </c>
      <c r="I200" s="1" t="s">
        <v>570</v>
      </c>
      <c r="J200" s="1" t="s">
        <v>1405</v>
      </c>
      <c r="K200" s="7">
        <v>43966.633806348313</v>
      </c>
      <c r="L200" s="6">
        <v>2250</v>
      </c>
    </row>
    <row r="201" spans="1:12" hidden="1" x14ac:dyDescent="0.25">
      <c r="A201" s="4">
        <v>199</v>
      </c>
      <c r="B201" s="2" t="str">
        <f>HYPERLINK("https://my.zakupki.prom.ua/remote/dispatcher/state_purchase_view/14496781", "UA-2020-01-15-000742-c")</f>
        <v>UA-2020-01-15-000742-c</v>
      </c>
      <c r="C201" s="1" t="s">
        <v>859</v>
      </c>
      <c r="D201" s="1" t="s">
        <v>189</v>
      </c>
      <c r="E201" s="1" t="s">
        <v>470</v>
      </c>
      <c r="F201" s="5">
        <v>43845</v>
      </c>
      <c r="G201" s="1" t="s">
        <v>1398</v>
      </c>
      <c r="H201" s="6">
        <v>28000</v>
      </c>
      <c r="I201" s="1" t="s">
        <v>1322</v>
      </c>
      <c r="J201" s="1" t="s">
        <v>1405</v>
      </c>
      <c r="K201" s="7">
        <v>43859.441045614876</v>
      </c>
      <c r="L201" s="6">
        <v>27497.26</v>
      </c>
    </row>
    <row r="202" spans="1:12" hidden="1" x14ac:dyDescent="0.25">
      <c r="A202" s="4">
        <v>200</v>
      </c>
      <c r="B202" s="2" t="str">
        <f>HYPERLINK("https://my.zakupki.prom.ua/remote/dispatcher/state_purchase_view/14701012", "UA-2020-01-22-001034-a")</f>
        <v>UA-2020-01-22-001034-a</v>
      </c>
      <c r="C202" s="1" t="s">
        <v>753</v>
      </c>
      <c r="D202" s="1" t="s">
        <v>255</v>
      </c>
      <c r="E202" s="1" t="s">
        <v>390</v>
      </c>
      <c r="F202" s="5">
        <v>43852</v>
      </c>
      <c r="G202" s="7">
        <v>43873.499710648146</v>
      </c>
      <c r="H202" s="6">
        <v>180000</v>
      </c>
      <c r="I202" s="1" t="s">
        <v>1118</v>
      </c>
      <c r="J202" s="1" t="s">
        <v>1405</v>
      </c>
      <c r="K202" s="7">
        <v>43889.38335943524</v>
      </c>
      <c r="L202" s="6">
        <v>177262.5</v>
      </c>
    </row>
    <row r="203" spans="1:12" hidden="1" x14ac:dyDescent="0.25">
      <c r="A203" s="4">
        <v>201</v>
      </c>
      <c r="B203" s="2" t="str">
        <f>HYPERLINK("https://my.zakupki.prom.ua/remote/dispatcher/state_purchase_view/14701529", "UA-2020-01-22-001149-a")</f>
        <v>UA-2020-01-22-001149-a</v>
      </c>
      <c r="C203" s="1" t="s">
        <v>769</v>
      </c>
      <c r="D203" s="1" t="s">
        <v>235</v>
      </c>
      <c r="E203" s="1" t="s">
        <v>390</v>
      </c>
      <c r="F203" s="5">
        <v>43852</v>
      </c>
      <c r="G203" s="7">
        <v>43868.637256944443</v>
      </c>
      <c r="H203" s="6">
        <v>240000</v>
      </c>
      <c r="I203" s="1" t="s">
        <v>1313</v>
      </c>
      <c r="J203" s="1" t="s">
        <v>1405</v>
      </c>
      <c r="K203" s="7">
        <v>43885.392193243024</v>
      </c>
      <c r="L203" s="6">
        <v>238263</v>
      </c>
    </row>
    <row r="204" spans="1:12" hidden="1" x14ac:dyDescent="0.25">
      <c r="A204" s="4">
        <v>202</v>
      </c>
      <c r="B204" s="2" t="str">
        <f>HYPERLINK("https://my.zakupki.prom.ua/remote/dispatcher/state_purchase_view/14701770", "UA-2020-01-22-001193-a")</f>
        <v>UA-2020-01-22-001193-a</v>
      </c>
      <c r="C204" s="1" t="s">
        <v>789</v>
      </c>
      <c r="D204" s="1" t="s">
        <v>233</v>
      </c>
      <c r="E204" s="1" t="s">
        <v>470</v>
      </c>
      <c r="F204" s="5">
        <v>43852</v>
      </c>
      <c r="G204" s="1" t="s">
        <v>1398</v>
      </c>
      <c r="H204" s="6">
        <v>93600</v>
      </c>
      <c r="I204" s="1" t="s">
        <v>1118</v>
      </c>
      <c r="J204" s="1" t="s">
        <v>1405</v>
      </c>
      <c r="K204" s="7">
        <v>43866.3869704522</v>
      </c>
      <c r="L204" s="6">
        <v>93459.47</v>
      </c>
    </row>
    <row r="205" spans="1:12" hidden="1" x14ac:dyDescent="0.25">
      <c r="A205" s="4">
        <v>203</v>
      </c>
      <c r="B205" s="2" t="str">
        <f>HYPERLINK("https://my.zakupki.prom.ua/remote/dispatcher/state_purchase_view/14926451", "UA-2020-01-29-001587-b")</f>
        <v>UA-2020-01-29-001587-b</v>
      </c>
      <c r="C205" s="1" t="s">
        <v>683</v>
      </c>
      <c r="D205" s="1" t="s">
        <v>217</v>
      </c>
      <c r="E205" s="1" t="s">
        <v>488</v>
      </c>
      <c r="F205" s="5">
        <v>43859</v>
      </c>
      <c r="G205" s="1" t="s">
        <v>1397</v>
      </c>
      <c r="H205" s="6">
        <v>216000</v>
      </c>
      <c r="I205" s="1" t="s">
        <v>1355</v>
      </c>
      <c r="J205" s="1" t="s">
        <v>1405</v>
      </c>
      <c r="K205" s="7">
        <v>43859.510736938922</v>
      </c>
      <c r="L205" s="6">
        <v>216000</v>
      </c>
    </row>
    <row r="206" spans="1:12" hidden="1" x14ac:dyDescent="0.25">
      <c r="A206" s="4">
        <v>204</v>
      </c>
      <c r="B206" s="2" t="str">
        <f>HYPERLINK("https://my.zakupki.prom.ua/remote/dispatcher/state_purchase_view/15410977", "UA-2020-02-21-000347-b")</f>
        <v>UA-2020-02-21-000347-b</v>
      </c>
      <c r="C206" s="1" t="s">
        <v>714</v>
      </c>
      <c r="D206" s="1" t="s">
        <v>32</v>
      </c>
      <c r="E206" s="1" t="s">
        <v>470</v>
      </c>
      <c r="F206" s="5">
        <v>43882</v>
      </c>
      <c r="G206" s="7">
        <v>43892.660752314812</v>
      </c>
      <c r="H206" s="6">
        <v>199600</v>
      </c>
      <c r="I206" s="1" t="s">
        <v>1141</v>
      </c>
      <c r="J206" s="1" t="s">
        <v>1405</v>
      </c>
      <c r="K206" s="7">
        <v>43901.731389304805</v>
      </c>
      <c r="L206" s="6">
        <v>188000</v>
      </c>
    </row>
    <row r="207" spans="1:12" hidden="1" x14ac:dyDescent="0.25">
      <c r="A207" s="4">
        <v>205</v>
      </c>
      <c r="B207" s="2" t="str">
        <f>HYPERLINK("https://my.zakupki.prom.ua/remote/dispatcher/state_purchase_view/17598240", "UA-2020-07-02-001345-a")</f>
        <v>UA-2020-07-02-001345-a</v>
      </c>
      <c r="C207" s="1" t="s">
        <v>1066</v>
      </c>
      <c r="D207" s="1" t="s">
        <v>90</v>
      </c>
      <c r="E207" s="1" t="s">
        <v>1086</v>
      </c>
      <c r="F207" s="5">
        <v>44014</v>
      </c>
      <c r="G207" s="1" t="s">
        <v>1398</v>
      </c>
      <c r="H207" s="6">
        <v>97450</v>
      </c>
      <c r="I207" s="1" t="s">
        <v>1333</v>
      </c>
      <c r="J207" s="1" t="s">
        <v>1405</v>
      </c>
      <c r="K207" s="7">
        <v>44027.713710205346</v>
      </c>
      <c r="L207" s="6">
        <v>96895</v>
      </c>
    </row>
    <row r="208" spans="1:12" hidden="1" x14ac:dyDescent="0.25">
      <c r="A208" s="4">
        <v>206</v>
      </c>
      <c r="B208" s="2" t="str">
        <f>HYPERLINK("https://my.zakupki.prom.ua/remote/dispatcher/state_purchase_view/17351271", "UA-2020-06-18-007365-c")</f>
        <v>UA-2020-06-18-007365-c</v>
      </c>
      <c r="C208" s="1" t="s">
        <v>421</v>
      </c>
      <c r="D208" s="1" t="s">
        <v>140</v>
      </c>
      <c r="E208" s="1" t="s">
        <v>488</v>
      </c>
      <c r="F208" s="5">
        <v>44000</v>
      </c>
      <c r="G208" s="1" t="s">
        <v>1397</v>
      </c>
      <c r="H208" s="6">
        <v>7700</v>
      </c>
      <c r="I208" s="1" t="s">
        <v>429</v>
      </c>
      <c r="J208" s="1" t="s">
        <v>1405</v>
      </c>
      <c r="K208" s="7">
        <v>44000.680679672434</v>
      </c>
      <c r="L208" s="6">
        <v>7700</v>
      </c>
    </row>
    <row r="209" spans="1:12" hidden="1" x14ac:dyDescent="0.25">
      <c r="A209" s="4">
        <v>207</v>
      </c>
      <c r="B209" s="2" t="str">
        <f>HYPERLINK("https://my.zakupki.prom.ua/remote/dispatcher/state_purchase_view/16098598", "UA-2020-04-03-000818-b")</f>
        <v>UA-2020-04-03-000818-b</v>
      </c>
      <c r="C209" s="1" t="s">
        <v>381</v>
      </c>
      <c r="D209" s="1" t="s">
        <v>111</v>
      </c>
      <c r="E209" s="1" t="s">
        <v>390</v>
      </c>
      <c r="F209" s="5">
        <v>43924</v>
      </c>
      <c r="G209" s="7">
        <v>43942.618194444447</v>
      </c>
      <c r="H209" s="6">
        <v>320000</v>
      </c>
      <c r="I209" s="1" t="s">
        <v>1312</v>
      </c>
      <c r="J209" s="1" t="s">
        <v>1405</v>
      </c>
      <c r="K209" s="7">
        <v>43956.596895130104</v>
      </c>
      <c r="L209" s="6">
        <v>314100</v>
      </c>
    </row>
    <row r="210" spans="1:12" hidden="1" x14ac:dyDescent="0.25">
      <c r="A210" s="4">
        <v>208</v>
      </c>
      <c r="B210" s="2" t="str">
        <f>HYPERLINK("https://my.zakupki.prom.ua/remote/dispatcher/state_purchase_view/12548417", "UA-2019-08-15-000827-a")</f>
        <v>UA-2019-08-15-000827-a</v>
      </c>
      <c r="C210" s="1" t="s">
        <v>363</v>
      </c>
      <c r="D210" s="1" t="s">
        <v>182</v>
      </c>
      <c r="E210" s="1" t="s">
        <v>470</v>
      </c>
      <c r="F210" s="5">
        <v>43692</v>
      </c>
      <c r="G210" s="1" t="s">
        <v>1398</v>
      </c>
      <c r="H210" s="6">
        <v>27020</v>
      </c>
      <c r="I210" s="1" t="s">
        <v>1330</v>
      </c>
      <c r="J210" s="1" t="s">
        <v>1405</v>
      </c>
      <c r="K210" s="7">
        <v>43710.623153853507</v>
      </c>
      <c r="L210" s="6">
        <v>26615.54</v>
      </c>
    </row>
    <row r="211" spans="1:12" hidden="1" x14ac:dyDescent="0.25">
      <c r="A211" s="4">
        <v>209</v>
      </c>
      <c r="B211" s="2" t="str">
        <f>HYPERLINK("https://my.zakupki.prom.ua/remote/dispatcher/state_purchase_view/12548918", "UA-2019-08-15-000941-a")</f>
        <v>UA-2019-08-15-000941-a</v>
      </c>
      <c r="C211" s="1" t="s">
        <v>530</v>
      </c>
      <c r="D211" s="1" t="s">
        <v>174</v>
      </c>
      <c r="E211" s="1" t="s">
        <v>470</v>
      </c>
      <c r="F211" s="5">
        <v>43692</v>
      </c>
      <c r="G211" s="1" t="s">
        <v>1398</v>
      </c>
      <c r="H211" s="6">
        <v>3150</v>
      </c>
      <c r="I211" s="1" t="s">
        <v>1330</v>
      </c>
      <c r="J211" s="1" t="s">
        <v>1405</v>
      </c>
      <c r="K211" s="7">
        <v>43710.617804890993</v>
      </c>
      <c r="L211" s="6">
        <v>3103.14</v>
      </c>
    </row>
    <row r="212" spans="1:12" hidden="1" x14ac:dyDescent="0.25">
      <c r="A212" s="4">
        <v>210</v>
      </c>
      <c r="B212" s="2" t="str">
        <f>HYPERLINK("https://my.zakupki.prom.ua/remote/dispatcher/state_purchase_view/9416897", "UA-2018-12-18-005344-c")</f>
        <v>UA-2018-12-18-005344-c</v>
      </c>
      <c r="C212" s="1" t="s">
        <v>797</v>
      </c>
      <c r="D212" s="1" t="s">
        <v>208</v>
      </c>
      <c r="E212" s="1" t="s">
        <v>470</v>
      </c>
      <c r="F212" s="5">
        <v>43452</v>
      </c>
      <c r="G212" s="7">
        <v>43467.571458333332</v>
      </c>
      <c r="H212" s="6">
        <v>73800</v>
      </c>
      <c r="I212" s="1" t="s">
        <v>1360</v>
      </c>
      <c r="J212" s="1" t="s">
        <v>1405</v>
      </c>
      <c r="K212" s="7">
        <v>43479.337028983937</v>
      </c>
      <c r="L212" s="6">
        <v>68560</v>
      </c>
    </row>
    <row r="213" spans="1:12" hidden="1" x14ac:dyDescent="0.25">
      <c r="A213" s="4">
        <v>211</v>
      </c>
      <c r="B213" s="2" t="str">
        <f>HYPERLINK("https://my.zakupki.prom.ua/remote/dispatcher/state_purchase_view/12937634", "UA-2019-09-23-000851-b")</f>
        <v>UA-2019-09-23-000851-b</v>
      </c>
      <c r="C213" s="1" t="s">
        <v>1067</v>
      </c>
      <c r="D213" s="1" t="s">
        <v>90</v>
      </c>
      <c r="E213" s="1" t="s">
        <v>390</v>
      </c>
      <c r="F213" s="5">
        <v>43731</v>
      </c>
      <c r="G213" s="7">
        <v>43747.570162037038</v>
      </c>
      <c r="H213" s="6">
        <v>970000</v>
      </c>
      <c r="I213" s="1" t="s">
        <v>1333</v>
      </c>
      <c r="J213" s="1" t="s">
        <v>1405</v>
      </c>
      <c r="K213" s="7">
        <v>43766.649975954002</v>
      </c>
      <c r="L213" s="6">
        <v>963050</v>
      </c>
    </row>
    <row r="214" spans="1:12" hidden="1" x14ac:dyDescent="0.25">
      <c r="A214" s="4">
        <v>212</v>
      </c>
      <c r="B214" s="2" t="str">
        <f>HYPERLINK("https://my.zakupki.prom.ua/remote/dispatcher/state_purchase_view/13449396", "UA-2019-11-06-000359-b")</f>
        <v>UA-2019-11-06-000359-b</v>
      </c>
      <c r="C214" s="1" t="s">
        <v>674</v>
      </c>
      <c r="D214" s="1" t="s">
        <v>111</v>
      </c>
      <c r="E214" s="1" t="s">
        <v>470</v>
      </c>
      <c r="F214" s="5">
        <v>43775</v>
      </c>
      <c r="G214" s="1" t="s">
        <v>1398</v>
      </c>
      <c r="H214" s="6">
        <v>43000</v>
      </c>
      <c r="I214" s="1" t="s">
        <v>1313</v>
      </c>
      <c r="J214" s="1" t="s">
        <v>1405</v>
      </c>
      <c r="K214" s="7">
        <v>43787.383919483196</v>
      </c>
      <c r="L214" s="6">
        <v>42984</v>
      </c>
    </row>
    <row r="215" spans="1:12" hidden="1" x14ac:dyDescent="0.25">
      <c r="A215" s="4">
        <v>213</v>
      </c>
      <c r="B215" s="2" t="str">
        <f>HYPERLINK("https://my.zakupki.prom.ua/remote/dispatcher/state_purchase_view/13356768", "UA-2019-10-29-000974-b")</f>
        <v>UA-2019-10-29-000974-b</v>
      </c>
      <c r="C215" s="1" t="s">
        <v>1092</v>
      </c>
      <c r="D215" s="1" t="s">
        <v>168</v>
      </c>
      <c r="E215" s="1" t="s">
        <v>470</v>
      </c>
      <c r="F215" s="5">
        <v>43767</v>
      </c>
      <c r="G215" s="1" t="s">
        <v>1398</v>
      </c>
      <c r="H215" s="6">
        <v>122000</v>
      </c>
      <c r="I215" s="1" t="s">
        <v>1331</v>
      </c>
      <c r="J215" s="1" t="s">
        <v>1405</v>
      </c>
      <c r="K215" s="7">
        <v>43777.40775784471</v>
      </c>
      <c r="L215" s="6">
        <v>120000</v>
      </c>
    </row>
    <row r="216" spans="1:12" hidden="1" x14ac:dyDescent="0.25">
      <c r="A216" s="4">
        <v>214</v>
      </c>
      <c r="B216" s="2" t="str">
        <f>HYPERLINK("https://my.zakupki.prom.ua/remote/dispatcher/state_purchase_view/11663417", "UA-2019-05-21-002490-a")</f>
        <v>UA-2019-05-21-002490-a</v>
      </c>
      <c r="C216" s="1" t="s">
        <v>894</v>
      </c>
      <c r="D216" s="1" t="s">
        <v>245</v>
      </c>
      <c r="E216" s="1" t="s">
        <v>470</v>
      </c>
      <c r="F216" s="5">
        <v>43606</v>
      </c>
      <c r="G216" s="1" t="s">
        <v>1398</v>
      </c>
      <c r="H216" s="6">
        <v>80000</v>
      </c>
      <c r="I216" s="1" t="s">
        <v>1341</v>
      </c>
      <c r="J216" s="1" t="s">
        <v>1405</v>
      </c>
      <c r="K216" s="7">
        <v>43620.628306436658</v>
      </c>
      <c r="L216" s="6">
        <v>79990</v>
      </c>
    </row>
    <row r="217" spans="1:12" hidden="1" x14ac:dyDescent="0.25">
      <c r="A217" s="4">
        <v>215</v>
      </c>
      <c r="B217" s="2" t="str">
        <f>HYPERLINK("https://my.zakupki.prom.ua/remote/dispatcher/state_purchase_view/11720320", "UA-2019-05-27-001056-a")</f>
        <v>UA-2019-05-27-001056-a</v>
      </c>
      <c r="C217" s="1" t="s">
        <v>275</v>
      </c>
      <c r="D217" s="1" t="s">
        <v>219</v>
      </c>
      <c r="E217" s="1" t="s">
        <v>470</v>
      </c>
      <c r="F217" s="5">
        <v>43612</v>
      </c>
      <c r="G217" s="1" t="s">
        <v>1398</v>
      </c>
      <c r="H217" s="6">
        <v>45900</v>
      </c>
      <c r="I217" s="1"/>
      <c r="J217" s="1" t="s">
        <v>1419</v>
      </c>
      <c r="K217" s="7">
        <v>43619.387978588704</v>
      </c>
      <c r="L217" s="1"/>
    </row>
    <row r="218" spans="1:12" hidden="1" x14ac:dyDescent="0.25">
      <c r="A218" s="4">
        <v>216</v>
      </c>
      <c r="B218" s="2" t="str">
        <f>HYPERLINK("https://my.zakupki.prom.ua/remote/dispatcher/state_purchase_view/1975280", "UA-2017-02-03-001343-b")</f>
        <v>UA-2017-02-03-001343-b</v>
      </c>
      <c r="C218" s="1" t="s">
        <v>576</v>
      </c>
      <c r="D218" s="1" t="s">
        <v>173</v>
      </c>
      <c r="E218" s="1" t="s">
        <v>470</v>
      </c>
      <c r="F218" s="5">
        <v>42769</v>
      </c>
      <c r="G218" s="7">
        <v>42780.58966435185</v>
      </c>
      <c r="H218" s="6">
        <v>85920</v>
      </c>
      <c r="I218" s="1" t="s">
        <v>1263</v>
      </c>
      <c r="J218" s="1" t="s">
        <v>1405</v>
      </c>
      <c r="K218" s="7">
        <v>42790.662143172463</v>
      </c>
      <c r="L218" s="6">
        <v>84480</v>
      </c>
    </row>
    <row r="219" spans="1:12" hidden="1" x14ac:dyDescent="0.25">
      <c r="A219" s="4">
        <v>217</v>
      </c>
      <c r="B219" s="2" t="str">
        <f>HYPERLINK("https://my.zakupki.prom.ua/remote/dispatcher/state_purchase_view/4797912", "UA-2017-11-29-003653-c")</f>
        <v>UA-2017-11-29-003653-c</v>
      </c>
      <c r="C219" s="1" t="s">
        <v>519</v>
      </c>
      <c r="D219" s="1" t="s">
        <v>174</v>
      </c>
      <c r="E219" s="1" t="s">
        <v>470</v>
      </c>
      <c r="F219" s="5">
        <v>43068</v>
      </c>
      <c r="G219" s="7">
        <v>43076.527777777781</v>
      </c>
      <c r="H219" s="6">
        <v>119000</v>
      </c>
      <c r="I219" s="1" t="s">
        <v>1290</v>
      </c>
      <c r="J219" s="1" t="s">
        <v>1405</v>
      </c>
      <c r="K219" s="7">
        <v>43080.736686210796</v>
      </c>
      <c r="L219" s="6">
        <v>115922.26</v>
      </c>
    </row>
    <row r="220" spans="1:12" hidden="1" x14ac:dyDescent="0.25">
      <c r="A220" s="4">
        <v>218</v>
      </c>
      <c r="B220" s="2" t="str">
        <f>HYPERLINK("https://my.zakupki.prom.ua/remote/dispatcher/state_purchase_view/3463695", "UA-2017-07-03-002095-b")</f>
        <v>UA-2017-07-03-002095-b</v>
      </c>
      <c r="C220" s="1" t="s">
        <v>18</v>
      </c>
      <c r="D220" s="1" t="s">
        <v>220</v>
      </c>
      <c r="E220" s="1" t="s">
        <v>470</v>
      </c>
      <c r="F220" s="5">
        <v>42919</v>
      </c>
      <c r="G220" s="1" t="s">
        <v>1398</v>
      </c>
      <c r="H220" s="6">
        <v>199000</v>
      </c>
      <c r="I220" s="1" t="s">
        <v>1154</v>
      </c>
      <c r="J220" s="1" t="s">
        <v>1405</v>
      </c>
      <c r="K220" s="7">
        <v>42937.650825689605</v>
      </c>
      <c r="L220" s="6">
        <v>198534.53</v>
      </c>
    </row>
    <row r="221" spans="1:12" hidden="1" x14ac:dyDescent="0.25">
      <c r="A221" s="4">
        <v>219</v>
      </c>
      <c r="B221" s="2" t="str">
        <f>HYPERLINK("https://my.zakupki.prom.ua/remote/dispatcher/state_purchase_view/3497102", "UA-2017-07-07-000164-b")</f>
        <v>UA-2017-07-07-000164-b</v>
      </c>
      <c r="C221" s="1" t="s">
        <v>291</v>
      </c>
      <c r="D221" s="1" t="s">
        <v>123</v>
      </c>
      <c r="E221" s="1" t="s">
        <v>390</v>
      </c>
      <c r="F221" s="5">
        <v>42923</v>
      </c>
      <c r="G221" s="7">
        <v>42941.511458333334</v>
      </c>
      <c r="H221" s="6">
        <v>2613000</v>
      </c>
      <c r="I221" s="1"/>
      <c r="J221" s="1" t="s">
        <v>1406</v>
      </c>
      <c r="K221" s="7">
        <v>42953.00046938884</v>
      </c>
      <c r="L221" s="1"/>
    </row>
    <row r="222" spans="1:12" hidden="1" x14ac:dyDescent="0.25">
      <c r="A222" s="4">
        <v>220</v>
      </c>
      <c r="B222" s="2" t="str">
        <f>HYPERLINK("https://my.zakupki.prom.ua/remote/dispatcher/state_purchase_view/2706294", "UA-2017-03-31-000789-b")</f>
        <v>UA-2017-03-31-000789-b</v>
      </c>
      <c r="C222" s="1" t="s">
        <v>953</v>
      </c>
      <c r="D222" s="1" t="s">
        <v>199</v>
      </c>
      <c r="E222" s="1" t="s">
        <v>470</v>
      </c>
      <c r="F222" s="5">
        <v>42825</v>
      </c>
      <c r="G222" s="1" t="s">
        <v>1398</v>
      </c>
      <c r="H222" s="6">
        <v>190000</v>
      </c>
      <c r="I222" s="1" t="s">
        <v>1140</v>
      </c>
      <c r="J222" s="1" t="s">
        <v>1405</v>
      </c>
      <c r="K222" s="7">
        <v>42838.741426447858</v>
      </c>
      <c r="L222" s="6">
        <v>190000</v>
      </c>
    </row>
    <row r="223" spans="1:12" hidden="1" x14ac:dyDescent="0.25">
      <c r="A223" s="4">
        <v>221</v>
      </c>
      <c r="B223" s="2" t="str">
        <f>HYPERLINK("https://my.zakupki.prom.ua/remote/dispatcher/state_purchase_view/2618437", "UA-2017-03-23-001445-b")</f>
        <v>UA-2017-03-23-001445-b</v>
      </c>
      <c r="C223" s="1" t="s">
        <v>898</v>
      </c>
      <c r="D223" s="1" t="s">
        <v>245</v>
      </c>
      <c r="E223" s="1" t="s">
        <v>470</v>
      </c>
      <c r="F223" s="5">
        <v>42817</v>
      </c>
      <c r="G223" s="7">
        <v>42824.589930555558</v>
      </c>
      <c r="H223" s="6">
        <v>8000</v>
      </c>
      <c r="I223" s="1" t="s">
        <v>1293</v>
      </c>
      <c r="J223" s="1" t="s">
        <v>1405</v>
      </c>
      <c r="K223" s="7">
        <v>42859.358526410775</v>
      </c>
      <c r="L223" s="6">
        <v>1790</v>
      </c>
    </row>
    <row r="224" spans="1:12" hidden="1" x14ac:dyDescent="0.25">
      <c r="A224" s="4">
        <v>222</v>
      </c>
      <c r="B224" s="2" t="str">
        <f>HYPERLINK("https://my.zakupki.prom.ua/remote/dispatcher/state_purchase_view/5385617", "UA-2018-01-12-000227-b")</f>
        <v>UA-2018-01-12-000227-b</v>
      </c>
      <c r="C224" s="1" t="s">
        <v>383</v>
      </c>
      <c r="D224" s="1" t="s">
        <v>214</v>
      </c>
      <c r="E224" s="1" t="s">
        <v>722</v>
      </c>
      <c r="F224" s="5">
        <v>43112</v>
      </c>
      <c r="G224" s="1" t="s">
        <v>1397</v>
      </c>
      <c r="H224" s="6">
        <v>136718</v>
      </c>
      <c r="I224" s="1" t="s">
        <v>448</v>
      </c>
      <c r="J224" s="1" t="s">
        <v>1405</v>
      </c>
      <c r="K224" s="7">
        <v>43129.719340323762</v>
      </c>
      <c r="L224" s="6">
        <v>136718</v>
      </c>
    </row>
    <row r="225" spans="1:12" hidden="1" x14ac:dyDescent="0.25">
      <c r="A225" s="4">
        <v>223</v>
      </c>
      <c r="B225" s="2" t="str">
        <f>HYPERLINK("https://my.zakupki.prom.ua/remote/dispatcher/state_purchase_view/3648450", "UA-2017-07-27-000607-b")</f>
        <v>UA-2017-07-27-000607-b</v>
      </c>
      <c r="C225" s="1" t="s">
        <v>736</v>
      </c>
      <c r="D225" s="1" t="s">
        <v>165</v>
      </c>
      <c r="E225" s="1" t="s">
        <v>390</v>
      </c>
      <c r="F225" s="5">
        <v>42943</v>
      </c>
      <c r="G225" s="1" t="s">
        <v>1398</v>
      </c>
      <c r="H225" s="6">
        <v>3824000</v>
      </c>
      <c r="I225" s="1"/>
      <c r="J225" s="1" t="s">
        <v>1419</v>
      </c>
      <c r="K225" s="7">
        <v>42943.66178686278</v>
      </c>
      <c r="L225" s="1"/>
    </row>
    <row r="226" spans="1:12" hidden="1" x14ac:dyDescent="0.25">
      <c r="A226" s="4">
        <v>224</v>
      </c>
      <c r="B226" s="2" t="str">
        <f>HYPERLINK("https://my.zakupki.prom.ua/remote/dispatcher/state_purchase_view/3776605", "UA-2017-08-11-001569-b")</f>
        <v>UA-2017-08-11-001569-b</v>
      </c>
      <c r="C226" s="1" t="s">
        <v>895</v>
      </c>
      <c r="D226" s="1" t="s">
        <v>245</v>
      </c>
      <c r="E226" s="1" t="s">
        <v>470</v>
      </c>
      <c r="F226" s="5">
        <v>42958</v>
      </c>
      <c r="G226" s="1" t="s">
        <v>1398</v>
      </c>
      <c r="H226" s="6">
        <v>10000</v>
      </c>
      <c r="I226" s="1" t="s">
        <v>1340</v>
      </c>
      <c r="J226" s="1" t="s">
        <v>1405</v>
      </c>
      <c r="K226" s="7">
        <v>42976.566227921699</v>
      </c>
      <c r="L226" s="6">
        <v>9700</v>
      </c>
    </row>
    <row r="227" spans="1:12" hidden="1" x14ac:dyDescent="0.25">
      <c r="A227" s="4">
        <v>225</v>
      </c>
      <c r="B227" s="2" t="str">
        <f>HYPERLINK("https://my.zakupki.prom.ua/remote/dispatcher/state_purchase_view/4301354", "UA-2017-10-13-001592-a")</f>
        <v>UA-2017-10-13-001592-a</v>
      </c>
      <c r="C227" s="1" t="s">
        <v>835</v>
      </c>
      <c r="D227" s="1" t="s">
        <v>265</v>
      </c>
      <c r="E227" s="1" t="s">
        <v>390</v>
      </c>
      <c r="F227" s="5">
        <v>43021</v>
      </c>
      <c r="G227" s="7">
        <v>43038.556006944447</v>
      </c>
      <c r="H227" s="6">
        <v>1800000</v>
      </c>
      <c r="I227" s="1" t="s">
        <v>1168</v>
      </c>
      <c r="J227" s="1" t="s">
        <v>1405</v>
      </c>
      <c r="K227" s="7">
        <v>43056.499688547767</v>
      </c>
      <c r="L227" s="6">
        <v>1790000</v>
      </c>
    </row>
    <row r="228" spans="1:12" hidden="1" x14ac:dyDescent="0.25">
      <c r="A228" s="4">
        <v>226</v>
      </c>
      <c r="B228" s="2" t="str">
        <f>HYPERLINK("https://my.zakupki.prom.ua/remote/dispatcher/state_purchase_view/4227667", "UA-2017-10-05-001576-c")</f>
        <v>UA-2017-10-05-001576-c</v>
      </c>
      <c r="C228" s="1" t="s">
        <v>619</v>
      </c>
      <c r="D228" s="1" t="s">
        <v>129</v>
      </c>
      <c r="E228" s="1" t="s">
        <v>470</v>
      </c>
      <c r="F228" s="5">
        <v>43013</v>
      </c>
      <c r="G228" s="1" t="s">
        <v>1398</v>
      </c>
      <c r="H228" s="6">
        <v>58400</v>
      </c>
      <c r="I228" s="1" t="s">
        <v>1245</v>
      </c>
      <c r="J228" s="1" t="s">
        <v>1405</v>
      </c>
      <c r="K228" s="7">
        <v>43033.639964992719</v>
      </c>
      <c r="L228" s="6">
        <v>55500</v>
      </c>
    </row>
    <row r="229" spans="1:12" hidden="1" x14ac:dyDescent="0.25">
      <c r="A229" s="4">
        <v>227</v>
      </c>
      <c r="B229" s="2" t="str">
        <f>HYPERLINK("https://my.zakupki.prom.ua/remote/dispatcher/state_purchase_view/3809843", "UA-2017-08-16-001352-a")</f>
        <v>UA-2017-08-16-001352-a</v>
      </c>
      <c r="C229" s="1" t="s">
        <v>654</v>
      </c>
      <c r="D229" s="1" t="s">
        <v>137</v>
      </c>
      <c r="E229" s="1" t="s">
        <v>390</v>
      </c>
      <c r="F229" s="5">
        <v>42963</v>
      </c>
      <c r="G229" s="1" t="s">
        <v>1398</v>
      </c>
      <c r="H229" s="6">
        <v>300000</v>
      </c>
      <c r="I229" s="1"/>
      <c r="J229" s="1" t="s">
        <v>1406</v>
      </c>
      <c r="K229" s="7">
        <v>42979.732466679816</v>
      </c>
      <c r="L229" s="1"/>
    </row>
    <row r="230" spans="1:12" hidden="1" x14ac:dyDescent="0.25">
      <c r="A230" s="4">
        <v>228</v>
      </c>
      <c r="B230" s="2" t="str">
        <f>HYPERLINK("https://my.zakupki.prom.ua/remote/dispatcher/state_purchase_view/3636163", "UA-2017-07-26-000217-b")</f>
        <v>UA-2017-07-26-000217-b</v>
      </c>
      <c r="C230" s="1" t="s">
        <v>290</v>
      </c>
      <c r="D230" s="1" t="s">
        <v>123</v>
      </c>
      <c r="E230" s="1" t="s">
        <v>390</v>
      </c>
      <c r="F230" s="5">
        <v>42942</v>
      </c>
      <c r="G230" s="1" t="s">
        <v>1398</v>
      </c>
      <c r="H230" s="6">
        <v>269882</v>
      </c>
      <c r="I230" s="1"/>
      <c r="J230" s="1" t="s">
        <v>1419</v>
      </c>
      <c r="K230" s="7">
        <v>42943.664371095867</v>
      </c>
      <c r="L230" s="1"/>
    </row>
    <row r="231" spans="1:12" hidden="1" x14ac:dyDescent="0.25">
      <c r="A231" s="4">
        <v>229</v>
      </c>
      <c r="B231" s="2" t="str">
        <f>HYPERLINK("https://my.zakupki.prom.ua/remote/dispatcher/state_purchase_view/852324", "UA-2016-11-08-000469-b")</f>
        <v>UA-2016-11-08-000469-b</v>
      </c>
      <c r="C231" s="1" t="s">
        <v>433</v>
      </c>
      <c r="D231" s="1" t="s">
        <v>134</v>
      </c>
      <c r="E231" s="1" t="s">
        <v>470</v>
      </c>
      <c r="F231" s="5">
        <v>42682</v>
      </c>
      <c r="G231" s="1" t="s">
        <v>1398</v>
      </c>
      <c r="H231" s="6">
        <v>3750</v>
      </c>
      <c r="I231" s="1" t="s">
        <v>425</v>
      </c>
      <c r="J231" s="1" t="s">
        <v>1405</v>
      </c>
      <c r="K231" s="7">
        <v>42697.613802763946</v>
      </c>
      <c r="L231" s="6">
        <v>3750</v>
      </c>
    </row>
    <row r="232" spans="1:12" hidden="1" x14ac:dyDescent="0.25">
      <c r="A232" s="4">
        <v>230</v>
      </c>
      <c r="B232" s="2" t="str">
        <f>HYPERLINK("https://my.zakupki.prom.ua/remote/dispatcher/state_purchase_view/893282", "UA-2016-11-11-000962-a")</f>
        <v>UA-2016-11-11-000962-a</v>
      </c>
      <c r="C232" s="1" t="s">
        <v>441</v>
      </c>
      <c r="D232" s="1" t="s">
        <v>197</v>
      </c>
      <c r="E232" s="1" t="s">
        <v>470</v>
      </c>
      <c r="F232" s="5">
        <v>42685</v>
      </c>
      <c r="G232" s="7">
        <v>42692.595000000001</v>
      </c>
      <c r="H232" s="6">
        <v>25600</v>
      </c>
      <c r="I232" s="1" t="s">
        <v>1218</v>
      </c>
      <c r="J232" s="1" t="s">
        <v>1405</v>
      </c>
      <c r="K232" s="7">
        <v>42699.419631474157</v>
      </c>
      <c r="L232" s="6">
        <v>23212.799999999999</v>
      </c>
    </row>
    <row r="233" spans="1:12" hidden="1" x14ac:dyDescent="0.25">
      <c r="A233" s="4">
        <v>231</v>
      </c>
      <c r="B233" s="2" t="str">
        <f>HYPERLINK("https://my.zakupki.prom.ua/remote/dispatcher/state_purchase_view/903326", "UA-2016-11-14-000738-a")</f>
        <v>UA-2016-11-14-000738-a</v>
      </c>
      <c r="C233" s="1" t="s">
        <v>442</v>
      </c>
      <c r="D233" s="1" t="s">
        <v>235</v>
      </c>
      <c r="E233" s="1" t="s">
        <v>470</v>
      </c>
      <c r="F233" s="5">
        <v>42688</v>
      </c>
      <c r="G233" s="1" t="s">
        <v>1398</v>
      </c>
      <c r="H233" s="6">
        <v>193500</v>
      </c>
      <c r="I233" s="1"/>
      <c r="J233" s="1" t="s">
        <v>1419</v>
      </c>
      <c r="K233" s="7">
        <v>42692.400242946562</v>
      </c>
      <c r="L233" s="1"/>
    </row>
    <row r="234" spans="1:12" hidden="1" x14ac:dyDescent="0.25">
      <c r="A234" s="4">
        <v>232</v>
      </c>
      <c r="B234" s="2" t="str">
        <f>HYPERLINK("https://my.zakupki.prom.ua/remote/dispatcher/state_purchase_view/920305", "UA-2016-11-15-001509-a")</f>
        <v>UA-2016-11-15-001509-a</v>
      </c>
      <c r="C234" s="1" t="s">
        <v>437</v>
      </c>
      <c r="D234" s="1" t="s">
        <v>76</v>
      </c>
      <c r="E234" s="1" t="s">
        <v>470</v>
      </c>
      <c r="F234" s="5">
        <v>42689</v>
      </c>
      <c r="G234" s="1" t="s">
        <v>1398</v>
      </c>
      <c r="H234" s="6">
        <v>4200</v>
      </c>
      <c r="I234" s="1"/>
      <c r="J234" s="1" t="s">
        <v>1406</v>
      </c>
      <c r="K234" s="7">
        <v>42696.698029484018</v>
      </c>
      <c r="L234" s="1"/>
    </row>
    <row r="235" spans="1:12" hidden="1" x14ac:dyDescent="0.25">
      <c r="A235" s="4">
        <v>233</v>
      </c>
      <c r="B235" s="2" t="str">
        <f>HYPERLINK("https://my.zakupki.prom.ua/remote/dispatcher/state_purchase_view/1013600", "UA-2016-11-25-000496-a")</f>
        <v>UA-2016-11-25-000496-a</v>
      </c>
      <c r="C235" s="1" t="s">
        <v>14</v>
      </c>
      <c r="D235" s="1" t="s">
        <v>267</v>
      </c>
      <c r="E235" s="1" t="s">
        <v>470</v>
      </c>
      <c r="F235" s="5">
        <v>42699</v>
      </c>
      <c r="G235" s="7">
        <v>42710.517245370371</v>
      </c>
      <c r="H235" s="6">
        <v>198946</v>
      </c>
      <c r="I235" s="1" t="s">
        <v>1129</v>
      </c>
      <c r="J235" s="1" t="s">
        <v>1405</v>
      </c>
      <c r="K235" s="7">
        <v>42716.682959251782</v>
      </c>
      <c r="L235" s="6">
        <v>197999</v>
      </c>
    </row>
    <row r="236" spans="1:12" hidden="1" x14ac:dyDescent="0.25">
      <c r="A236" s="4">
        <v>234</v>
      </c>
      <c r="B236" s="2" t="str">
        <f>HYPERLINK("https://my.zakupki.prom.ua/remote/dispatcher/state_purchase_view/1023078", "UA-2016-11-25-001562-a")</f>
        <v>UA-2016-11-25-001562-a</v>
      </c>
      <c r="C236" s="1" t="s">
        <v>332</v>
      </c>
      <c r="D236" s="1" t="s">
        <v>97</v>
      </c>
      <c r="E236" s="1" t="s">
        <v>470</v>
      </c>
      <c r="F236" s="5">
        <v>42699</v>
      </c>
      <c r="G236" s="1" t="s">
        <v>1398</v>
      </c>
      <c r="H236" s="6">
        <v>9800</v>
      </c>
      <c r="I236" s="1"/>
      <c r="J236" s="1" t="s">
        <v>1406</v>
      </c>
      <c r="K236" s="7">
        <v>42712.575237916528</v>
      </c>
      <c r="L236" s="1"/>
    </row>
    <row r="237" spans="1:12" hidden="1" x14ac:dyDescent="0.25">
      <c r="A237" s="4">
        <v>235</v>
      </c>
      <c r="B237" s="2" t="str">
        <f>HYPERLINK("https://my.zakupki.prom.ua/remote/dispatcher/state_purchase_view/1351374", "UA-2016-12-28-001597-b")</f>
        <v>UA-2016-12-28-001597-b</v>
      </c>
      <c r="C237" s="1" t="s">
        <v>350</v>
      </c>
      <c r="D237" s="1" t="s">
        <v>33</v>
      </c>
      <c r="E237" s="1" t="s">
        <v>470</v>
      </c>
      <c r="F237" s="5">
        <v>42732</v>
      </c>
      <c r="G237" s="1" t="s">
        <v>1398</v>
      </c>
      <c r="H237" s="6">
        <v>44000</v>
      </c>
      <c r="I237" s="1"/>
      <c r="J237" s="1" t="s">
        <v>1406</v>
      </c>
      <c r="K237" s="7">
        <v>42740.665753727822</v>
      </c>
      <c r="L237" s="1"/>
    </row>
    <row r="238" spans="1:12" hidden="1" x14ac:dyDescent="0.25">
      <c r="A238" s="4">
        <v>236</v>
      </c>
      <c r="B238" s="2" t="str">
        <f>HYPERLINK("https://my.zakupki.prom.ua/remote/dispatcher/state_purchase_view/1100947", "UA-2016-12-05-001273-a")</f>
        <v>UA-2016-12-05-001273-a</v>
      </c>
      <c r="C238" s="1" t="s">
        <v>17</v>
      </c>
      <c r="D238" s="1" t="s">
        <v>89</v>
      </c>
      <c r="E238" s="1" t="s">
        <v>470</v>
      </c>
      <c r="F238" s="5">
        <v>42709</v>
      </c>
      <c r="G238" s="1" t="s">
        <v>1398</v>
      </c>
      <c r="H238" s="6">
        <v>11728</v>
      </c>
      <c r="I238" s="1"/>
      <c r="J238" s="1" t="s">
        <v>1419</v>
      </c>
      <c r="K238" s="7">
        <v>42716.437509308111</v>
      </c>
      <c r="L238" s="1"/>
    </row>
    <row r="239" spans="1:12" hidden="1" x14ac:dyDescent="0.25">
      <c r="A239" s="4">
        <v>237</v>
      </c>
      <c r="B239" s="2" t="str">
        <f>HYPERLINK("https://my.zakupki.prom.ua/remote/dispatcher/state_purchase_view/7812799", "UA-2018-07-25-000950-b")</f>
        <v>UA-2018-07-25-000950-b</v>
      </c>
      <c r="C239" s="1" t="s">
        <v>624</v>
      </c>
      <c r="D239" s="1" t="s">
        <v>176</v>
      </c>
      <c r="E239" s="1" t="s">
        <v>488</v>
      </c>
      <c r="F239" s="5">
        <v>43306</v>
      </c>
      <c r="G239" s="1" t="s">
        <v>1397</v>
      </c>
      <c r="H239" s="6">
        <v>75000</v>
      </c>
      <c r="I239" s="1" t="s">
        <v>1210</v>
      </c>
      <c r="J239" s="1" t="s">
        <v>1405</v>
      </c>
      <c r="K239" s="7">
        <v>43306.550303303637</v>
      </c>
      <c r="L239" s="6">
        <v>75000</v>
      </c>
    </row>
    <row r="240" spans="1:12" hidden="1" x14ac:dyDescent="0.25">
      <c r="A240" s="4">
        <v>238</v>
      </c>
      <c r="B240" s="2" t="str">
        <f>HYPERLINK("https://my.zakupki.prom.ua/remote/dispatcher/state_purchase_view/6573259", "UA-2018-03-20-001910-c")</f>
        <v>UA-2018-03-20-001910-c</v>
      </c>
      <c r="C240" s="1" t="s">
        <v>1041</v>
      </c>
      <c r="D240" s="1" t="s">
        <v>165</v>
      </c>
      <c r="E240" s="1" t="s">
        <v>470</v>
      </c>
      <c r="F240" s="5">
        <v>43179</v>
      </c>
      <c r="G240" s="1" t="s">
        <v>1398</v>
      </c>
      <c r="H240" s="6">
        <v>21500</v>
      </c>
      <c r="I240" s="1" t="s">
        <v>1325</v>
      </c>
      <c r="J240" s="1" t="s">
        <v>1405</v>
      </c>
      <c r="K240" s="7">
        <v>43189.38028241109</v>
      </c>
      <c r="L240" s="6">
        <v>21200</v>
      </c>
    </row>
    <row r="241" spans="1:12" hidden="1" x14ac:dyDescent="0.25">
      <c r="A241" s="4">
        <v>239</v>
      </c>
      <c r="B241" s="2" t="str">
        <f>HYPERLINK("https://my.zakupki.prom.ua/remote/dispatcher/state_purchase_view/6120835", "UA-2018-02-12-000411-b")</f>
        <v>UA-2018-02-12-000411-b</v>
      </c>
      <c r="C241" s="1" t="s">
        <v>669</v>
      </c>
      <c r="D241" s="1" t="s">
        <v>259</v>
      </c>
      <c r="E241" s="1" t="s">
        <v>470</v>
      </c>
      <c r="F241" s="5">
        <v>43143</v>
      </c>
      <c r="G241" s="1" t="s">
        <v>1398</v>
      </c>
      <c r="H241" s="6">
        <v>35160</v>
      </c>
      <c r="I241" s="1" t="s">
        <v>1308</v>
      </c>
      <c r="J241" s="1" t="s">
        <v>1405</v>
      </c>
      <c r="K241" s="7">
        <v>43158.556117825756</v>
      </c>
      <c r="L241" s="6">
        <v>35160</v>
      </c>
    </row>
    <row r="242" spans="1:12" hidden="1" x14ac:dyDescent="0.25">
      <c r="A242" s="4">
        <v>240</v>
      </c>
      <c r="B242" s="2" t="str">
        <f>HYPERLINK("https://my.zakupki.prom.ua/remote/dispatcher/state_purchase_view/8417024", "UA-2018-10-01-001522-c")</f>
        <v>UA-2018-10-01-001522-c</v>
      </c>
      <c r="C242" s="1" t="s">
        <v>662</v>
      </c>
      <c r="D242" s="1" t="s">
        <v>166</v>
      </c>
      <c r="E242" s="1" t="s">
        <v>390</v>
      </c>
      <c r="F242" s="5">
        <v>43374</v>
      </c>
      <c r="G242" s="7">
        <v>43390.489872685182</v>
      </c>
      <c r="H242" s="6">
        <v>160000</v>
      </c>
      <c r="I242" s="1" t="s">
        <v>1322</v>
      </c>
      <c r="J242" s="1" t="s">
        <v>1405</v>
      </c>
      <c r="K242" s="7">
        <v>43409.589041646803</v>
      </c>
      <c r="L242" s="6">
        <v>150000</v>
      </c>
    </row>
    <row r="243" spans="1:12" hidden="1" x14ac:dyDescent="0.25">
      <c r="A243" s="4">
        <v>241</v>
      </c>
      <c r="B243" s="2" t="str">
        <f>HYPERLINK("https://my.zakupki.prom.ua/remote/dispatcher/state_purchase_view/6868239", "UA-2018-04-18-001637-a")</f>
        <v>UA-2018-04-18-001637-a</v>
      </c>
      <c r="C243" s="1" t="s">
        <v>714</v>
      </c>
      <c r="D243" s="1" t="s">
        <v>32</v>
      </c>
      <c r="E243" s="1" t="s">
        <v>470</v>
      </c>
      <c r="F243" s="5">
        <v>43208</v>
      </c>
      <c r="G243" s="7">
        <v>43216.497442129628</v>
      </c>
      <c r="H243" s="6">
        <v>57100</v>
      </c>
      <c r="I243" s="1" t="s">
        <v>1212</v>
      </c>
      <c r="J243" s="1" t="s">
        <v>1405</v>
      </c>
      <c r="K243" s="7">
        <v>43224.475225352224</v>
      </c>
      <c r="L243" s="6">
        <v>54000</v>
      </c>
    </row>
    <row r="244" spans="1:12" hidden="1" x14ac:dyDescent="0.25">
      <c r="A244" s="4">
        <v>242</v>
      </c>
      <c r="B244" s="2" t="str">
        <f>HYPERLINK("https://my.zakupki.prom.ua/remote/dispatcher/state_purchase_view/6471888", "UA-2018-03-12-001999-c")</f>
        <v>UA-2018-03-12-001999-c</v>
      </c>
      <c r="C244" s="1" t="s">
        <v>622</v>
      </c>
      <c r="D244" s="1" t="s">
        <v>253</v>
      </c>
      <c r="E244" s="1" t="s">
        <v>488</v>
      </c>
      <c r="F244" s="5">
        <v>43171</v>
      </c>
      <c r="G244" s="1" t="s">
        <v>1397</v>
      </c>
      <c r="H244" s="6">
        <v>3220</v>
      </c>
      <c r="I244" s="1" t="s">
        <v>432</v>
      </c>
      <c r="J244" s="1" t="s">
        <v>1405</v>
      </c>
      <c r="K244" s="7">
        <v>43171.695152155291</v>
      </c>
      <c r="L244" s="6">
        <v>3220</v>
      </c>
    </row>
    <row r="245" spans="1:12" hidden="1" x14ac:dyDescent="0.25">
      <c r="A245" s="4">
        <v>243</v>
      </c>
      <c r="B245" s="2" t="str">
        <f>HYPERLINK("https://my.zakupki.prom.ua/remote/dispatcher/state_purchase_view/6560704", "UA-2018-03-19-002654-c")</f>
        <v>UA-2018-03-19-002654-c</v>
      </c>
      <c r="C245" s="1" t="s">
        <v>985</v>
      </c>
      <c r="D245" s="1" t="s">
        <v>220</v>
      </c>
      <c r="E245" s="1" t="s">
        <v>488</v>
      </c>
      <c r="F245" s="5">
        <v>43178</v>
      </c>
      <c r="G245" s="1" t="s">
        <v>1397</v>
      </c>
      <c r="H245" s="6">
        <v>200000</v>
      </c>
      <c r="I245" s="1" t="s">
        <v>738</v>
      </c>
      <c r="J245" s="1" t="s">
        <v>1405</v>
      </c>
      <c r="K245" s="7">
        <v>43178.70244866531</v>
      </c>
      <c r="L245" s="6">
        <v>200000</v>
      </c>
    </row>
    <row r="246" spans="1:12" hidden="1" x14ac:dyDescent="0.25">
      <c r="A246" s="4">
        <v>244</v>
      </c>
      <c r="B246" s="2" t="str">
        <f>HYPERLINK("https://my.zakupki.prom.ua/remote/dispatcher/state_purchase_view/6691951", "UA-2018-03-30-000097-a")</f>
        <v>UA-2018-03-30-000097-a</v>
      </c>
      <c r="C246" s="1" t="s">
        <v>809</v>
      </c>
      <c r="D246" s="1" t="s">
        <v>235</v>
      </c>
      <c r="E246" s="1" t="s">
        <v>390</v>
      </c>
      <c r="F246" s="5">
        <v>43189</v>
      </c>
      <c r="G246" s="1" t="s">
        <v>1398</v>
      </c>
      <c r="H246" s="6">
        <v>1000000</v>
      </c>
      <c r="I246" s="1"/>
      <c r="J246" s="1" t="s">
        <v>1406</v>
      </c>
      <c r="K246" s="7">
        <v>43204.459169725218</v>
      </c>
      <c r="L246" s="1"/>
    </row>
    <row r="247" spans="1:12" hidden="1" x14ac:dyDescent="0.25">
      <c r="A247" s="4">
        <v>245</v>
      </c>
      <c r="B247" s="2" t="str">
        <f>HYPERLINK("https://my.zakupki.prom.ua/remote/dispatcher/state_purchase_view/13056890", "UA-2019-10-03-000302-b")</f>
        <v>UA-2019-10-03-000302-b</v>
      </c>
      <c r="C247" s="1" t="s">
        <v>823</v>
      </c>
      <c r="D247" s="1" t="s">
        <v>246</v>
      </c>
      <c r="E247" s="1" t="s">
        <v>390</v>
      </c>
      <c r="F247" s="5">
        <v>43741</v>
      </c>
      <c r="G247" s="7">
        <v>43759.596342592595</v>
      </c>
      <c r="H247" s="6">
        <v>200000</v>
      </c>
      <c r="I247" s="1"/>
      <c r="J247" s="1" t="s">
        <v>1406</v>
      </c>
      <c r="K247" s="7">
        <v>43770.961510995105</v>
      </c>
      <c r="L247" s="1"/>
    </row>
    <row r="248" spans="1:12" hidden="1" x14ac:dyDescent="0.25">
      <c r="A248" s="4">
        <v>246</v>
      </c>
      <c r="B248" s="2" t="str">
        <f>HYPERLINK("https://my.zakupki.prom.ua/remote/dispatcher/state_purchase_view/12870602", "UA-2019-09-17-000800-b")</f>
        <v>UA-2019-09-17-000800-b</v>
      </c>
      <c r="C248" s="1" t="s">
        <v>773</v>
      </c>
      <c r="D248" s="1" t="s">
        <v>262</v>
      </c>
      <c r="E248" s="1" t="s">
        <v>470</v>
      </c>
      <c r="F248" s="5">
        <v>43725</v>
      </c>
      <c r="G248" s="1" t="s">
        <v>1398</v>
      </c>
      <c r="H248" s="6">
        <v>60000</v>
      </c>
      <c r="I248" s="1" t="s">
        <v>1308</v>
      </c>
      <c r="J248" s="1" t="s">
        <v>1405</v>
      </c>
      <c r="K248" s="7">
        <v>43738.673071664918</v>
      </c>
      <c r="L248" s="6">
        <v>60000</v>
      </c>
    </row>
    <row r="249" spans="1:12" hidden="1" x14ac:dyDescent="0.25">
      <c r="A249" s="4">
        <v>247</v>
      </c>
      <c r="B249" s="2" t="str">
        <f>HYPERLINK("https://my.zakupki.prom.ua/remote/dispatcher/state_purchase_view/11793642", "UA-2019-06-03-001297-b")</f>
        <v>UA-2019-06-03-001297-b</v>
      </c>
      <c r="C249" s="1" t="s">
        <v>778</v>
      </c>
      <c r="D249" s="1" t="s">
        <v>261</v>
      </c>
      <c r="E249" s="1" t="s">
        <v>390</v>
      </c>
      <c r="F249" s="5">
        <v>43619</v>
      </c>
      <c r="G249" s="7">
        <v>43635.468888888892</v>
      </c>
      <c r="H249" s="6">
        <v>300000</v>
      </c>
      <c r="I249" s="1" t="s">
        <v>1310</v>
      </c>
      <c r="J249" s="1" t="s">
        <v>1405</v>
      </c>
      <c r="K249" s="7">
        <v>43654.426971449233</v>
      </c>
      <c r="L249" s="6">
        <v>295600</v>
      </c>
    </row>
    <row r="250" spans="1:12" hidden="1" x14ac:dyDescent="0.25">
      <c r="A250" s="4">
        <v>248</v>
      </c>
      <c r="B250" s="2" t="str">
        <f>HYPERLINK("https://my.zakupki.prom.ua/remote/dispatcher/state_purchase_view/9651913", "UA-2019-01-03-000583-c")</f>
        <v>UA-2019-01-03-000583-c</v>
      </c>
      <c r="C250" s="1" t="s">
        <v>1416</v>
      </c>
      <c r="D250" s="1" t="s">
        <v>230</v>
      </c>
      <c r="E250" s="1" t="s">
        <v>488</v>
      </c>
      <c r="F250" s="5">
        <v>43468</v>
      </c>
      <c r="G250" s="1" t="s">
        <v>1397</v>
      </c>
      <c r="H250" s="6">
        <v>35988</v>
      </c>
      <c r="I250" s="1" t="s">
        <v>1247</v>
      </c>
      <c r="J250" s="1" t="s">
        <v>1405</v>
      </c>
      <c r="K250" s="7">
        <v>43468.533953734164</v>
      </c>
      <c r="L250" s="6">
        <v>35988</v>
      </c>
    </row>
    <row r="251" spans="1:12" hidden="1" x14ac:dyDescent="0.25">
      <c r="A251" s="4">
        <v>249</v>
      </c>
      <c r="B251" s="2" t="str">
        <f>HYPERLINK("https://my.zakupki.prom.ua/remote/dispatcher/state_purchase_view/10067174", "UA-2019-01-23-002632-b")</f>
        <v>UA-2019-01-23-002632-b</v>
      </c>
      <c r="C251" s="1" t="s">
        <v>359</v>
      </c>
      <c r="D251" s="1" t="s">
        <v>165</v>
      </c>
      <c r="E251" s="1" t="s">
        <v>470</v>
      </c>
      <c r="F251" s="5">
        <v>43488</v>
      </c>
      <c r="G251" s="7">
        <v>43497.515636574077</v>
      </c>
      <c r="H251" s="6">
        <v>35000</v>
      </c>
      <c r="I251" s="1" t="s">
        <v>1322</v>
      </c>
      <c r="J251" s="1" t="s">
        <v>1405</v>
      </c>
      <c r="K251" s="7">
        <v>43508.608190056664</v>
      </c>
      <c r="L251" s="6">
        <v>35000</v>
      </c>
    </row>
    <row r="252" spans="1:12" hidden="1" x14ac:dyDescent="0.25">
      <c r="A252" s="4">
        <v>250</v>
      </c>
      <c r="B252" s="2" t="str">
        <f>HYPERLINK("https://my.zakupki.prom.ua/remote/dispatcher/state_purchase_view/12153341", "UA-2019-07-08-000181-c")</f>
        <v>UA-2019-07-08-000181-c</v>
      </c>
      <c r="C252" s="1" t="s">
        <v>1056</v>
      </c>
      <c r="D252" s="1" t="s">
        <v>132</v>
      </c>
      <c r="E252" s="1" t="s">
        <v>390</v>
      </c>
      <c r="F252" s="5">
        <v>43654</v>
      </c>
      <c r="G252" s="7">
        <v>43670.618541666663</v>
      </c>
      <c r="H252" s="6">
        <v>90000</v>
      </c>
      <c r="I252" s="1" t="s">
        <v>1330</v>
      </c>
      <c r="J252" s="1" t="s">
        <v>1405</v>
      </c>
      <c r="K252" s="7">
        <v>43683.615938410323</v>
      </c>
      <c r="L252" s="6">
        <v>89995.5</v>
      </c>
    </row>
    <row r="253" spans="1:12" hidden="1" x14ac:dyDescent="0.25">
      <c r="A253" s="4">
        <v>251</v>
      </c>
      <c r="B253" s="2" t="str">
        <f>HYPERLINK("https://my.zakupki.prom.ua/remote/dispatcher/state_purchase_view/12188276", "UA-2019-07-10-001931-b")</f>
        <v>UA-2019-07-10-001931-b</v>
      </c>
      <c r="C253" s="1" t="s">
        <v>533</v>
      </c>
      <c r="D253" s="1" t="s">
        <v>75</v>
      </c>
      <c r="E253" s="1" t="s">
        <v>470</v>
      </c>
      <c r="F253" s="5">
        <v>43656</v>
      </c>
      <c r="G253" s="1" t="s">
        <v>1398</v>
      </c>
      <c r="H253" s="6">
        <v>11534</v>
      </c>
      <c r="I253" s="1" t="s">
        <v>1160</v>
      </c>
      <c r="J253" s="1" t="s">
        <v>1405</v>
      </c>
      <c r="K253" s="7">
        <v>43670.650929028852</v>
      </c>
      <c r="L253" s="6">
        <v>8945.2800000000007</v>
      </c>
    </row>
    <row r="254" spans="1:12" hidden="1" x14ac:dyDescent="0.25">
      <c r="A254" s="4">
        <v>252</v>
      </c>
      <c r="B254" s="2" t="str">
        <f>HYPERLINK("https://my.zakupki.prom.ua/remote/dispatcher/state_purchase_view/15751497", "UA-2020-03-13-001783-b")</f>
        <v>UA-2020-03-13-001783-b</v>
      </c>
      <c r="C254" s="1" t="s">
        <v>774</v>
      </c>
      <c r="D254" s="1" t="s">
        <v>245</v>
      </c>
      <c r="E254" s="1" t="s">
        <v>470</v>
      </c>
      <c r="F254" s="5">
        <v>43903</v>
      </c>
      <c r="G254" s="1" t="s">
        <v>1398</v>
      </c>
      <c r="H254" s="6">
        <v>48500</v>
      </c>
      <c r="I254" s="1" t="s">
        <v>1360</v>
      </c>
      <c r="J254" s="1" t="s">
        <v>1405</v>
      </c>
      <c r="K254" s="7">
        <v>43916.542186874132</v>
      </c>
      <c r="L254" s="6">
        <v>48500</v>
      </c>
    </row>
    <row r="255" spans="1:12" hidden="1" x14ac:dyDescent="0.25">
      <c r="A255" s="4">
        <v>253</v>
      </c>
      <c r="B255" s="2" t="str">
        <f>HYPERLINK("https://my.zakupki.prom.ua/remote/dispatcher/state_purchase_view/16121565", "UA-2020-04-06-001021-b")</f>
        <v>UA-2020-04-06-001021-b</v>
      </c>
      <c r="C255" s="1" t="s">
        <v>404</v>
      </c>
      <c r="D255" s="1" t="s">
        <v>123</v>
      </c>
      <c r="E255" s="1" t="s">
        <v>390</v>
      </c>
      <c r="F255" s="5">
        <v>43927</v>
      </c>
      <c r="G255" s="7">
        <v>43943.635729166665</v>
      </c>
      <c r="H255" s="6">
        <v>300000</v>
      </c>
      <c r="I255" s="1" t="s">
        <v>1331</v>
      </c>
      <c r="J255" s="1" t="s">
        <v>1405</v>
      </c>
      <c r="K255" s="7">
        <v>43955.563319561676</v>
      </c>
      <c r="L255" s="6">
        <v>289800</v>
      </c>
    </row>
    <row r="256" spans="1:12" hidden="1" x14ac:dyDescent="0.25">
      <c r="A256" s="4">
        <v>254</v>
      </c>
      <c r="B256" s="2" t="str">
        <f>HYPERLINK("https://my.zakupki.prom.ua/remote/dispatcher/state_purchase_view/15782215", "UA-2020-03-16-002323-b")</f>
        <v>UA-2020-03-16-002323-b</v>
      </c>
      <c r="C256" s="1" t="s">
        <v>824</v>
      </c>
      <c r="D256" s="1" t="s">
        <v>246</v>
      </c>
      <c r="E256" s="1" t="s">
        <v>390</v>
      </c>
      <c r="F256" s="5">
        <v>43906</v>
      </c>
      <c r="G256" s="1" t="s">
        <v>1398</v>
      </c>
      <c r="H256" s="6">
        <v>2400000</v>
      </c>
      <c r="I256" s="1"/>
      <c r="J256" s="1" t="s">
        <v>1419</v>
      </c>
      <c r="K256" s="7">
        <v>43920.592989387711</v>
      </c>
      <c r="L256" s="1"/>
    </row>
    <row r="257" spans="1:12" hidden="1" x14ac:dyDescent="0.25">
      <c r="A257" s="4">
        <v>255</v>
      </c>
      <c r="B257" s="2" t="str">
        <f>HYPERLINK("https://my.zakupki.prom.ua/remote/dispatcher/state_purchase_view/16506701", "UA-2020-04-29-001772-b")</f>
        <v>UA-2020-04-29-001772-b</v>
      </c>
      <c r="C257" s="1" t="s">
        <v>411</v>
      </c>
      <c r="D257" s="1" t="s">
        <v>178</v>
      </c>
      <c r="E257" s="1" t="s">
        <v>470</v>
      </c>
      <c r="F257" s="5">
        <v>43950</v>
      </c>
      <c r="G257" s="7">
        <v>43964.498333333337</v>
      </c>
      <c r="H257" s="6">
        <v>4730</v>
      </c>
      <c r="I257" s="1" t="s">
        <v>1329</v>
      </c>
      <c r="J257" s="1" t="s">
        <v>1405</v>
      </c>
      <c r="K257" s="7">
        <v>43970.526469534234</v>
      </c>
      <c r="L257" s="6">
        <v>4730</v>
      </c>
    </row>
    <row r="258" spans="1:12" hidden="1" x14ac:dyDescent="0.25">
      <c r="A258" s="4">
        <v>256</v>
      </c>
      <c r="B258" s="2" t="str">
        <f>HYPERLINK("https://my.zakupki.prom.ua/remote/dispatcher/state_purchase_view/16396210", "UA-2020-04-17-006573-b")</f>
        <v>UA-2020-04-17-006573-b</v>
      </c>
      <c r="C258" s="1" t="s">
        <v>1037</v>
      </c>
      <c r="D258" s="1" t="s">
        <v>30</v>
      </c>
      <c r="E258" s="1" t="s">
        <v>390</v>
      </c>
      <c r="F258" s="5">
        <v>43938</v>
      </c>
      <c r="G258" s="7">
        <v>43955.615162037036</v>
      </c>
      <c r="H258" s="6">
        <v>127414</v>
      </c>
      <c r="I258" s="1" t="s">
        <v>707</v>
      </c>
      <c r="J258" s="1" t="s">
        <v>1405</v>
      </c>
      <c r="K258" s="7">
        <v>43969.433191244236</v>
      </c>
      <c r="L258" s="6">
        <v>97638</v>
      </c>
    </row>
    <row r="259" spans="1:12" hidden="1" x14ac:dyDescent="0.25">
      <c r="A259" s="4">
        <v>257</v>
      </c>
      <c r="B259" s="2" t="str">
        <f>HYPERLINK("https://my.zakupki.prom.ua/remote/dispatcher/state_purchase_view/15489355", "UA-2020-02-26-001621-c")</f>
        <v>UA-2020-02-26-001621-c</v>
      </c>
      <c r="C259" s="1" t="s">
        <v>416</v>
      </c>
      <c r="D259" s="1" t="s">
        <v>151</v>
      </c>
      <c r="E259" s="1" t="s">
        <v>470</v>
      </c>
      <c r="F259" s="5">
        <v>43887</v>
      </c>
      <c r="G259" s="7">
        <v>43896.655162037037</v>
      </c>
      <c r="H259" s="6">
        <v>10150</v>
      </c>
      <c r="I259" s="1" t="s">
        <v>1329</v>
      </c>
      <c r="J259" s="1" t="s">
        <v>1405</v>
      </c>
      <c r="K259" s="7">
        <v>43906.65625364882</v>
      </c>
      <c r="L259" s="6">
        <v>10130</v>
      </c>
    </row>
    <row r="260" spans="1:12" hidden="1" x14ac:dyDescent="0.25">
      <c r="A260" s="4">
        <v>258</v>
      </c>
      <c r="B260" s="2" t="str">
        <f>HYPERLINK("https://my.zakupki.prom.ua/remote/dispatcher/state_purchase_view/15420266", "UA-2020-02-21-001718-b")</f>
        <v>UA-2020-02-21-001718-b</v>
      </c>
      <c r="C260" s="1" t="s">
        <v>734</v>
      </c>
      <c r="D260" s="1" t="s">
        <v>204</v>
      </c>
      <c r="E260" s="1" t="s">
        <v>488</v>
      </c>
      <c r="F260" s="5">
        <v>43882</v>
      </c>
      <c r="G260" s="1" t="s">
        <v>1397</v>
      </c>
      <c r="H260" s="6">
        <v>718.79</v>
      </c>
      <c r="I260" s="1" t="s">
        <v>703</v>
      </c>
      <c r="J260" s="1" t="s">
        <v>1405</v>
      </c>
      <c r="K260" s="7">
        <v>43882.568308681446</v>
      </c>
      <c r="L260" s="6">
        <v>718.79</v>
      </c>
    </row>
    <row r="261" spans="1:12" hidden="1" x14ac:dyDescent="0.25">
      <c r="A261" s="4">
        <v>259</v>
      </c>
      <c r="B261" s="2" t="str">
        <f>HYPERLINK("https://my.zakupki.prom.ua/remote/dispatcher/state_purchase_view/17120156", "UA-2020-06-09-005721-b")</f>
        <v>UA-2020-06-09-005721-b</v>
      </c>
      <c r="C261" s="1" t="s">
        <v>796</v>
      </c>
      <c r="D261" s="1" t="s">
        <v>224</v>
      </c>
      <c r="E261" s="1" t="s">
        <v>488</v>
      </c>
      <c r="F261" s="5">
        <v>43991</v>
      </c>
      <c r="G261" s="1" t="s">
        <v>1397</v>
      </c>
      <c r="H261" s="6">
        <v>1784.14</v>
      </c>
      <c r="I261" s="1" t="s">
        <v>444</v>
      </c>
      <c r="J261" s="1" t="s">
        <v>1405</v>
      </c>
      <c r="K261" s="7">
        <v>43991.657594684628</v>
      </c>
      <c r="L261" s="6">
        <v>1784.14</v>
      </c>
    </row>
    <row r="262" spans="1:12" hidden="1" x14ac:dyDescent="0.25">
      <c r="A262" s="4">
        <v>260</v>
      </c>
      <c r="B262" s="2" t="str">
        <f>HYPERLINK("https://my.zakupki.prom.ua/remote/dispatcher/state_purchase_view/16874411", "UA-2020-05-26-006933-b")</f>
        <v>UA-2020-05-26-006933-b</v>
      </c>
      <c r="C262" s="1" t="s">
        <v>356</v>
      </c>
      <c r="D262" s="1" t="s">
        <v>176</v>
      </c>
      <c r="E262" s="1" t="s">
        <v>488</v>
      </c>
      <c r="F262" s="5">
        <v>43977</v>
      </c>
      <c r="G262" s="1" t="s">
        <v>1397</v>
      </c>
      <c r="H262" s="6">
        <v>42000</v>
      </c>
      <c r="I262" s="1" t="s">
        <v>508</v>
      </c>
      <c r="J262" s="1" t="s">
        <v>1405</v>
      </c>
      <c r="K262" s="7">
        <v>43977.664753781122</v>
      </c>
      <c r="L262" s="6">
        <v>42000</v>
      </c>
    </row>
    <row r="263" spans="1:12" hidden="1" x14ac:dyDescent="0.25">
      <c r="A263" s="4">
        <v>261</v>
      </c>
      <c r="B263" s="2" t="str">
        <f>HYPERLINK("https://my.zakupki.prom.ua/remote/dispatcher/state_purchase_view/16019140", "UA-2020-03-30-000700-b")</f>
        <v>UA-2020-03-30-000700-b</v>
      </c>
      <c r="C263" s="1" t="s">
        <v>1051</v>
      </c>
      <c r="D263" s="1" t="s">
        <v>30</v>
      </c>
      <c r="E263" s="1" t="s">
        <v>390</v>
      </c>
      <c r="F263" s="5">
        <v>43920</v>
      </c>
      <c r="G263" s="7">
        <v>43942.48233796296</v>
      </c>
      <c r="H263" s="6">
        <v>271000</v>
      </c>
      <c r="I263" s="1" t="s">
        <v>1244</v>
      </c>
      <c r="J263" s="1" t="s">
        <v>1405</v>
      </c>
      <c r="K263" s="7">
        <v>43955.429473072501</v>
      </c>
      <c r="L263" s="6">
        <v>270953.5</v>
      </c>
    </row>
    <row r="264" spans="1:12" hidden="1" x14ac:dyDescent="0.25">
      <c r="A264" s="4">
        <v>262</v>
      </c>
      <c r="B264" s="2" t="str">
        <f>HYPERLINK("https://my.zakupki.prom.ua/remote/dispatcher/state_purchase_view/15913693", "UA-2020-03-23-003605-b")</f>
        <v>UA-2020-03-23-003605-b</v>
      </c>
      <c r="C264" s="1" t="s">
        <v>945</v>
      </c>
      <c r="D264" s="1" t="s">
        <v>188</v>
      </c>
      <c r="E264" s="1" t="s">
        <v>390</v>
      </c>
      <c r="F264" s="5">
        <v>43913</v>
      </c>
      <c r="G264" s="7">
        <v>43929.554675925923</v>
      </c>
      <c r="H264" s="6">
        <v>240000</v>
      </c>
      <c r="I264" s="1" t="s">
        <v>1313</v>
      </c>
      <c r="J264" s="1" t="s">
        <v>1405</v>
      </c>
      <c r="K264" s="7">
        <v>43942.591408350032</v>
      </c>
      <c r="L264" s="6">
        <v>238757.26</v>
      </c>
    </row>
    <row r="265" spans="1:12" hidden="1" x14ac:dyDescent="0.25">
      <c r="A265" s="4">
        <v>263</v>
      </c>
      <c r="B265" s="2" t="str">
        <f>HYPERLINK("https://my.zakupki.prom.ua/remote/dispatcher/state_purchase_view/17910090", "UA-2020-07-16-000370-c")</f>
        <v>UA-2020-07-16-000370-c</v>
      </c>
      <c r="C265" s="1" t="s">
        <v>1040</v>
      </c>
      <c r="D265" s="1" t="s">
        <v>165</v>
      </c>
      <c r="E265" s="1" t="s">
        <v>470</v>
      </c>
      <c r="F265" s="5">
        <v>44028</v>
      </c>
      <c r="G265" s="7">
        <v>44040.49015046296</v>
      </c>
      <c r="H265" s="6">
        <v>37000</v>
      </c>
      <c r="I265" s="1" t="s">
        <v>1330</v>
      </c>
      <c r="J265" s="1" t="s">
        <v>1405</v>
      </c>
      <c r="K265" s="7">
        <v>44043.562716777735</v>
      </c>
      <c r="L265" s="6">
        <v>30900</v>
      </c>
    </row>
    <row r="266" spans="1:12" hidden="1" x14ac:dyDescent="0.25">
      <c r="A266" s="4">
        <v>264</v>
      </c>
      <c r="B266" s="2" t="str">
        <f>HYPERLINK("https://my.zakupki.prom.ua/remote/dispatcher/state_purchase_view/17334866", "UA-2020-06-18-003092-c")</f>
        <v>UA-2020-06-18-003092-c</v>
      </c>
      <c r="C266" s="1" t="s">
        <v>413</v>
      </c>
      <c r="D266" s="1" t="s">
        <v>53</v>
      </c>
      <c r="E266" s="1" t="s">
        <v>488</v>
      </c>
      <c r="F266" s="5">
        <v>44000</v>
      </c>
      <c r="G266" s="1" t="s">
        <v>1397</v>
      </c>
      <c r="H266" s="6">
        <v>2100</v>
      </c>
      <c r="I266" s="1" t="s">
        <v>429</v>
      </c>
      <c r="J266" s="1" t="s">
        <v>1405</v>
      </c>
      <c r="K266" s="7">
        <v>44000.4954008309</v>
      </c>
      <c r="L266" s="6">
        <v>2100</v>
      </c>
    </row>
    <row r="267" spans="1:12" hidden="1" x14ac:dyDescent="0.25">
      <c r="A267" s="4">
        <v>265</v>
      </c>
      <c r="B267" s="2" t="str">
        <f>HYPERLINK("https://my.zakupki.prom.ua/remote/dispatcher/state_purchase_view/17334329", "UA-2020-06-18-002958-c")</f>
        <v>UA-2020-06-18-002958-c</v>
      </c>
      <c r="C267" s="1" t="s">
        <v>413</v>
      </c>
      <c r="D267" s="1" t="s">
        <v>174</v>
      </c>
      <c r="E267" s="1" t="s">
        <v>488</v>
      </c>
      <c r="F267" s="5">
        <v>44000</v>
      </c>
      <c r="G267" s="1" t="s">
        <v>1397</v>
      </c>
      <c r="H267" s="6">
        <v>1780</v>
      </c>
      <c r="I267" s="1" t="s">
        <v>429</v>
      </c>
      <c r="J267" s="1" t="s">
        <v>1405</v>
      </c>
      <c r="K267" s="7">
        <v>44000.489558294117</v>
      </c>
      <c r="L267" s="6">
        <v>1780</v>
      </c>
    </row>
    <row r="268" spans="1:12" hidden="1" x14ac:dyDescent="0.25">
      <c r="A268" s="4">
        <v>266</v>
      </c>
      <c r="B268" s="2" t="str">
        <f>HYPERLINK("https://my.zakupki.prom.ua/remote/dispatcher/state_purchase_view/3492150", "UA-2017-07-06-001190-b")</f>
        <v>UA-2017-07-06-001190-b</v>
      </c>
      <c r="C268" s="1" t="s">
        <v>575</v>
      </c>
      <c r="D268" s="1" t="s">
        <v>130</v>
      </c>
      <c r="E268" s="1" t="s">
        <v>470</v>
      </c>
      <c r="F268" s="5">
        <v>42922</v>
      </c>
      <c r="G268" s="7">
        <v>42934.476539351854</v>
      </c>
      <c r="H268" s="6">
        <v>97500</v>
      </c>
      <c r="I268" s="1" t="s">
        <v>1170</v>
      </c>
      <c r="J268" s="1" t="s">
        <v>1405</v>
      </c>
      <c r="K268" s="7">
        <v>42941.729781034701</v>
      </c>
      <c r="L268" s="6">
        <v>96524</v>
      </c>
    </row>
    <row r="269" spans="1:12" hidden="1" x14ac:dyDescent="0.25">
      <c r="A269" s="4">
        <v>267</v>
      </c>
      <c r="B269" s="2" t="str">
        <f>HYPERLINK("https://my.zakupki.prom.ua/remote/dispatcher/state_purchase_view/3136158", "UA-2017-05-24-000135-b")</f>
        <v>UA-2017-05-24-000135-b</v>
      </c>
      <c r="C269" s="1" t="s">
        <v>872</v>
      </c>
      <c r="D269" s="1" t="s">
        <v>254</v>
      </c>
      <c r="E269" s="1" t="s">
        <v>470</v>
      </c>
      <c r="F269" s="5">
        <v>42879</v>
      </c>
      <c r="G269" s="1" t="s">
        <v>1398</v>
      </c>
      <c r="H269" s="6">
        <v>198000</v>
      </c>
      <c r="I269" s="1" t="s">
        <v>1135</v>
      </c>
      <c r="J269" s="1" t="s">
        <v>1405</v>
      </c>
      <c r="K269" s="7">
        <v>42893.58785933016</v>
      </c>
      <c r="L269" s="6">
        <v>192420</v>
      </c>
    </row>
    <row r="270" spans="1:12" hidden="1" x14ac:dyDescent="0.25">
      <c r="A270" s="4">
        <v>268</v>
      </c>
      <c r="B270" s="2" t="str">
        <f>HYPERLINK("https://my.zakupki.prom.ua/remote/dispatcher/state_purchase_view/3572922", "UA-2017-07-18-000353-b")</f>
        <v>UA-2017-07-18-000353-b</v>
      </c>
      <c r="C270" s="1" t="s">
        <v>1421</v>
      </c>
      <c r="D270" s="1" t="s">
        <v>166</v>
      </c>
      <c r="E270" s="1" t="s">
        <v>470</v>
      </c>
      <c r="F270" s="5">
        <v>42934</v>
      </c>
      <c r="G270" s="1" t="s">
        <v>1398</v>
      </c>
      <c r="H270" s="6">
        <v>9300</v>
      </c>
      <c r="I270" s="1" t="s">
        <v>1146</v>
      </c>
      <c r="J270" s="1" t="s">
        <v>1405</v>
      </c>
      <c r="K270" s="7">
        <v>42947.406767808949</v>
      </c>
      <c r="L270" s="6">
        <v>9300</v>
      </c>
    </row>
    <row r="271" spans="1:12" hidden="1" x14ac:dyDescent="0.25">
      <c r="A271" s="4">
        <v>269</v>
      </c>
      <c r="B271" s="2" t="str">
        <f>HYPERLINK("https://my.zakupki.prom.ua/remote/dispatcher/state_purchase_view/4975262", "UA-2017-12-12-003059-c")</f>
        <v>UA-2017-12-12-003059-c</v>
      </c>
      <c r="C271" s="1" t="s">
        <v>989</v>
      </c>
      <c r="D271" s="1" t="s">
        <v>37</v>
      </c>
      <c r="E271" s="1" t="s">
        <v>488</v>
      </c>
      <c r="F271" s="5">
        <v>43081</v>
      </c>
      <c r="G271" s="1" t="s">
        <v>1397</v>
      </c>
      <c r="H271" s="6">
        <v>50659.32</v>
      </c>
      <c r="I271" s="1" t="s">
        <v>1131</v>
      </c>
      <c r="J271" s="1" t="s">
        <v>1405</v>
      </c>
      <c r="K271" s="7">
        <v>43081.672842127999</v>
      </c>
      <c r="L271" s="6">
        <v>50659.32</v>
      </c>
    </row>
    <row r="272" spans="1:12" hidden="1" x14ac:dyDescent="0.25">
      <c r="A272" s="4">
        <v>270</v>
      </c>
      <c r="B272" s="2" t="str">
        <f>HYPERLINK("https://my.zakupki.prom.ua/remote/dispatcher/state_purchase_view/5028221", "UA-2017-12-15-000468-b")</f>
        <v>UA-2017-12-15-000468-b</v>
      </c>
      <c r="C272" s="1" t="s">
        <v>387</v>
      </c>
      <c r="D272" s="1" t="s">
        <v>259</v>
      </c>
      <c r="E272" s="1" t="s">
        <v>470</v>
      </c>
      <c r="F272" s="5">
        <v>43084</v>
      </c>
      <c r="G272" s="1" t="s">
        <v>1398</v>
      </c>
      <c r="H272" s="6">
        <v>91977</v>
      </c>
      <c r="I272" s="1" t="s">
        <v>1308</v>
      </c>
      <c r="J272" s="1" t="s">
        <v>1405</v>
      </c>
      <c r="K272" s="7">
        <v>43103.604128980209</v>
      </c>
      <c r="L272" s="6">
        <v>91977</v>
      </c>
    </row>
    <row r="273" spans="1:12" hidden="1" x14ac:dyDescent="0.25">
      <c r="A273" s="4">
        <v>271</v>
      </c>
      <c r="B273" s="2" t="str">
        <f>HYPERLINK("https://my.zakupki.prom.ua/remote/dispatcher/state_purchase_view/4446928", "UA-2017-10-30-001652-a")</f>
        <v>UA-2017-10-30-001652-a</v>
      </c>
      <c r="C273" s="1" t="s">
        <v>1082</v>
      </c>
      <c r="D273" s="1" t="s">
        <v>48</v>
      </c>
      <c r="E273" s="1" t="s">
        <v>390</v>
      </c>
      <c r="F273" s="5">
        <v>43038</v>
      </c>
      <c r="G273" s="7">
        <v>43054.629467592589</v>
      </c>
      <c r="H273" s="6">
        <v>297700</v>
      </c>
      <c r="I273" s="1" t="s">
        <v>1136</v>
      </c>
      <c r="J273" s="1" t="s">
        <v>1405</v>
      </c>
      <c r="K273" s="7">
        <v>43074.651619399112</v>
      </c>
      <c r="L273" s="6">
        <v>294097.82</v>
      </c>
    </row>
    <row r="274" spans="1:12" hidden="1" x14ac:dyDescent="0.25">
      <c r="A274" s="4">
        <v>272</v>
      </c>
      <c r="B274" s="2" t="str">
        <f>HYPERLINK("https://my.zakupki.prom.ua/remote/dispatcher/state_purchase_view/1043310", "UA-2016-11-29-000629-a")</f>
        <v>UA-2016-11-29-000629-a</v>
      </c>
      <c r="C274" s="1" t="s">
        <v>9</v>
      </c>
      <c r="D274" s="1" t="s">
        <v>174</v>
      </c>
      <c r="E274" s="1" t="s">
        <v>470</v>
      </c>
      <c r="F274" s="5">
        <v>42703</v>
      </c>
      <c r="G274" s="1" t="s">
        <v>1398</v>
      </c>
      <c r="H274" s="6">
        <v>14559</v>
      </c>
      <c r="I274" s="1"/>
      <c r="J274" s="1" t="s">
        <v>1406</v>
      </c>
      <c r="K274" s="7">
        <v>42710.527481527861</v>
      </c>
      <c r="L274" s="1"/>
    </row>
    <row r="275" spans="1:12" hidden="1" x14ac:dyDescent="0.25">
      <c r="A275" s="4">
        <v>273</v>
      </c>
      <c r="B275" s="2" t="str">
        <f>HYPERLINK("https://my.zakupki.prom.ua/remote/dispatcher/state_purchase_view/1417698", "UA-2017-01-05-000908-b")</f>
        <v>UA-2017-01-05-000908-b</v>
      </c>
      <c r="C275" s="1" t="s">
        <v>5</v>
      </c>
      <c r="D275" s="1" t="s">
        <v>33</v>
      </c>
      <c r="E275" s="1" t="s">
        <v>470</v>
      </c>
      <c r="F275" s="5">
        <v>42740</v>
      </c>
      <c r="G275" s="7">
        <v>42751.530949074076</v>
      </c>
      <c r="H275" s="6">
        <v>11000</v>
      </c>
      <c r="I275" s="1" t="s">
        <v>1124</v>
      </c>
      <c r="J275" s="1" t="s">
        <v>1405</v>
      </c>
      <c r="K275" s="7">
        <v>42759.686742119055</v>
      </c>
      <c r="L275" s="6">
        <v>10740</v>
      </c>
    </row>
    <row r="276" spans="1:12" hidden="1" x14ac:dyDescent="0.25">
      <c r="A276" s="4">
        <v>274</v>
      </c>
      <c r="B276" s="2" t="str">
        <f>HYPERLINK("https://my.zakupki.prom.ua/remote/dispatcher/state_purchase_view/1784130", "UA-2017-01-26-001121-b")</f>
        <v>UA-2017-01-26-001121-b</v>
      </c>
      <c r="C276" s="1" t="s">
        <v>531</v>
      </c>
      <c r="D276" s="1" t="s">
        <v>136</v>
      </c>
      <c r="E276" s="1" t="s">
        <v>470</v>
      </c>
      <c r="F276" s="5">
        <v>42761</v>
      </c>
      <c r="G276" s="7">
        <v>42773.654027777775</v>
      </c>
      <c r="H276" s="6">
        <v>3706</v>
      </c>
      <c r="I276" s="1" t="s">
        <v>1304</v>
      </c>
      <c r="J276" s="1" t="s">
        <v>1405</v>
      </c>
      <c r="K276" s="7">
        <v>42780.461730477196</v>
      </c>
      <c r="L276" s="6">
        <v>2810</v>
      </c>
    </row>
    <row r="277" spans="1:12" hidden="1" x14ac:dyDescent="0.25">
      <c r="A277" s="4">
        <v>275</v>
      </c>
      <c r="B277" s="2" t="str">
        <f>HYPERLINK("https://my.zakupki.prom.ua/remote/dispatcher/state_purchase_view/1122330", "UA-2016-12-07-000685-a")</f>
        <v>UA-2016-12-07-000685-a</v>
      </c>
      <c r="C277" s="1" t="s">
        <v>728</v>
      </c>
      <c r="D277" s="1" t="s">
        <v>149</v>
      </c>
      <c r="E277" s="1" t="s">
        <v>470</v>
      </c>
      <c r="F277" s="5">
        <v>42711</v>
      </c>
      <c r="G277" s="1" t="s">
        <v>1398</v>
      </c>
      <c r="H277" s="6">
        <v>5000</v>
      </c>
      <c r="I277" s="1"/>
      <c r="J277" s="1" t="s">
        <v>1406</v>
      </c>
      <c r="K277" s="7">
        <v>42719.589318197905</v>
      </c>
      <c r="L277" s="1"/>
    </row>
    <row r="278" spans="1:12" hidden="1" x14ac:dyDescent="0.25">
      <c r="A278" s="4">
        <v>276</v>
      </c>
      <c r="B278" s="2" t="str">
        <f>HYPERLINK("https://my.zakupki.prom.ua/remote/dispatcher/state_purchase_view/3682995", "UA-2017-08-01-001269-b")</f>
        <v>UA-2017-08-01-001269-b</v>
      </c>
      <c r="C278" s="1" t="s">
        <v>373</v>
      </c>
      <c r="D278" s="1" t="s">
        <v>124</v>
      </c>
      <c r="E278" s="1" t="s">
        <v>470</v>
      </c>
      <c r="F278" s="5">
        <v>42948</v>
      </c>
      <c r="G278" s="1" t="s">
        <v>1398</v>
      </c>
      <c r="H278" s="6">
        <v>6489</v>
      </c>
      <c r="I278" s="1"/>
      <c r="J278" s="1" t="s">
        <v>1406</v>
      </c>
      <c r="K278" s="7">
        <v>42955.589758086782</v>
      </c>
      <c r="L278" s="1"/>
    </row>
    <row r="279" spans="1:12" hidden="1" x14ac:dyDescent="0.25">
      <c r="A279" s="4">
        <v>277</v>
      </c>
      <c r="B279" s="2" t="str">
        <f>HYPERLINK("https://my.zakupki.prom.ua/remote/dispatcher/state_purchase_view/4609112", "UA-2017-11-14-002845-a")</f>
        <v>UA-2017-11-14-002845-a</v>
      </c>
      <c r="C279" s="1" t="s">
        <v>559</v>
      </c>
      <c r="D279" s="1" t="s">
        <v>81</v>
      </c>
      <c r="E279" s="1" t="s">
        <v>470</v>
      </c>
      <c r="F279" s="5">
        <v>43053</v>
      </c>
      <c r="G279" s="1" t="s">
        <v>1398</v>
      </c>
      <c r="H279" s="6">
        <v>175000</v>
      </c>
      <c r="I279" s="1" t="s">
        <v>1320</v>
      </c>
      <c r="J279" s="1" t="s">
        <v>1405</v>
      </c>
      <c r="K279" s="7">
        <v>43067.727624947984</v>
      </c>
      <c r="L279" s="6">
        <v>172200</v>
      </c>
    </row>
    <row r="280" spans="1:12" hidden="1" x14ac:dyDescent="0.25">
      <c r="A280" s="4">
        <v>278</v>
      </c>
      <c r="B280" s="2" t="str">
        <f>HYPERLINK("https://my.zakupki.prom.ua/remote/dispatcher/state_purchase_view/2766320", "UA-2017-04-06-001886-b")</f>
        <v>UA-2017-04-06-001886-b</v>
      </c>
      <c r="C280" s="1" t="s">
        <v>792</v>
      </c>
      <c r="D280" s="1" t="s">
        <v>233</v>
      </c>
      <c r="E280" s="1" t="s">
        <v>470</v>
      </c>
      <c r="F280" s="5">
        <v>42831</v>
      </c>
      <c r="G280" s="1" t="s">
        <v>1398</v>
      </c>
      <c r="H280" s="6">
        <v>199000</v>
      </c>
      <c r="I280" s="1" t="s">
        <v>1135</v>
      </c>
      <c r="J280" s="1" t="s">
        <v>1419</v>
      </c>
      <c r="K280" s="7">
        <v>42850.431458435858</v>
      </c>
      <c r="L280" s="6">
        <v>198000</v>
      </c>
    </row>
    <row r="281" spans="1:12" hidden="1" x14ac:dyDescent="0.25">
      <c r="A281" s="4">
        <v>279</v>
      </c>
      <c r="B281" s="2" t="str">
        <f>HYPERLINK("https://my.zakupki.prom.ua/remote/dispatcher/state_purchase_view/4180138", "UA-2017-09-29-001267-c")</f>
        <v>UA-2017-09-29-001267-c</v>
      </c>
      <c r="C281" s="1" t="s">
        <v>915</v>
      </c>
      <c r="D281" s="1" t="s">
        <v>244</v>
      </c>
      <c r="E281" s="1" t="s">
        <v>390</v>
      </c>
      <c r="F281" s="5">
        <v>43007</v>
      </c>
      <c r="G281" s="7">
        <v>43025.478796296295</v>
      </c>
      <c r="H281" s="6">
        <v>310000</v>
      </c>
      <c r="I281" s="1" t="s">
        <v>1163</v>
      </c>
      <c r="J281" s="1" t="s">
        <v>1405</v>
      </c>
      <c r="K281" s="7">
        <v>43039.474074123915</v>
      </c>
      <c r="L281" s="6">
        <v>300000</v>
      </c>
    </row>
    <row r="282" spans="1:12" hidden="1" x14ac:dyDescent="0.25">
      <c r="A282" s="4">
        <v>280</v>
      </c>
      <c r="B282" s="2" t="str">
        <f>HYPERLINK("https://my.zakupki.prom.ua/remote/dispatcher/state_purchase_view/4278568", "UA-2017-10-11-001880-a")</f>
        <v>UA-2017-10-11-001880-a</v>
      </c>
      <c r="C282" s="1" t="s">
        <v>1022</v>
      </c>
      <c r="D282" s="1" t="s">
        <v>220</v>
      </c>
      <c r="E282" s="1" t="s">
        <v>488</v>
      </c>
      <c r="F282" s="5">
        <v>43019</v>
      </c>
      <c r="G282" s="1" t="s">
        <v>1397</v>
      </c>
      <c r="H282" s="6">
        <v>13338</v>
      </c>
      <c r="I282" s="1"/>
      <c r="J282" s="1" t="s">
        <v>1419</v>
      </c>
      <c r="K282" s="7">
        <v>43019.719430468736</v>
      </c>
      <c r="L282" s="1"/>
    </row>
    <row r="283" spans="1:12" hidden="1" x14ac:dyDescent="0.25">
      <c r="A283" s="4">
        <v>281</v>
      </c>
      <c r="B283" s="2" t="str">
        <f>HYPERLINK("https://my.zakupki.prom.ua/remote/dispatcher/state_purchase_view/4550003", "UA-2017-11-09-000422-c")</f>
        <v>UA-2017-11-09-000422-c</v>
      </c>
      <c r="C283" s="1" t="s">
        <v>541</v>
      </c>
      <c r="D283" s="1" t="s">
        <v>66</v>
      </c>
      <c r="E283" s="1" t="s">
        <v>470</v>
      </c>
      <c r="F283" s="5">
        <v>43048</v>
      </c>
      <c r="G283" s="7">
        <v>43059.467719907407</v>
      </c>
      <c r="H283" s="6">
        <v>16000</v>
      </c>
      <c r="I283" s="1" t="s">
        <v>1134</v>
      </c>
      <c r="J283" s="1" t="s">
        <v>1405</v>
      </c>
      <c r="K283" s="7">
        <v>43067.736005862869</v>
      </c>
      <c r="L283" s="6">
        <v>12100</v>
      </c>
    </row>
    <row r="284" spans="1:12" hidden="1" x14ac:dyDescent="0.25">
      <c r="A284" s="4">
        <v>282</v>
      </c>
      <c r="B284" s="2" t="str">
        <f>HYPERLINK("https://my.zakupki.prom.ua/remote/dispatcher/state_purchase_view/7206065", "UA-2018-05-22-001969-a")</f>
        <v>UA-2018-05-22-001969-a</v>
      </c>
      <c r="C284" s="1" t="s">
        <v>940</v>
      </c>
      <c r="D284" s="1" t="s">
        <v>184</v>
      </c>
      <c r="E284" s="1" t="s">
        <v>390</v>
      </c>
      <c r="F284" s="5">
        <v>43242</v>
      </c>
      <c r="G284" s="7">
        <v>43258.471759259257</v>
      </c>
      <c r="H284" s="6">
        <v>475000</v>
      </c>
      <c r="I284" s="1" t="s">
        <v>1131</v>
      </c>
      <c r="J284" s="1" t="s">
        <v>1405</v>
      </c>
      <c r="K284" s="7">
        <v>43276.740934931448</v>
      </c>
      <c r="L284" s="6">
        <v>452000</v>
      </c>
    </row>
    <row r="285" spans="1:12" hidden="1" x14ac:dyDescent="0.25">
      <c r="A285" s="4">
        <v>283</v>
      </c>
      <c r="B285" s="2" t="str">
        <f>HYPERLINK("https://my.zakupki.prom.ua/remote/dispatcher/state_purchase_view/7676452", "UA-2018-07-10-002039-a")</f>
        <v>UA-2018-07-10-002039-a</v>
      </c>
      <c r="C285" s="1" t="s">
        <v>957</v>
      </c>
      <c r="D285" s="1" t="s">
        <v>199</v>
      </c>
      <c r="E285" s="1" t="s">
        <v>488</v>
      </c>
      <c r="F285" s="5">
        <v>43291</v>
      </c>
      <c r="G285" s="1" t="s">
        <v>1397</v>
      </c>
      <c r="H285" s="6">
        <v>4914</v>
      </c>
      <c r="I285" s="1" t="s">
        <v>1378</v>
      </c>
      <c r="J285" s="1" t="s">
        <v>1405</v>
      </c>
      <c r="K285" s="7">
        <v>43291.717605630234</v>
      </c>
      <c r="L285" s="6">
        <v>4914</v>
      </c>
    </row>
    <row r="286" spans="1:12" hidden="1" x14ac:dyDescent="0.25">
      <c r="A286" s="4">
        <v>284</v>
      </c>
      <c r="B286" s="2" t="str">
        <f>HYPERLINK("https://my.zakupki.prom.ua/remote/dispatcher/state_purchase_view/8590057", "UA-2018-10-19-000361-b")</f>
        <v>UA-2018-10-19-000361-b</v>
      </c>
      <c r="C286" s="1" t="s">
        <v>1265</v>
      </c>
      <c r="D286" s="1" t="s">
        <v>30</v>
      </c>
      <c r="E286" s="1" t="s">
        <v>390</v>
      </c>
      <c r="F286" s="5">
        <v>43392</v>
      </c>
      <c r="G286" s="7">
        <v>43409.57916666667</v>
      </c>
      <c r="H286" s="6">
        <v>546000</v>
      </c>
      <c r="I286" s="1"/>
      <c r="J286" s="1" t="s">
        <v>1406</v>
      </c>
      <c r="K286" s="7">
        <v>43429.002680429825</v>
      </c>
      <c r="L286" s="1"/>
    </row>
    <row r="287" spans="1:12" hidden="1" x14ac:dyDescent="0.25">
      <c r="A287" s="4">
        <v>285</v>
      </c>
      <c r="B287" s="2" t="str">
        <f>HYPERLINK("https://my.zakupki.prom.ua/remote/dispatcher/state_purchase_view/6718196", "UA-2018-04-02-001794-a")</f>
        <v>UA-2018-04-02-001794-a</v>
      </c>
      <c r="C287" s="1" t="s">
        <v>292</v>
      </c>
      <c r="D287" s="1" t="s">
        <v>123</v>
      </c>
      <c r="E287" s="1" t="s">
        <v>390</v>
      </c>
      <c r="F287" s="5">
        <v>43192</v>
      </c>
      <c r="G287" s="7">
        <v>43208.550219907411</v>
      </c>
      <c r="H287" s="6">
        <v>1700000</v>
      </c>
      <c r="I287" s="1" t="s">
        <v>1184</v>
      </c>
      <c r="J287" s="1" t="s">
        <v>1405</v>
      </c>
      <c r="K287" s="7">
        <v>43227.552497698161</v>
      </c>
      <c r="L287" s="6">
        <v>1610000</v>
      </c>
    </row>
    <row r="288" spans="1:12" hidden="1" x14ac:dyDescent="0.25">
      <c r="A288" s="4">
        <v>286</v>
      </c>
      <c r="B288" s="2" t="str">
        <f>HYPERLINK("https://my.zakupki.prom.ua/remote/dispatcher/state_purchase_view/6768788", "UA-2018-04-06-000415-a")</f>
        <v>UA-2018-04-06-000415-a</v>
      </c>
      <c r="C288" s="1" t="s">
        <v>366</v>
      </c>
      <c r="D288" s="1" t="s">
        <v>61</v>
      </c>
      <c r="E288" s="1" t="s">
        <v>470</v>
      </c>
      <c r="F288" s="5">
        <v>43196</v>
      </c>
      <c r="G288" s="1" t="s">
        <v>1398</v>
      </c>
      <c r="H288" s="6">
        <v>197532</v>
      </c>
      <c r="I288" s="1" t="s">
        <v>1351</v>
      </c>
      <c r="J288" s="1" t="s">
        <v>1405</v>
      </c>
      <c r="K288" s="7">
        <v>43213.628868236978</v>
      </c>
      <c r="L288" s="6">
        <v>197500</v>
      </c>
    </row>
    <row r="289" spans="1:12" hidden="1" x14ac:dyDescent="0.25">
      <c r="A289" s="4">
        <v>287</v>
      </c>
      <c r="B289" s="2" t="str">
        <f>HYPERLINK("https://my.zakupki.prom.ua/remote/dispatcher/state_purchase_view/6974077", "UA-2018-04-27-000746-a")</f>
        <v>UA-2018-04-27-000746-a</v>
      </c>
      <c r="C289" s="1" t="s">
        <v>769</v>
      </c>
      <c r="D289" s="1" t="s">
        <v>233</v>
      </c>
      <c r="E289" s="1" t="s">
        <v>488</v>
      </c>
      <c r="F289" s="5">
        <v>43217</v>
      </c>
      <c r="G289" s="1" t="s">
        <v>1397</v>
      </c>
      <c r="H289" s="6">
        <v>198000</v>
      </c>
      <c r="I289" s="1" t="s">
        <v>543</v>
      </c>
      <c r="J289" s="1" t="s">
        <v>1405</v>
      </c>
      <c r="K289" s="7">
        <v>43217.509671884494</v>
      </c>
      <c r="L289" s="6">
        <v>198000</v>
      </c>
    </row>
    <row r="290" spans="1:12" hidden="1" x14ac:dyDescent="0.25">
      <c r="A290" s="4">
        <v>288</v>
      </c>
      <c r="B290" s="2" t="str">
        <f>HYPERLINK("https://my.zakupki.prom.ua/remote/dispatcher/state_purchase_view/7476674", "UA-2018-06-18-002898-a")</f>
        <v>UA-2018-06-18-002898-a</v>
      </c>
      <c r="C290" s="1" t="s">
        <v>1274</v>
      </c>
      <c r="D290" s="1" t="s">
        <v>195</v>
      </c>
      <c r="E290" s="1" t="s">
        <v>488</v>
      </c>
      <c r="F290" s="5">
        <v>43269</v>
      </c>
      <c r="G290" s="1" t="s">
        <v>1397</v>
      </c>
      <c r="H290" s="6">
        <v>64915</v>
      </c>
      <c r="I290" s="1" t="s">
        <v>543</v>
      </c>
      <c r="J290" s="1" t="s">
        <v>1405</v>
      </c>
      <c r="K290" s="7">
        <v>43269.723598311073</v>
      </c>
      <c r="L290" s="6">
        <v>64915</v>
      </c>
    </row>
    <row r="291" spans="1:12" hidden="1" x14ac:dyDescent="0.25">
      <c r="A291" s="4">
        <v>289</v>
      </c>
      <c r="B291" s="2" t="str">
        <f>HYPERLINK("https://my.zakupki.prom.ua/remote/dispatcher/state_purchase_view/7557508", "UA-2018-06-25-001392-a")</f>
        <v>UA-2018-06-25-001392-a</v>
      </c>
      <c r="C291" s="1" t="s">
        <v>297</v>
      </c>
      <c r="D291" s="1" t="s">
        <v>228</v>
      </c>
      <c r="E291" s="1" t="s">
        <v>488</v>
      </c>
      <c r="F291" s="5">
        <v>43276</v>
      </c>
      <c r="G291" s="1" t="s">
        <v>1397</v>
      </c>
      <c r="H291" s="6">
        <v>5700</v>
      </c>
      <c r="I291" s="1" t="s">
        <v>721</v>
      </c>
      <c r="J291" s="1" t="s">
        <v>1405</v>
      </c>
      <c r="K291" s="7">
        <v>43276.660617943169</v>
      </c>
      <c r="L291" s="6">
        <v>5700</v>
      </c>
    </row>
    <row r="292" spans="1:12" hidden="1" x14ac:dyDescent="0.25">
      <c r="A292" s="4">
        <v>290</v>
      </c>
      <c r="B292" s="2" t="str">
        <f>HYPERLINK("https://my.zakupki.prom.ua/remote/dispatcher/state_purchase_view/7903239", "UA-2018-08-06-000633-b")</f>
        <v>UA-2018-08-06-000633-b</v>
      </c>
      <c r="C292" s="1" t="s">
        <v>1026</v>
      </c>
      <c r="D292" s="1" t="s">
        <v>220</v>
      </c>
      <c r="E292" s="1" t="s">
        <v>488</v>
      </c>
      <c r="F292" s="5">
        <v>43318</v>
      </c>
      <c r="G292" s="1" t="s">
        <v>1397</v>
      </c>
      <c r="H292" s="6">
        <v>29000</v>
      </c>
      <c r="I292" s="1" t="s">
        <v>738</v>
      </c>
      <c r="J292" s="1" t="s">
        <v>1405</v>
      </c>
      <c r="K292" s="7">
        <v>43318.478369264674</v>
      </c>
      <c r="L292" s="6">
        <v>29000</v>
      </c>
    </row>
    <row r="293" spans="1:12" hidden="1" x14ac:dyDescent="0.25">
      <c r="A293" s="4">
        <v>291</v>
      </c>
      <c r="B293" s="2" t="str">
        <f>HYPERLINK("https://my.zakupki.prom.ua/remote/dispatcher/state_purchase_view/6495977", "UA-2018-03-14-000648-c")</f>
        <v>UA-2018-03-14-000648-c</v>
      </c>
      <c r="C293" s="1" t="s">
        <v>1034</v>
      </c>
      <c r="D293" s="1" t="s">
        <v>220</v>
      </c>
      <c r="E293" s="1" t="s">
        <v>488</v>
      </c>
      <c r="F293" s="5">
        <v>43173</v>
      </c>
      <c r="G293" s="1" t="s">
        <v>1397</v>
      </c>
      <c r="H293" s="6">
        <v>320000</v>
      </c>
      <c r="I293" s="1" t="s">
        <v>1233</v>
      </c>
      <c r="J293" s="1" t="s">
        <v>1405</v>
      </c>
      <c r="K293" s="7">
        <v>43173.494837265731</v>
      </c>
      <c r="L293" s="6">
        <v>320000</v>
      </c>
    </row>
    <row r="294" spans="1:12" hidden="1" x14ac:dyDescent="0.25">
      <c r="A294" s="4">
        <v>292</v>
      </c>
      <c r="B294" s="2" t="str">
        <f>HYPERLINK("https://my.zakupki.prom.ua/remote/dispatcher/state_purchase_view/20673675", "UA-2020-11-02-008477-c")</f>
        <v>UA-2020-11-02-008477-c</v>
      </c>
      <c r="C294" s="1" t="s">
        <v>503</v>
      </c>
      <c r="D294" s="1" t="s">
        <v>81</v>
      </c>
      <c r="E294" s="1" t="s">
        <v>488</v>
      </c>
      <c r="F294" s="5">
        <v>44137</v>
      </c>
      <c r="G294" s="1" t="s">
        <v>1397</v>
      </c>
      <c r="H294" s="6">
        <v>2085</v>
      </c>
      <c r="I294" s="1" t="s">
        <v>1236</v>
      </c>
      <c r="J294" s="1" t="s">
        <v>1405</v>
      </c>
      <c r="K294" s="7">
        <v>44137.691093245623</v>
      </c>
      <c r="L294" s="6">
        <v>2085</v>
      </c>
    </row>
    <row r="295" spans="1:12" hidden="1" x14ac:dyDescent="0.25">
      <c r="A295" s="4">
        <v>293</v>
      </c>
      <c r="B295" s="2" t="str">
        <f>HYPERLINK("https://my.zakupki.prom.ua/remote/dispatcher/state_purchase_view/11562572", "UA-2019-05-13-001876-a")</f>
        <v>UA-2019-05-13-001876-a</v>
      </c>
      <c r="C295" s="1" t="s">
        <v>1000</v>
      </c>
      <c r="D295" s="1" t="s">
        <v>220</v>
      </c>
      <c r="E295" s="1" t="s">
        <v>488</v>
      </c>
      <c r="F295" s="5">
        <v>43598</v>
      </c>
      <c r="G295" s="1" t="s">
        <v>1397</v>
      </c>
      <c r="H295" s="6">
        <v>40500</v>
      </c>
      <c r="I295" s="1" t="s">
        <v>1192</v>
      </c>
      <c r="J295" s="1" t="s">
        <v>1405</v>
      </c>
      <c r="K295" s="7">
        <v>43598.679600399933</v>
      </c>
      <c r="L295" s="6">
        <v>40500</v>
      </c>
    </row>
    <row r="296" spans="1:12" hidden="1" x14ac:dyDescent="0.25">
      <c r="A296" s="4">
        <v>294</v>
      </c>
      <c r="B296" s="2" t="str">
        <f>HYPERLINK("https://my.zakupki.prom.ua/remote/dispatcher/state_purchase_view/11661283", "UA-2019-05-21-002071-a")</f>
        <v>UA-2019-05-21-002071-a</v>
      </c>
      <c r="C296" s="1" t="s">
        <v>466</v>
      </c>
      <c r="D296" s="1" t="s">
        <v>123</v>
      </c>
      <c r="E296" s="1" t="s">
        <v>390</v>
      </c>
      <c r="F296" s="5">
        <v>43606</v>
      </c>
      <c r="G296" s="7">
        <v>43622.543090277781</v>
      </c>
      <c r="H296" s="6">
        <v>1065400</v>
      </c>
      <c r="I296" s="1" t="s">
        <v>1184</v>
      </c>
      <c r="J296" s="1" t="s">
        <v>1405</v>
      </c>
      <c r="K296" s="7">
        <v>43634.477373800211</v>
      </c>
      <c r="L296" s="6">
        <v>1060000</v>
      </c>
    </row>
    <row r="297" spans="1:12" hidden="1" x14ac:dyDescent="0.25">
      <c r="A297" s="4">
        <v>295</v>
      </c>
      <c r="B297" s="2" t="str">
        <f>HYPERLINK("https://my.zakupki.prom.ua/remote/dispatcher/state_purchase_view/11667135", "UA-2019-05-22-000317-a")</f>
        <v>UA-2019-05-22-000317-a</v>
      </c>
      <c r="C297" s="1" t="s">
        <v>282</v>
      </c>
      <c r="D297" s="1" t="s">
        <v>188</v>
      </c>
      <c r="E297" s="1" t="s">
        <v>390</v>
      </c>
      <c r="F297" s="5">
        <v>43607</v>
      </c>
      <c r="G297" s="7">
        <v>43623.537361111114</v>
      </c>
      <c r="H297" s="6">
        <v>400000</v>
      </c>
      <c r="I297" s="1" t="s">
        <v>1322</v>
      </c>
      <c r="J297" s="1" t="s">
        <v>1405</v>
      </c>
      <c r="K297" s="7">
        <v>43640.429427418181</v>
      </c>
      <c r="L297" s="6">
        <v>367985.68</v>
      </c>
    </row>
    <row r="298" spans="1:12" hidden="1" x14ac:dyDescent="0.25">
      <c r="A298" s="4">
        <v>296</v>
      </c>
      <c r="B298" s="2" t="str">
        <f>HYPERLINK("https://my.zakupki.prom.ua/remote/dispatcher/state_purchase_view/11811959", "UA-2019-06-04-001778-b")</f>
        <v>UA-2019-06-04-001778-b</v>
      </c>
      <c r="C298" s="1" t="s">
        <v>308</v>
      </c>
      <c r="D298" s="1" t="s">
        <v>176</v>
      </c>
      <c r="E298" s="1" t="s">
        <v>470</v>
      </c>
      <c r="F298" s="5">
        <v>43620</v>
      </c>
      <c r="G298" s="7">
        <v>43628.47084490741</v>
      </c>
      <c r="H298" s="6">
        <v>80000</v>
      </c>
      <c r="I298" s="1" t="s">
        <v>1137</v>
      </c>
      <c r="J298" s="1" t="s">
        <v>1405</v>
      </c>
      <c r="K298" s="7">
        <v>43640.435733624436</v>
      </c>
      <c r="L298" s="6">
        <v>80000</v>
      </c>
    </row>
    <row r="299" spans="1:12" hidden="1" x14ac:dyDescent="0.25">
      <c r="A299" s="4">
        <v>297</v>
      </c>
      <c r="B299" s="2" t="str">
        <f>HYPERLINK("https://my.zakupki.prom.ua/remote/dispatcher/state_purchase_view/10705078", "UA-2019-02-25-000749-b")</f>
        <v>UA-2019-02-25-000749-b</v>
      </c>
      <c r="C299" s="1" t="s">
        <v>673</v>
      </c>
      <c r="D299" s="1" t="s">
        <v>111</v>
      </c>
      <c r="E299" s="1" t="s">
        <v>390</v>
      </c>
      <c r="F299" s="5">
        <v>43521</v>
      </c>
      <c r="G299" s="7">
        <v>43537.537465277775</v>
      </c>
      <c r="H299" s="6">
        <v>280323</v>
      </c>
      <c r="I299" s="1" t="s">
        <v>1313</v>
      </c>
      <c r="J299" s="1" t="s">
        <v>1405</v>
      </c>
      <c r="K299" s="7">
        <v>43549.40215568478</v>
      </c>
      <c r="L299" s="6">
        <v>280020</v>
      </c>
    </row>
    <row r="300" spans="1:12" hidden="1" x14ac:dyDescent="0.25">
      <c r="A300" s="4">
        <v>298</v>
      </c>
      <c r="B300" s="2" t="str">
        <f>HYPERLINK("https://my.zakupki.prom.ua/remote/dispatcher/state_purchase_view/10933735", "UA-2019-03-15-000436-a")</f>
        <v>UA-2019-03-15-000436-a</v>
      </c>
      <c r="C300" s="1" t="s">
        <v>553</v>
      </c>
      <c r="D300" s="1" t="s">
        <v>96</v>
      </c>
      <c r="E300" s="1" t="s">
        <v>470</v>
      </c>
      <c r="F300" s="5">
        <v>43539</v>
      </c>
      <c r="G300" s="7">
        <v>43550.595567129632</v>
      </c>
      <c r="H300" s="6">
        <v>170000</v>
      </c>
      <c r="I300" s="1" t="s">
        <v>1110</v>
      </c>
      <c r="J300" s="1" t="s">
        <v>1405</v>
      </c>
      <c r="K300" s="7">
        <v>43558.448262345577</v>
      </c>
      <c r="L300" s="6">
        <v>167439</v>
      </c>
    </row>
    <row r="301" spans="1:12" hidden="1" x14ac:dyDescent="0.25">
      <c r="A301" s="4">
        <v>299</v>
      </c>
      <c r="B301" s="2" t="str">
        <f>HYPERLINK("https://my.zakupki.prom.ua/remote/dispatcher/state_purchase_view/12657361", "UA-2019-08-28-000711-a")</f>
        <v>UA-2019-08-28-000711-a</v>
      </c>
      <c r="C301" s="1" t="s">
        <v>279</v>
      </c>
      <c r="D301" s="1" t="s">
        <v>193</v>
      </c>
      <c r="E301" s="1" t="s">
        <v>390</v>
      </c>
      <c r="F301" s="5">
        <v>43705</v>
      </c>
      <c r="G301" s="7">
        <v>43724.500393518516</v>
      </c>
      <c r="H301" s="6">
        <v>356000</v>
      </c>
      <c r="I301" s="1" t="s">
        <v>1331</v>
      </c>
      <c r="J301" s="1" t="s">
        <v>1405</v>
      </c>
      <c r="K301" s="7">
        <v>43738.451173301924</v>
      </c>
      <c r="L301" s="6">
        <v>352444.26</v>
      </c>
    </row>
    <row r="302" spans="1:12" hidden="1" x14ac:dyDescent="0.25">
      <c r="A302" s="4">
        <v>300</v>
      </c>
      <c r="B302" s="2" t="str">
        <f>HYPERLINK("https://my.zakupki.prom.ua/remote/dispatcher/state_purchase_view/7567486", "UA-2018-06-26-000921-a")</f>
        <v>UA-2018-06-26-000921-a</v>
      </c>
      <c r="C302" s="1" t="s">
        <v>676</v>
      </c>
      <c r="D302" s="1" t="s">
        <v>172</v>
      </c>
      <c r="E302" s="1" t="s">
        <v>470</v>
      </c>
      <c r="F302" s="5">
        <v>43277</v>
      </c>
      <c r="G302" s="1" t="s">
        <v>1398</v>
      </c>
      <c r="H302" s="6">
        <v>115000</v>
      </c>
      <c r="I302" s="1" t="s">
        <v>1313</v>
      </c>
      <c r="J302" s="1" t="s">
        <v>1405</v>
      </c>
      <c r="K302" s="7">
        <v>43290.737453982998</v>
      </c>
      <c r="L302" s="6">
        <v>114960</v>
      </c>
    </row>
    <row r="303" spans="1:12" hidden="1" x14ac:dyDescent="0.25">
      <c r="A303" s="4">
        <v>301</v>
      </c>
      <c r="B303" s="2" t="str">
        <f>HYPERLINK("https://my.zakupki.prom.ua/remote/dispatcher/state_purchase_view/11493878", "UA-2019-05-06-001953-a")</f>
        <v>UA-2019-05-06-001953-a</v>
      </c>
      <c r="C303" s="1" t="s">
        <v>1007</v>
      </c>
      <c r="D303" s="1" t="s">
        <v>226</v>
      </c>
      <c r="E303" s="1" t="s">
        <v>488</v>
      </c>
      <c r="F303" s="5">
        <v>43591</v>
      </c>
      <c r="G303" s="1" t="s">
        <v>1397</v>
      </c>
      <c r="H303" s="6">
        <v>574000</v>
      </c>
      <c r="I303" s="1" t="s">
        <v>644</v>
      </c>
      <c r="J303" s="1" t="s">
        <v>1405</v>
      </c>
      <c r="K303" s="7">
        <v>43591.749195856166</v>
      </c>
      <c r="L303" s="6">
        <v>574000</v>
      </c>
    </row>
    <row r="304" spans="1:12" hidden="1" x14ac:dyDescent="0.25">
      <c r="A304" s="4">
        <v>302</v>
      </c>
      <c r="B304" s="2" t="str">
        <f>HYPERLINK("https://my.zakupki.prom.ua/remote/dispatcher/state_purchase_view/11224537", "UA-2019-04-08-002299-a")</f>
        <v>UA-2019-04-08-002299-a</v>
      </c>
      <c r="C304" s="1" t="s">
        <v>285</v>
      </c>
      <c r="D304" s="1" t="s">
        <v>183</v>
      </c>
      <c r="E304" s="1" t="s">
        <v>722</v>
      </c>
      <c r="F304" s="5">
        <v>43563</v>
      </c>
      <c r="G304" s="1" t="s">
        <v>1397</v>
      </c>
      <c r="H304" s="6">
        <v>25287506</v>
      </c>
      <c r="I304" s="1" t="s">
        <v>1197</v>
      </c>
      <c r="J304" s="1" t="s">
        <v>1405</v>
      </c>
      <c r="K304" s="7">
        <v>43578.411829657394</v>
      </c>
      <c r="L304" s="6">
        <v>25287506</v>
      </c>
    </row>
    <row r="305" spans="1:12" hidden="1" x14ac:dyDescent="0.25">
      <c r="A305" s="4">
        <v>303</v>
      </c>
      <c r="B305" s="2" t="str">
        <f>HYPERLINK("https://my.zakupki.prom.ua/remote/dispatcher/state_purchase_view/14445963", "UA-2020-01-13-000087-c")</f>
        <v>UA-2020-01-13-000087-c</v>
      </c>
      <c r="C305" s="1" t="s">
        <v>786</v>
      </c>
      <c r="D305" s="1" t="s">
        <v>200</v>
      </c>
      <c r="E305" s="1" t="s">
        <v>470</v>
      </c>
      <c r="F305" s="5">
        <v>43843</v>
      </c>
      <c r="G305" s="1" t="s">
        <v>1398</v>
      </c>
      <c r="H305" s="6">
        <v>70000</v>
      </c>
      <c r="I305" s="1" t="s">
        <v>1320</v>
      </c>
      <c r="J305" s="1" t="s">
        <v>1405</v>
      </c>
      <c r="K305" s="7">
        <v>43858.486362148389</v>
      </c>
      <c r="L305" s="6">
        <v>64700</v>
      </c>
    </row>
    <row r="306" spans="1:12" hidden="1" x14ac:dyDescent="0.25">
      <c r="A306" s="4">
        <v>304</v>
      </c>
      <c r="B306" s="2" t="str">
        <f>HYPERLINK("https://my.zakupki.prom.ua/remote/dispatcher/state_purchase_view/13880143", "UA-2019-12-05-001898-b")</f>
        <v>UA-2019-12-05-001898-b</v>
      </c>
      <c r="C306" s="1" t="s">
        <v>673</v>
      </c>
      <c r="D306" s="1" t="s">
        <v>111</v>
      </c>
      <c r="E306" s="1" t="s">
        <v>470</v>
      </c>
      <c r="F306" s="5">
        <v>43804</v>
      </c>
      <c r="G306" s="1" t="s">
        <v>1398</v>
      </c>
      <c r="H306" s="6">
        <v>65700</v>
      </c>
      <c r="I306" s="1" t="s">
        <v>1313</v>
      </c>
      <c r="J306" s="1" t="s">
        <v>1405</v>
      </c>
      <c r="K306" s="7">
        <v>43816.709286499245</v>
      </c>
      <c r="L306" s="6">
        <v>65100</v>
      </c>
    </row>
    <row r="307" spans="1:12" hidden="1" x14ac:dyDescent="0.25">
      <c r="A307" s="4">
        <v>305</v>
      </c>
      <c r="B307" s="2" t="str">
        <f>HYPERLINK("https://my.zakupki.prom.ua/remote/dispatcher/state_purchase_view/15775779", "UA-2020-03-16-001304-b")</f>
        <v>UA-2020-03-16-001304-b</v>
      </c>
      <c r="C307" s="1" t="s">
        <v>986</v>
      </c>
      <c r="D307" s="1" t="s">
        <v>90</v>
      </c>
      <c r="E307" s="1" t="s">
        <v>470</v>
      </c>
      <c r="F307" s="5">
        <v>43906</v>
      </c>
      <c r="G307" s="7">
        <v>43914.502129629633</v>
      </c>
      <c r="H307" s="6">
        <v>18300</v>
      </c>
      <c r="I307" s="1" t="s">
        <v>1330</v>
      </c>
      <c r="J307" s="1" t="s">
        <v>1405</v>
      </c>
      <c r="K307" s="7">
        <v>43922.569601943818</v>
      </c>
      <c r="L307" s="6">
        <v>16470</v>
      </c>
    </row>
    <row r="308" spans="1:12" hidden="1" x14ac:dyDescent="0.25">
      <c r="A308" s="4">
        <v>306</v>
      </c>
      <c r="B308" s="2" t="str">
        <f>HYPERLINK("https://my.zakupki.prom.ua/remote/dispatcher/state_purchase_view/13217343", "UA-2019-10-17-003824-b")</f>
        <v>UA-2019-10-17-003824-b</v>
      </c>
      <c r="C308" s="1" t="s">
        <v>1087</v>
      </c>
      <c r="D308" s="1" t="s">
        <v>191</v>
      </c>
      <c r="E308" s="1" t="s">
        <v>488</v>
      </c>
      <c r="F308" s="5">
        <v>43755</v>
      </c>
      <c r="G308" s="1" t="s">
        <v>1397</v>
      </c>
      <c r="H308" s="6">
        <v>68640</v>
      </c>
      <c r="I308" s="1" t="s">
        <v>312</v>
      </c>
      <c r="J308" s="1" t="s">
        <v>1405</v>
      </c>
      <c r="K308" s="7">
        <v>43755.711783679319</v>
      </c>
      <c r="L308" s="6">
        <v>68640</v>
      </c>
    </row>
    <row r="309" spans="1:12" hidden="1" x14ac:dyDescent="0.25">
      <c r="A309" s="4">
        <v>307</v>
      </c>
      <c r="B309" s="2" t="str">
        <f>HYPERLINK("https://my.zakupki.prom.ua/remote/dispatcher/state_purchase_view/13277406", "UA-2019-10-23-000774-b")</f>
        <v>UA-2019-10-23-000774-b</v>
      </c>
      <c r="C309" s="1" t="s">
        <v>633</v>
      </c>
      <c r="D309" s="1" t="s">
        <v>187</v>
      </c>
      <c r="E309" s="1" t="s">
        <v>390</v>
      </c>
      <c r="F309" s="5">
        <v>43761</v>
      </c>
      <c r="G309" s="7">
        <v>43782.630509259259</v>
      </c>
      <c r="H309" s="6">
        <v>270000</v>
      </c>
      <c r="I309" s="1" t="s">
        <v>700</v>
      </c>
      <c r="J309" s="1" t="s">
        <v>1405</v>
      </c>
      <c r="K309" s="7">
        <v>43794.48545423527</v>
      </c>
      <c r="L309" s="6">
        <v>250118</v>
      </c>
    </row>
    <row r="310" spans="1:12" hidden="1" x14ac:dyDescent="0.25">
      <c r="A310" s="4">
        <v>308</v>
      </c>
      <c r="B310" s="2" t="str">
        <f>HYPERLINK("https://my.zakupki.prom.ua/remote/dispatcher/state_purchase_view/13242630", "UA-2019-10-21-001078-b")</f>
        <v>UA-2019-10-21-001078-b</v>
      </c>
      <c r="C310" s="1" t="s">
        <v>412</v>
      </c>
      <c r="D310" s="1" t="s">
        <v>181</v>
      </c>
      <c r="E310" s="1" t="s">
        <v>470</v>
      </c>
      <c r="F310" s="5">
        <v>43759</v>
      </c>
      <c r="G310" s="7">
        <v>43767.518194444441</v>
      </c>
      <c r="H310" s="6">
        <v>3150</v>
      </c>
      <c r="I310" s="1" t="s">
        <v>313</v>
      </c>
      <c r="J310" s="1" t="s">
        <v>1405</v>
      </c>
      <c r="K310" s="7">
        <v>43775.637340250651</v>
      </c>
      <c r="L310" s="6">
        <v>2898</v>
      </c>
    </row>
    <row r="311" spans="1:12" hidden="1" x14ac:dyDescent="0.25">
      <c r="A311" s="4">
        <v>309</v>
      </c>
      <c r="B311" s="2" t="str">
        <f>HYPERLINK("https://my.zakupki.prom.ua/remote/dispatcher/state_purchase_view/9768547", "UA-2019-01-14-000973-c")</f>
        <v>UA-2019-01-14-000973-c</v>
      </c>
      <c r="C311" s="1" t="s">
        <v>386</v>
      </c>
      <c r="D311" s="1" t="s">
        <v>169</v>
      </c>
      <c r="E311" s="1" t="s">
        <v>470</v>
      </c>
      <c r="F311" s="5">
        <v>43479</v>
      </c>
      <c r="G311" s="1" t="s">
        <v>1398</v>
      </c>
      <c r="H311" s="6">
        <v>118000</v>
      </c>
      <c r="I311" s="1"/>
      <c r="J311" s="1" t="s">
        <v>1419</v>
      </c>
      <c r="K311" s="7">
        <v>43482.420575100252</v>
      </c>
      <c r="L311" s="1"/>
    </row>
    <row r="312" spans="1:12" hidden="1" x14ac:dyDescent="0.25">
      <c r="A312" s="4">
        <v>310</v>
      </c>
      <c r="B312" s="2" t="str">
        <f>HYPERLINK("https://my.zakupki.prom.ua/remote/dispatcher/state_purchase_view/10723889", "UA-2019-02-26-000712-b")</f>
        <v>UA-2019-02-26-000712-b</v>
      </c>
      <c r="C312" s="1" t="s">
        <v>1385</v>
      </c>
      <c r="D312" s="1" t="s">
        <v>114</v>
      </c>
      <c r="E312" s="1" t="s">
        <v>470</v>
      </c>
      <c r="F312" s="5">
        <v>43522</v>
      </c>
      <c r="G312" s="7">
        <v>43530.641608796293</v>
      </c>
      <c r="H312" s="6">
        <v>28000</v>
      </c>
      <c r="I312" s="1" t="s">
        <v>706</v>
      </c>
      <c r="J312" s="1" t="s">
        <v>1405</v>
      </c>
      <c r="K312" s="7">
        <v>43543.392066425127</v>
      </c>
      <c r="L312" s="6">
        <v>24000</v>
      </c>
    </row>
    <row r="313" spans="1:12" hidden="1" x14ac:dyDescent="0.25">
      <c r="A313" s="4">
        <v>311</v>
      </c>
      <c r="B313" s="2" t="str">
        <f>HYPERLINK("https://my.zakupki.prom.ua/remote/dispatcher/state_purchase_view/11213023", "UA-2019-04-08-000448-a")</f>
        <v>UA-2019-04-08-000448-a</v>
      </c>
      <c r="C313" s="1" t="s">
        <v>714</v>
      </c>
      <c r="D313" s="1" t="s">
        <v>32</v>
      </c>
      <c r="E313" s="1" t="s">
        <v>470</v>
      </c>
      <c r="F313" s="5">
        <v>43563</v>
      </c>
      <c r="G313" s="7">
        <v>43572.584409722222</v>
      </c>
      <c r="H313" s="6">
        <v>137400</v>
      </c>
      <c r="I313" s="1" t="s">
        <v>1212</v>
      </c>
      <c r="J313" s="1" t="s">
        <v>1405</v>
      </c>
      <c r="K313" s="7">
        <v>43577.74082663811</v>
      </c>
      <c r="L313" s="6">
        <v>135000</v>
      </c>
    </row>
    <row r="314" spans="1:12" hidden="1" x14ac:dyDescent="0.25">
      <c r="A314" s="4">
        <v>312</v>
      </c>
      <c r="B314" s="2" t="str">
        <f>HYPERLINK("https://my.zakupki.prom.ua/remote/dispatcher/state_purchase_view/13432395", "UA-2019-11-05-000444-b")</f>
        <v>UA-2019-11-05-000444-b</v>
      </c>
      <c r="C314" s="1" t="s">
        <v>521</v>
      </c>
      <c r="D314" s="1" t="s">
        <v>174</v>
      </c>
      <c r="E314" s="1" t="s">
        <v>470</v>
      </c>
      <c r="F314" s="5">
        <v>43774</v>
      </c>
      <c r="G314" s="7">
        <v>43782.55159722222</v>
      </c>
      <c r="H314" s="6">
        <v>69780</v>
      </c>
      <c r="I314" s="1" t="s">
        <v>1320</v>
      </c>
      <c r="J314" s="1" t="s">
        <v>1405</v>
      </c>
      <c r="K314" s="7">
        <v>43790.714150261621</v>
      </c>
      <c r="L314" s="6">
        <v>68900</v>
      </c>
    </row>
    <row r="315" spans="1:12" hidden="1" x14ac:dyDescent="0.25">
      <c r="A315" s="4">
        <v>313</v>
      </c>
      <c r="B315" s="2" t="str">
        <f>HYPERLINK("https://my.zakupki.prom.ua/remote/dispatcher/state_purchase_view/16479793", "UA-2020-04-27-001431-b")</f>
        <v>UA-2020-04-27-001431-b</v>
      </c>
      <c r="C315" s="1" t="s">
        <v>413</v>
      </c>
      <c r="D315" s="1" t="s">
        <v>100</v>
      </c>
      <c r="E315" s="1" t="s">
        <v>488</v>
      </c>
      <c r="F315" s="5">
        <v>43948</v>
      </c>
      <c r="G315" s="1" t="s">
        <v>1397</v>
      </c>
      <c r="H315" s="6">
        <v>7500</v>
      </c>
      <c r="I315" s="1" t="s">
        <v>1362</v>
      </c>
      <c r="J315" s="1" t="s">
        <v>1405</v>
      </c>
      <c r="K315" s="7">
        <v>43948.597692754644</v>
      </c>
      <c r="L315" s="6">
        <v>7500</v>
      </c>
    </row>
    <row r="316" spans="1:12" hidden="1" x14ac:dyDescent="0.25">
      <c r="A316" s="4">
        <v>314</v>
      </c>
      <c r="B316" s="2" t="str">
        <f>HYPERLINK("https://my.zakupki.prom.ua/remote/dispatcher/state_purchase_view/16369988", "UA-2020-04-17-000603-b")</f>
        <v>UA-2020-04-17-000603-b</v>
      </c>
      <c r="C316" s="1" t="s">
        <v>575</v>
      </c>
      <c r="D316" s="1" t="s">
        <v>111</v>
      </c>
      <c r="E316" s="1" t="s">
        <v>470</v>
      </c>
      <c r="F316" s="5">
        <v>43938</v>
      </c>
      <c r="G316" s="1" t="s">
        <v>1398</v>
      </c>
      <c r="H316" s="6">
        <v>35000</v>
      </c>
      <c r="I316" s="1" t="s">
        <v>1313</v>
      </c>
      <c r="J316" s="1" t="s">
        <v>1405</v>
      </c>
      <c r="K316" s="7">
        <v>43949.574073563046</v>
      </c>
      <c r="L316" s="6">
        <v>35000</v>
      </c>
    </row>
    <row r="317" spans="1:12" hidden="1" x14ac:dyDescent="0.25">
      <c r="A317" s="4">
        <v>315</v>
      </c>
      <c r="B317" s="2" t="str">
        <f>HYPERLINK("https://my.zakupki.prom.ua/remote/dispatcher/state_purchase_view/19476037", "UA-2020-09-22-004197-b")</f>
        <v>UA-2020-09-22-004197-b</v>
      </c>
      <c r="C317" s="1" t="s">
        <v>860</v>
      </c>
      <c r="D317" s="1" t="s">
        <v>188</v>
      </c>
      <c r="E317" s="1" t="s">
        <v>1086</v>
      </c>
      <c r="F317" s="5">
        <v>44096</v>
      </c>
      <c r="G317" s="1" t="s">
        <v>1398</v>
      </c>
      <c r="H317" s="6">
        <v>198961</v>
      </c>
      <c r="I317" s="1" t="s">
        <v>1143</v>
      </c>
      <c r="J317" s="1" t="s">
        <v>1405</v>
      </c>
      <c r="K317" s="7">
        <v>44126.81690783146</v>
      </c>
      <c r="L317" s="6">
        <v>184351.54</v>
      </c>
    </row>
    <row r="318" spans="1:12" hidden="1" x14ac:dyDescent="0.25">
      <c r="A318" s="4">
        <v>316</v>
      </c>
      <c r="B318" s="2" t="str">
        <f>HYPERLINK("https://my.zakupki.prom.ua/remote/dispatcher/state_purchase_view/4846077", "UA-2017-12-04-002498-c")</f>
        <v>UA-2017-12-04-002498-c</v>
      </c>
      <c r="C318" s="1" t="s">
        <v>1074</v>
      </c>
      <c r="D318" s="1" t="s">
        <v>44</v>
      </c>
      <c r="E318" s="1" t="s">
        <v>470</v>
      </c>
      <c r="F318" s="5">
        <v>43073</v>
      </c>
      <c r="G318" s="1" t="s">
        <v>1398</v>
      </c>
      <c r="H318" s="6">
        <v>65000</v>
      </c>
      <c r="I318" s="1" t="s">
        <v>449</v>
      </c>
      <c r="J318" s="1" t="s">
        <v>1405</v>
      </c>
      <c r="K318" s="7">
        <v>43087.593170315216</v>
      </c>
      <c r="L318" s="6">
        <v>65000</v>
      </c>
    </row>
    <row r="319" spans="1:12" hidden="1" x14ac:dyDescent="0.25">
      <c r="A319" s="4">
        <v>317</v>
      </c>
      <c r="B319" s="2" t="str">
        <f>HYPERLINK("https://my.zakupki.prom.ua/remote/dispatcher/state_purchase_view/5021686", "UA-2017-12-14-002972-b")</f>
        <v>UA-2017-12-14-002972-b</v>
      </c>
      <c r="C319" s="1" t="s">
        <v>540</v>
      </c>
      <c r="D319" s="1" t="s">
        <v>74</v>
      </c>
      <c r="E319" s="1" t="s">
        <v>470</v>
      </c>
      <c r="F319" s="5">
        <v>43083</v>
      </c>
      <c r="G319" s="7">
        <v>43091.522418981483</v>
      </c>
      <c r="H319" s="6">
        <v>12000</v>
      </c>
      <c r="I319" s="1" t="s">
        <v>1320</v>
      </c>
      <c r="J319" s="1" t="s">
        <v>1405</v>
      </c>
      <c r="K319" s="7">
        <v>43098.498513207676</v>
      </c>
      <c r="L319" s="6">
        <v>11980</v>
      </c>
    </row>
    <row r="320" spans="1:12" hidden="1" x14ac:dyDescent="0.25">
      <c r="A320" s="4">
        <v>318</v>
      </c>
      <c r="B320" s="2" t="str">
        <f>HYPERLINK("https://my.zakupki.prom.ua/remote/dispatcher/state_purchase_view/5042515", "UA-2017-12-15-002674-b")</f>
        <v>UA-2017-12-15-002674-b</v>
      </c>
      <c r="C320" s="1" t="s">
        <v>741</v>
      </c>
      <c r="D320" s="1" t="s">
        <v>254</v>
      </c>
      <c r="E320" s="1" t="s">
        <v>470</v>
      </c>
      <c r="F320" s="5">
        <v>43084</v>
      </c>
      <c r="G320" s="1" t="s">
        <v>1398</v>
      </c>
      <c r="H320" s="6">
        <v>114600</v>
      </c>
      <c r="I320" s="1" t="s">
        <v>1105</v>
      </c>
      <c r="J320" s="1" t="s">
        <v>1405</v>
      </c>
      <c r="K320" s="7">
        <v>43103.601791375499</v>
      </c>
      <c r="L320" s="6">
        <v>114570</v>
      </c>
    </row>
    <row r="321" spans="1:12" hidden="1" x14ac:dyDescent="0.25">
      <c r="A321" s="4">
        <v>319</v>
      </c>
      <c r="B321" s="2" t="str">
        <f>HYPERLINK("https://my.zakupki.prom.ua/remote/dispatcher/state_purchase_view/3351717", "UA-2017-06-16-001562-b")</f>
        <v>UA-2017-06-16-001562-b</v>
      </c>
      <c r="C321" s="1" t="s">
        <v>405</v>
      </c>
      <c r="D321" s="1" t="s">
        <v>181</v>
      </c>
      <c r="E321" s="1" t="s">
        <v>470</v>
      </c>
      <c r="F321" s="5">
        <v>42902</v>
      </c>
      <c r="G321" s="1" t="s">
        <v>1398</v>
      </c>
      <c r="H321" s="6">
        <v>8224</v>
      </c>
      <c r="I321" s="1"/>
      <c r="J321" s="1" t="s">
        <v>1406</v>
      </c>
      <c r="K321" s="7">
        <v>42909.670058886935</v>
      </c>
      <c r="L321" s="1"/>
    </row>
    <row r="322" spans="1:12" hidden="1" x14ac:dyDescent="0.25">
      <c r="A322" s="4">
        <v>320</v>
      </c>
      <c r="B322" s="2" t="str">
        <f>HYPERLINK("https://my.zakupki.prom.ua/remote/dispatcher/state_purchase_view/5613661", "UA-2018-01-22-001456-c")</f>
        <v>UA-2018-01-22-001456-c</v>
      </c>
      <c r="C322" s="1" t="s">
        <v>878</v>
      </c>
      <c r="D322" s="1" t="s">
        <v>224</v>
      </c>
      <c r="E322" s="1" t="s">
        <v>470</v>
      </c>
      <c r="F322" s="5">
        <v>43122</v>
      </c>
      <c r="G322" s="1" t="s">
        <v>1398</v>
      </c>
      <c r="H322" s="6">
        <v>30000</v>
      </c>
      <c r="I322" s="1" t="s">
        <v>1176</v>
      </c>
      <c r="J322" s="1" t="s">
        <v>1405</v>
      </c>
      <c r="K322" s="7">
        <v>43132.709968232637</v>
      </c>
      <c r="L322" s="6">
        <v>28000</v>
      </c>
    </row>
    <row r="323" spans="1:12" hidden="1" x14ac:dyDescent="0.25">
      <c r="A323" s="4">
        <v>321</v>
      </c>
      <c r="B323" s="2" t="str">
        <f>HYPERLINK("https://my.zakupki.prom.ua/remote/dispatcher/state_purchase_view/3487408", "UA-2017-07-06-000384-b")</f>
        <v>UA-2017-07-06-000384-b</v>
      </c>
      <c r="C323" s="1" t="s">
        <v>1271</v>
      </c>
      <c r="D323" s="1" t="s">
        <v>119</v>
      </c>
      <c r="E323" s="1" t="s">
        <v>390</v>
      </c>
      <c r="F323" s="5">
        <v>42922</v>
      </c>
      <c r="G323" s="7">
        <v>42940.626284722224</v>
      </c>
      <c r="H323" s="6">
        <v>341500</v>
      </c>
      <c r="I323" s="1"/>
      <c r="J323" s="1" t="s">
        <v>1406</v>
      </c>
      <c r="K323" s="7">
        <v>42954.003156198625</v>
      </c>
      <c r="L323" s="1"/>
    </row>
    <row r="324" spans="1:12" hidden="1" x14ac:dyDescent="0.25">
      <c r="A324" s="4">
        <v>322</v>
      </c>
      <c r="B324" s="2" t="str">
        <f>HYPERLINK("https://my.zakupki.prom.ua/remote/dispatcher/state_purchase_view/3488174", "UA-2017-07-06-000531-b")</f>
        <v>UA-2017-07-06-000531-b</v>
      </c>
      <c r="C324" s="1" t="s">
        <v>428</v>
      </c>
      <c r="D324" s="1" t="s">
        <v>118</v>
      </c>
      <c r="E324" s="1" t="s">
        <v>470</v>
      </c>
      <c r="F324" s="5">
        <v>42922</v>
      </c>
      <c r="G324" s="1" t="s">
        <v>1398</v>
      </c>
      <c r="H324" s="6">
        <v>198500</v>
      </c>
      <c r="I324" s="1" t="s">
        <v>1170</v>
      </c>
      <c r="J324" s="1" t="s">
        <v>1405</v>
      </c>
      <c r="K324" s="7">
        <v>42940.688599336318</v>
      </c>
      <c r="L324" s="6">
        <v>198500</v>
      </c>
    </row>
    <row r="325" spans="1:12" hidden="1" x14ac:dyDescent="0.25">
      <c r="A325" s="4">
        <v>323</v>
      </c>
      <c r="B325" s="2" t="str">
        <f>HYPERLINK("https://my.zakupki.prom.ua/remote/dispatcher/state_purchase_view/3682159", "UA-2017-08-01-001081-b")</f>
        <v>UA-2017-08-01-001081-b</v>
      </c>
      <c r="C325" s="1" t="s">
        <v>682</v>
      </c>
      <c r="D325" s="1" t="s">
        <v>170</v>
      </c>
      <c r="E325" s="1" t="s">
        <v>390</v>
      </c>
      <c r="F325" s="5">
        <v>42948</v>
      </c>
      <c r="G325" s="7">
        <v>42965.541678240741</v>
      </c>
      <c r="H325" s="6">
        <v>490000</v>
      </c>
      <c r="I325" s="1" t="s">
        <v>1170</v>
      </c>
      <c r="J325" s="1" t="s">
        <v>1405</v>
      </c>
      <c r="K325" s="7">
        <v>42989.437141350223</v>
      </c>
      <c r="L325" s="6">
        <v>444000</v>
      </c>
    </row>
    <row r="326" spans="1:12" hidden="1" x14ac:dyDescent="0.25">
      <c r="A326" s="4">
        <v>324</v>
      </c>
      <c r="B326" s="2" t="str">
        <f>HYPERLINK("https://my.zakupki.prom.ua/remote/dispatcher/state_purchase_view/2861239", "UA-2017-04-19-000743-b")</f>
        <v>UA-2017-04-19-000743-b</v>
      </c>
      <c r="C326" s="1" t="s">
        <v>1377</v>
      </c>
      <c r="D326" s="1" t="s">
        <v>46</v>
      </c>
      <c r="E326" s="1" t="s">
        <v>470</v>
      </c>
      <c r="F326" s="5">
        <v>42844</v>
      </c>
      <c r="G326" s="1" t="s">
        <v>1398</v>
      </c>
      <c r="H326" s="6">
        <v>21026</v>
      </c>
      <c r="I326" s="1" t="s">
        <v>449</v>
      </c>
      <c r="J326" s="1" t="s">
        <v>1405</v>
      </c>
      <c r="K326" s="7">
        <v>42866.633400563667</v>
      </c>
      <c r="L326" s="6">
        <v>21000</v>
      </c>
    </row>
    <row r="327" spans="1:12" hidden="1" x14ac:dyDescent="0.25">
      <c r="A327" s="4">
        <v>325</v>
      </c>
      <c r="B327" s="2" t="str">
        <f>HYPERLINK("https://my.zakupki.prom.ua/remote/dispatcher/state_purchase_view/4516541", "UA-2017-11-06-002575-c")</f>
        <v>UA-2017-11-06-002575-c</v>
      </c>
      <c r="C327" s="1" t="s">
        <v>1380</v>
      </c>
      <c r="D327" s="1" t="s">
        <v>176</v>
      </c>
      <c r="E327" s="1" t="s">
        <v>470</v>
      </c>
      <c r="F327" s="5">
        <v>43045</v>
      </c>
      <c r="G327" s="7">
        <v>43053.651192129626</v>
      </c>
      <c r="H327" s="6">
        <v>30000</v>
      </c>
      <c r="I327" s="1" t="s">
        <v>1106</v>
      </c>
      <c r="J327" s="1" t="s">
        <v>1405</v>
      </c>
      <c r="K327" s="7">
        <v>43062.375440017313</v>
      </c>
      <c r="L327" s="6">
        <v>27499.5</v>
      </c>
    </row>
    <row r="328" spans="1:12" hidden="1" x14ac:dyDescent="0.25">
      <c r="A328" s="4">
        <v>326</v>
      </c>
      <c r="B328" s="2" t="str">
        <f>HYPERLINK("https://my.zakupki.prom.ua/remote/dispatcher/state_purchase_view/4631152", "UA-2017-11-16-000830-a")</f>
        <v>UA-2017-11-16-000830-a</v>
      </c>
      <c r="C328" s="1" t="s">
        <v>386</v>
      </c>
      <c r="D328" s="1" t="s">
        <v>170</v>
      </c>
      <c r="E328" s="1" t="s">
        <v>390</v>
      </c>
      <c r="F328" s="5">
        <v>43055</v>
      </c>
      <c r="G328" s="7">
        <v>43073.61246527778</v>
      </c>
      <c r="H328" s="6">
        <v>25000</v>
      </c>
      <c r="I328" s="1" t="s">
        <v>1170</v>
      </c>
      <c r="J328" s="1" t="s">
        <v>1405</v>
      </c>
      <c r="K328" s="7">
        <v>43090.695923085892</v>
      </c>
      <c r="L328" s="6">
        <v>24900</v>
      </c>
    </row>
    <row r="329" spans="1:12" hidden="1" x14ac:dyDescent="0.25">
      <c r="A329" s="4">
        <v>327</v>
      </c>
      <c r="B329" s="2" t="str">
        <f>HYPERLINK("https://my.zakupki.prom.ua/remote/dispatcher/state_purchase_view/6739872", "UA-2018-04-04-000584-a")</f>
        <v>UA-2018-04-04-000584-a</v>
      </c>
      <c r="C329" s="1" t="s">
        <v>354</v>
      </c>
      <c r="D329" s="1" t="s">
        <v>162</v>
      </c>
      <c r="E329" s="1" t="s">
        <v>470</v>
      </c>
      <c r="F329" s="5">
        <v>43194</v>
      </c>
      <c r="G329" s="7">
        <v>43203.605011574073</v>
      </c>
      <c r="H329" s="6">
        <v>7300</v>
      </c>
      <c r="I329" s="1" t="s">
        <v>313</v>
      </c>
      <c r="J329" s="1" t="s">
        <v>1405</v>
      </c>
      <c r="K329" s="7">
        <v>43210.674681924291</v>
      </c>
      <c r="L329" s="6">
        <v>6534</v>
      </c>
    </row>
    <row r="330" spans="1:12" hidden="1" x14ac:dyDescent="0.25">
      <c r="A330" s="4">
        <v>328</v>
      </c>
      <c r="B330" s="2" t="str">
        <f>HYPERLINK("https://my.zakupki.prom.ua/remote/dispatcher/state_purchase_view/6917379", "UA-2018-04-23-001186-a")</f>
        <v>UA-2018-04-23-001186-a</v>
      </c>
      <c r="C330" s="1" t="s">
        <v>359</v>
      </c>
      <c r="D330" s="1" t="s">
        <v>37</v>
      </c>
      <c r="E330" s="1" t="s">
        <v>488</v>
      </c>
      <c r="F330" s="5">
        <v>43213</v>
      </c>
      <c r="G330" s="1" t="s">
        <v>1397</v>
      </c>
      <c r="H330" s="6">
        <v>102945</v>
      </c>
      <c r="I330" s="1" t="s">
        <v>642</v>
      </c>
      <c r="J330" s="1" t="s">
        <v>1405</v>
      </c>
      <c r="K330" s="7">
        <v>43213.598468671102</v>
      </c>
      <c r="L330" s="6">
        <v>102945</v>
      </c>
    </row>
    <row r="331" spans="1:12" hidden="1" x14ac:dyDescent="0.25">
      <c r="A331" s="4">
        <v>329</v>
      </c>
      <c r="B331" s="2" t="str">
        <f>HYPERLINK("https://my.zakupki.prom.ua/remote/dispatcher/state_purchase_view/739171", "UA-2016-10-26-001724-a")</f>
        <v>UA-2016-10-26-001724-a</v>
      </c>
      <c r="C331" s="1" t="s">
        <v>12</v>
      </c>
      <c r="D331" s="1" t="s">
        <v>80</v>
      </c>
      <c r="E331" s="1" t="s">
        <v>470</v>
      </c>
      <c r="F331" s="5">
        <v>42669</v>
      </c>
      <c r="G331" s="7">
        <v>42681.495555555557</v>
      </c>
      <c r="H331" s="6">
        <v>44800</v>
      </c>
      <c r="I331" s="1" t="s">
        <v>1305</v>
      </c>
      <c r="J331" s="1" t="s">
        <v>1404</v>
      </c>
      <c r="K331" s="7">
        <v>42684.585831359109</v>
      </c>
      <c r="L331" s="6">
        <v>29214</v>
      </c>
    </row>
    <row r="332" spans="1:12" hidden="1" x14ac:dyDescent="0.25">
      <c r="A332" s="4">
        <v>330</v>
      </c>
      <c r="B332" s="2" t="str">
        <f>HYPERLINK("https://my.zakupki.prom.ua/remote/dispatcher/state_purchase_view/739171", "UA-2016-10-26-001724-a")</f>
        <v>UA-2016-10-26-001724-a</v>
      </c>
      <c r="C332" s="1" t="s">
        <v>24</v>
      </c>
      <c r="D332" s="1" t="s">
        <v>80</v>
      </c>
      <c r="E332" s="1" t="s">
        <v>470</v>
      </c>
      <c r="F332" s="5">
        <v>42669</v>
      </c>
      <c r="G332" s="7">
        <v>42681.510300925926</v>
      </c>
      <c r="H332" s="6">
        <v>44800</v>
      </c>
      <c r="I332" s="1" t="s">
        <v>1320</v>
      </c>
      <c r="J332" s="1" t="s">
        <v>1404</v>
      </c>
      <c r="K332" s="7">
        <v>42688.519989048946</v>
      </c>
      <c r="L332" s="6">
        <v>12305</v>
      </c>
    </row>
    <row r="333" spans="1:12" hidden="1" x14ac:dyDescent="0.25">
      <c r="A333" s="4">
        <v>331</v>
      </c>
      <c r="B333" s="2" t="str">
        <f>HYPERLINK("https://my.zakupki.prom.ua/remote/dispatcher/state_purchase_view/1414638", "UA-2017-01-05-000690-b")</f>
        <v>UA-2017-01-05-000690-b</v>
      </c>
      <c r="C333" s="1" t="s">
        <v>933</v>
      </c>
      <c r="D333" s="1" t="s">
        <v>242</v>
      </c>
      <c r="E333" s="1" t="s">
        <v>390</v>
      </c>
      <c r="F333" s="5">
        <v>42740</v>
      </c>
      <c r="G333" s="7">
        <v>42758.595219907409</v>
      </c>
      <c r="H333" s="6">
        <v>600000</v>
      </c>
      <c r="I333" s="1" t="s">
        <v>1180</v>
      </c>
      <c r="J333" s="1" t="s">
        <v>1405</v>
      </c>
      <c r="K333" s="7">
        <v>42769.710830542856</v>
      </c>
      <c r="L333" s="6">
        <v>536088</v>
      </c>
    </row>
    <row r="334" spans="1:12" hidden="1" x14ac:dyDescent="0.25">
      <c r="A334" s="4">
        <v>332</v>
      </c>
      <c r="B334" s="2" t="str">
        <f>HYPERLINK("https://my.zakupki.prom.ua/remote/dispatcher/state_purchase_view/1023360", "UA-2016-11-25-001598-a")</f>
        <v>UA-2016-11-25-001598-a</v>
      </c>
      <c r="C334" s="1" t="s">
        <v>1379</v>
      </c>
      <c r="D334" s="1" t="s">
        <v>143</v>
      </c>
      <c r="E334" s="1" t="s">
        <v>470</v>
      </c>
      <c r="F334" s="5">
        <v>42699</v>
      </c>
      <c r="G334" s="1" t="s">
        <v>1398</v>
      </c>
      <c r="H334" s="6">
        <v>37440</v>
      </c>
      <c r="I334" s="1"/>
      <c r="J334" s="1" t="s">
        <v>1406</v>
      </c>
      <c r="K334" s="7">
        <v>42709.683184549198</v>
      </c>
      <c r="L334" s="1"/>
    </row>
    <row r="335" spans="1:12" hidden="1" x14ac:dyDescent="0.25">
      <c r="A335" s="4">
        <v>333</v>
      </c>
      <c r="B335" s="2" t="str">
        <f>HYPERLINK("https://my.zakupki.prom.ua/remote/dispatcher/state_purchase_view/848112", "UA-2016-11-07-001272-b")</f>
        <v>UA-2016-11-07-001272-b</v>
      </c>
      <c r="C335" s="1" t="s">
        <v>26</v>
      </c>
      <c r="D335" s="1" t="s">
        <v>257</v>
      </c>
      <c r="E335" s="1" t="s">
        <v>470</v>
      </c>
      <c r="F335" s="5">
        <v>42681</v>
      </c>
      <c r="G335" s="1" t="s">
        <v>1398</v>
      </c>
      <c r="H335" s="6">
        <v>190200</v>
      </c>
      <c r="I335" s="1" t="s">
        <v>1135</v>
      </c>
      <c r="J335" s="1" t="s">
        <v>1405</v>
      </c>
      <c r="K335" s="7">
        <v>42692.682085450775</v>
      </c>
      <c r="L335" s="6">
        <v>189200</v>
      </c>
    </row>
    <row r="336" spans="1:12" hidden="1" x14ac:dyDescent="0.25">
      <c r="A336" s="4">
        <v>334</v>
      </c>
      <c r="B336" s="2" t="str">
        <f>HYPERLINK("https://my.zakupki.prom.ua/remote/dispatcher/state_purchase_view/3159524", "UA-2017-05-25-001983-b")</f>
        <v>UA-2017-05-25-001983-b</v>
      </c>
      <c r="C336" s="1" t="s">
        <v>757</v>
      </c>
      <c r="D336" s="1" t="s">
        <v>233</v>
      </c>
      <c r="E336" s="1" t="s">
        <v>390</v>
      </c>
      <c r="F336" s="5">
        <v>42880</v>
      </c>
      <c r="G336" s="1" t="s">
        <v>1398</v>
      </c>
      <c r="H336" s="6">
        <v>800000</v>
      </c>
      <c r="I336" s="1"/>
      <c r="J336" s="1" t="s">
        <v>1419</v>
      </c>
      <c r="K336" s="7">
        <v>42900.478263733101</v>
      </c>
      <c r="L336" s="1"/>
    </row>
    <row r="337" spans="1:12" hidden="1" x14ac:dyDescent="0.25">
      <c r="A337" s="4">
        <v>335</v>
      </c>
      <c r="B337" s="2" t="str">
        <f>HYPERLINK("https://my.zakupki.prom.ua/remote/dispatcher/state_purchase_view/3632574", "UA-2017-07-25-001486-b")</f>
        <v>UA-2017-07-25-001486-b</v>
      </c>
      <c r="C337" s="1" t="s">
        <v>1046</v>
      </c>
      <c r="D337" s="1" t="s">
        <v>135</v>
      </c>
      <c r="E337" s="1" t="s">
        <v>470</v>
      </c>
      <c r="F337" s="5">
        <v>42941</v>
      </c>
      <c r="G337" s="1" t="s">
        <v>1398</v>
      </c>
      <c r="H337" s="6">
        <v>5500</v>
      </c>
      <c r="I337" s="1"/>
      <c r="J337" s="1" t="s">
        <v>1406</v>
      </c>
      <c r="K337" s="7">
        <v>42951.699868378353</v>
      </c>
      <c r="L337" s="1"/>
    </row>
    <row r="338" spans="1:12" hidden="1" x14ac:dyDescent="0.25">
      <c r="A338" s="4">
        <v>336</v>
      </c>
      <c r="B338" s="2" t="str">
        <f>HYPERLINK("https://my.zakupki.prom.ua/remote/dispatcher/state_purchase_view/3920878", "UA-2017-09-01-000195-c")</f>
        <v>UA-2017-09-01-000195-c</v>
      </c>
      <c r="C338" s="1" t="s">
        <v>649</v>
      </c>
      <c r="D338" s="1" t="s">
        <v>165</v>
      </c>
      <c r="E338" s="1" t="s">
        <v>390</v>
      </c>
      <c r="F338" s="5">
        <v>42979</v>
      </c>
      <c r="G338" s="7">
        <v>42997.53230324074</v>
      </c>
      <c r="H338" s="6">
        <v>1356450</v>
      </c>
      <c r="I338" s="1" t="s">
        <v>1121</v>
      </c>
      <c r="J338" s="1" t="s">
        <v>1404</v>
      </c>
      <c r="K338" s="7">
        <v>43013.707873863219</v>
      </c>
      <c r="L338" s="6">
        <v>729000</v>
      </c>
    </row>
    <row r="339" spans="1:12" hidden="1" x14ac:dyDescent="0.25">
      <c r="A339" s="4">
        <v>337</v>
      </c>
      <c r="B339" s="2" t="str">
        <f>HYPERLINK("https://my.zakupki.prom.ua/remote/dispatcher/state_purchase_view/3920878", "UA-2017-09-01-000195-c")</f>
        <v>UA-2017-09-01-000195-c</v>
      </c>
      <c r="C339" s="1" t="s">
        <v>737</v>
      </c>
      <c r="D339" s="1" t="s">
        <v>165</v>
      </c>
      <c r="E339" s="1" t="s">
        <v>390</v>
      </c>
      <c r="F339" s="5">
        <v>42979</v>
      </c>
      <c r="G339" s="7">
        <v>42997.557685185187</v>
      </c>
      <c r="H339" s="6">
        <v>1356450</v>
      </c>
      <c r="I339" s="1" t="s">
        <v>1296</v>
      </c>
      <c r="J339" s="1" t="s">
        <v>1404</v>
      </c>
      <c r="K339" s="7">
        <v>43013.710694371191</v>
      </c>
      <c r="L339" s="6">
        <v>594000</v>
      </c>
    </row>
    <row r="340" spans="1:12" hidden="1" x14ac:dyDescent="0.25">
      <c r="A340" s="4">
        <v>338</v>
      </c>
      <c r="B340" s="2" t="str">
        <f>HYPERLINK("https://my.zakupki.prom.ua/remote/dispatcher/state_purchase_view/4025406", "UA-2017-09-13-002041-c")</f>
        <v>UA-2017-09-13-002041-c</v>
      </c>
      <c r="C340" s="1" t="s">
        <v>1074</v>
      </c>
      <c r="D340" s="1" t="s">
        <v>44</v>
      </c>
      <c r="E340" s="1" t="s">
        <v>470</v>
      </c>
      <c r="F340" s="5">
        <v>42991</v>
      </c>
      <c r="G340" s="7">
        <v>43004.56422453704</v>
      </c>
      <c r="H340" s="6">
        <v>65000</v>
      </c>
      <c r="I340" s="1"/>
      <c r="J340" s="1" t="s">
        <v>1406</v>
      </c>
      <c r="K340" s="7">
        <v>43011.648951162766</v>
      </c>
      <c r="L340" s="1"/>
    </row>
    <row r="341" spans="1:12" hidden="1" x14ac:dyDescent="0.25">
      <c r="A341" s="4">
        <v>339</v>
      </c>
      <c r="B341" s="2" t="str">
        <f>HYPERLINK("https://my.zakupki.prom.ua/remote/dispatcher/state_purchase_view/4220111", "UA-2017-10-05-000278-c")</f>
        <v>UA-2017-10-05-000278-c</v>
      </c>
      <c r="C341" s="1" t="s">
        <v>365</v>
      </c>
      <c r="D341" s="1" t="s">
        <v>160</v>
      </c>
      <c r="E341" s="1" t="s">
        <v>470</v>
      </c>
      <c r="F341" s="5">
        <v>43013</v>
      </c>
      <c r="G341" s="7">
        <v>43025.467465277776</v>
      </c>
      <c r="H341" s="6">
        <v>4900</v>
      </c>
      <c r="I341" s="1" t="s">
        <v>1117</v>
      </c>
      <c r="J341" s="1" t="s">
        <v>1405</v>
      </c>
      <c r="K341" s="7">
        <v>43040.526293632152</v>
      </c>
      <c r="L341" s="6">
        <v>4290</v>
      </c>
    </row>
    <row r="342" spans="1:12" hidden="1" x14ac:dyDescent="0.25">
      <c r="A342" s="4">
        <v>340</v>
      </c>
      <c r="B342" s="2" t="str">
        <f>HYPERLINK("https://my.zakupki.prom.ua/remote/dispatcher/state_purchase_view/7810011", "UA-2018-07-25-000827-b")</f>
        <v>UA-2018-07-25-000827-b</v>
      </c>
      <c r="C342" s="1" t="s">
        <v>298</v>
      </c>
      <c r="D342" s="1" t="s">
        <v>137</v>
      </c>
      <c r="E342" s="1" t="s">
        <v>488</v>
      </c>
      <c r="F342" s="5">
        <v>43306</v>
      </c>
      <c r="G342" s="1" t="s">
        <v>1397</v>
      </c>
      <c r="H342" s="6">
        <v>25000</v>
      </c>
      <c r="I342" s="1" t="s">
        <v>1210</v>
      </c>
      <c r="J342" s="1" t="s">
        <v>1405</v>
      </c>
      <c r="K342" s="7">
        <v>43306.520692988852</v>
      </c>
      <c r="L342" s="6">
        <v>25000</v>
      </c>
    </row>
    <row r="343" spans="1:12" hidden="1" x14ac:dyDescent="0.25">
      <c r="A343" s="4">
        <v>341</v>
      </c>
      <c r="B343" s="2" t="str">
        <f>HYPERLINK("https://my.zakupki.prom.ua/remote/dispatcher/state_purchase_view/7353585", "UA-2018-06-06-002715-a")</f>
        <v>UA-2018-06-06-002715-a</v>
      </c>
      <c r="C343" s="1" t="s">
        <v>745</v>
      </c>
      <c r="D343" s="1" t="s">
        <v>210</v>
      </c>
      <c r="E343" s="1" t="s">
        <v>488</v>
      </c>
      <c r="F343" s="5">
        <v>43257</v>
      </c>
      <c r="G343" s="1" t="s">
        <v>1397</v>
      </c>
      <c r="H343" s="6">
        <v>50000</v>
      </c>
      <c r="I343" s="1" t="s">
        <v>512</v>
      </c>
      <c r="J343" s="1" t="s">
        <v>1405</v>
      </c>
      <c r="K343" s="7">
        <v>43257.671409619696</v>
      </c>
      <c r="L343" s="6">
        <v>50000</v>
      </c>
    </row>
    <row r="344" spans="1:12" hidden="1" x14ac:dyDescent="0.25">
      <c r="A344" s="4">
        <v>342</v>
      </c>
      <c r="B344" s="2" t="str">
        <f>HYPERLINK("https://my.zakupki.prom.ua/remote/dispatcher/state_purchase_view/6610908", "UA-2018-03-22-001840-b")</f>
        <v>UA-2018-03-22-001840-b</v>
      </c>
      <c r="C344" s="1" t="s">
        <v>1071</v>
      </c>
      <c r="D344" s="1" t="s">
        <v>176</v>
      </c>
      <c r="E344" s="1" t="s">
        <v>470</v>
      </c>
      <c r="F344" s="5">
        <v>43181</v>
      </c>
      <c r="G344" s="1" t="s">
        <v>1398</v>
      </c>
      <c r="H344" s="6">
        <v>8000</v>
      </c>
      <c r="I344" s="1" t="s">
        <v>1327</v>
      </c>
      <c r="J344" s="1" t="s">
        <v>1405</v>
      </c>
      <c r="K344" s="7">
        <v>43201.382706139098</v>
      </c>
      <c r="L344" s="6">
        <v>8000</v>
      </c>
    </row>
    <row r="345" spans="1:12" hidden="1" x14ac:dyDescent="0.25">
      <c r="A345" s="4">
        <v>343</v>
      </c>
      <c r="B345" s="2" t="str">
        <f>HYPERLINK("https://my.zakupki.prom.ua/remote/dispatcher/state_purchase_view/7562071", "UA-2018-06-26-000055-a")</f>
        <v>UA-2018-06-26-000055-a</v>
      </c>
      <c r="C345" s="1" t="s">
        <v>948</v>
      </c>
      <c r="D345" s="1" t="s">
        <v>196</v>
      </c>
      <c r="E345" s="1" t="s">
        <v>390</v>
      </c>
      <c r="F345" s="5">
        <v>43277</v>
      </c>
      <c r="G345" s="7">
        <v>43293.614212962966</v>
      </c>
      <c r="H345" s="6">
        <v>400000</v>
      </c>
      <c r="I345" s="1" t="s">
        <v>1331</v>
      </c>
      <c r="J345" s="1" t="s">
        <v>1405</v>
      </c>
      <c r="K345" s="7">
        <v>43306.515436102964</v>
      </c>
      <c r="L345" s="6">
        <v>350000</v>
      </c>
    </row>
    <row r="346" spans="1:12" hidden="1" x14ac:dyDescent="0.25">
      <c r="A346" s="4">
        <v>344</v>
      </c>
      <c r="B346" s="2" t="str">
        <f>HYPERLINK("https://my.zakupki.prom.ua/remote/dispatcher/state_purchase_view/7898254", "UA-2018-08-03-002482-b")</f>
        <v>UA-2018-08-03-002482-b</v>
      </c>
      <c r="C346" s="1" t="s">
        <v>949</v>
      </c>
      <c r="D346" s="1" t="s">
        <v>196</v>
      </c>
      <c r="E346" s="1" t="s">
        <v>390</v>
      </c>
      <c r="F346" s="5">
        <v>43315</v>
      </c>
      <c r="G346" s="7">
        <v>43333.513472222221</v>
      </c>
      <c r="H346" s="6">
        <v>52200</v>
      </c>
      <c r="I346" s="1" t="s">
        <v>1331</v>
      </c>
      <c r="J346" s="1" t="s">
        <v>1405</v>
      </c>
      <c r="K346" s="7">
        <v>43346.420896932221</v>
      </c>
      <c r="L346" s="6">
        <v>51927</v>
      </c>
    </row>
    <row r="347" spans="1:12" hidden="1" x14ac:dyDescent="0.25">
      <c r="A347" s="4">
        <v>345</v>
      </c>
      <c r="B347" s="2" t="str">
        <f>HYPERLINK("https://my.zakupki.prom.ua/remote/dispatcher/state_purchase_view/8406296", "UA-2018-09-28-001741-c")</f>
        <v>UA-2018-09-28-001741-c</v>
      </c>
      <c r="C347" s="1" t="s">
        <v>575</v>
      </c>
      <c r="D347" s="1" t="s">
        <v>130</v>
      </c>
      <c r="E347" s="1" t="s">
        <v>390</v>
      </c>
      <c r="F347" s="5">
        <v>43371</v>
      </c>
      <c r="G347" s="7">
        <v>43389.502372685187</v>
      </c>
      <c r="H347" s="6">
        <v>382250</v>
      </c>
      <c r="I347" s="1" t="s">
        <v>1331</v>
      </c>
      <c r="J347" s="1" t="s">
        <v>1405</v>
      </c>
      <c r="K347" s="7">
        <v>43406.46085619089</v>
      </c>
      <c r="L347" s="6">
        <v>379500</v>
      </c>
    </row>
    <row r="348" spans="1:12" hidden="1" x14ac:dyDescent="0.25">
      <c r="A348" s="4">
        <v>346</v>
      </c>
      <c r="B348" s="2" t="str">
        <f>HYPERLINK("https://my.zakupki.prom.ua/remote/dispatcher/state_purchase_view/13524795", "UA-2019-11-12-001017-b")</f>
        <v>UA-2019-11-12-001017-b</v>
      </c>
      <c r="C348" s="1" t="s">
        <v>716</v>
      </c>
      <c r="D348" s="1" t="s">
        <v>75</v>
      </c>
      <c r="E348" s="1" t="s">
        <v>470</v>
      </c>
      <c r="F348" s="5">
        <v>43781</v>
      </c>
      <c r="G348" s="1" t="s">
        <v>1398</v>
      </c>
      <c r="H348" s="6">
        <v>9870</v>
      </c>
      <c r="I348" s="1"/>
      <c r="J348" s="1" t="s">
        <v>1406</v>
      </c>
      <c r="K348" s="7">
        <v>43788.472745004154</v>
      </c>
      <c r="L348" s="1"/>
    </row>
    <row r="349" spans="1:12" hidden="1" x14ac:dyDescent="0.25">
      <c r="A349" s="4">
        <v>347</v>
      </c>
      <c r="B349" s="2" t="str">
        <f>HYPERLINK("https://my.zakupki.prom.ua/remote/dispatcher/state_purchase_view/13504536", "UA-2019-11-11-000286-b")</f>
        <v>UA-2019-11-11-000286-b</v>
      </c>
      <c r="C349" s="1" t="s">
        <v>752</v>
      </c>
      <c r="D349" s="1" t="s">
        <v>188</v>
      </c>
      <c r="E349" s="1" t="s">
        <v>470</v>
      </c>
      <c r="F349" s="5">
        <v>43780</v>
      </c>
      <c r="G349" s="1" t="s">
        <v>1398</v>
      </c>
      <c r="H349" s="6">
        <v>40000</v>
      </c>
      <c r="I349" s="1" t="s">
        <v>1331</v>
      </c>
      <c r="J349" s="1" t="s">
        <v>1405</v>
      </c>
      <c r="K349" s="7">
        <v>43791.378242327592</v>
      </c>
      <c r="L349" s="6">
        <v>39950.22</v>
      </c>
    </row>
    <row r="350" spans="1:12" hidden="1" x14ac:dyDescent="0.25">
      <c r="A350" s="4">
        <v>348</v>
      </c>
      <c r="B350" s="2" t="str">
        <f>HYPERLINK("https://my.zakupki.prom.ua/remote/dispatcher/state_purchase_view/13277691", "UA-2019-10-23-000802-b")</f>
        <v>UA-2019-10-23-000802-b</v>
      </c>
      <c r="C350" s="1" t="s">
        <v>630</v>
      </c>
      <c r="D350" s="1" t="s">
        <v>170</v>
      </c>
      <c r="E350" s="1" t="s">
        <v>390</v>
      </c>
      <c r="F350" s="5">
        <v>43761</v>
      </c>
      <c r="G350" s="7">
        <v>43780.521122685182</v>
      </c>
      <c r="H350" s="6">
        <v>93000</v>
      </c>
      <c r="I350" s="1" t="s">
        <v>1313</v>
      </c>
      <c r="J350" s="1" t="s">
        <v>1405</v>
      </c>
      <c r="K350" s="7">
        <v>43794.388364173959</v>
      </c>
      <c r="L350" s="6">
        <v>91500</v>
      </c>
    </row>
    <row r="351" spans="1:12" hidden="1" x14ac:dyDescent="0.25">
      <c r="A351" s="4">
        <v>349</v>
      </c>
      <c r="B351" s="2" t="str">
        <f>HYPERLINK("https://my.zakupki.prom.ua/remote/dispatcher/state_purchase_view/13953982", "UA-2019-12-10-000861-b")</f>
        <v>UA-2019-12-10-000861-b</v>
      </c>
      <c r="C351" s="1" t="s">
        <v>626</v>
      </c>
      <c r="D351" s="1" t="s">
        <v>170</v>
      </c>
      <c r="E351" s="1" t="s">
        <v>470</v>
      </c>
      <c r="F351" s="5">
        <v>43809</v>
      </c>
      <c r="G351" s="1" t="s">
        <v>1398</v>
      </c>
      <c r="H351" s="6">
        <v>46500</v>
      </c>
      <c r="I351" s="1" t="s">
        <v>1331</v>
      </c>
      <c r="J351" s="1" t="s">
        <v>1405</v>
      </c>
      <c r="K351" s="7">
        <v>43818.614841095616</v>
      </c>
      <c r="L351" s="6">
        <v>45750</v>
      </c>
    </row>
    <row r="352" spans="1:12" hidden="1" x14ac:dyDescent="0.25">
      <c r="A352" s="4">
        <v>350</v>
      </c>
      <c r="B352" s="2" t="str">
        <f>HYPERLINK("https://my.zakupki.prom.ua/remote/dispatcher/state_purchase_view/13979215", "UA-2019-12-11-000356-b")</f>
        <v>UA-2019-12-11-000356-b</v>
      </c>
      <c r="C352" s="1" t="s">
        <v>904</v>
      </c>
      <c r="D352" s="1" t="s">
        <v>221</v>
      </c>
      <c r="E352" s="1" t="s">
        <v>470</v>
      </c>
      <c r="F352" s="5">
        <v>43810</v>
      </c>
      <c r="G352" s="7">
        <v>43818.622939814813</v>
      </c>
      <c r="H352" s="6">
        <v>105000</v>
      </c>
      <c r="I352" s="1" t="s">
        <v>1289</v>
      </c>
      <c r="J352" s="1" t="s">
        <v>1405</v>
      </c>
      <c r="K352" s="7">
        <v>43826.689147901663</v>
      </c>
      <c r="L352" s="6">
        <v>98000</v>
      </c>
    </row>
    <row r="353" spans="1:12" hidden="1" x14ac:dyDescent="0.25">
      <c r="A353" s="4">
        <v>351</v>
      </c>
      <c r="B353" s="2" t="str">
        <f>HYPERLINK("https://my.zakupki.prom.ua/remote/dispatcher/state_purchase_view/13854410", "UA-2019-12-04-002329-b")</f>
        <v>UA-2019-12-04-002329-b</v>
      </c>
      <c r="C353" s="1" t="s">
        <v>1010</v>
      </c>
      <c r="D353" s="1" t="s">
        <v>226</v>
      </c>
      <c r="E353" s="1" t="s">
        <v>488</v>
      </c>
      <c r="F353" s="5">
        <v>43803</v>
      </c>
      <c r="G353" s="1" t="s">
        <v>1397</v>
      </c>
      <c r="H353" s="6">
        <v>1328235.92</v>
      </c>
      <c r="I353" s="1" t="s">
        <v>600</v>
      </c>
      <c r="J353" s="1" t="s">
        <v>1405</v>
      </c>
      <c r="K353" s="7">
        <v>43803.560255368298</v>
      </c>
      <c r="L353" s="6">
        <v>1328235.92</v>
      </c>
    </row>
    <row r="354" spans="1:12" hidden="1" x14ac:dyDescent="0.25">
      <c r="A354" s="4">
        <v>352</v>
      </c>
      <c r="B354" s="2" t="str">
        <f>HYPERLINK("https://my.zakupki.prom.ua/remote/dispatcher/state_purchase_view/16506549", "UA-2020-04-29-001731-b")</f>
        <v>UA-2020-04-29-001731-b</v>
      </c>
      <c r="C354" s="1" t="s">
        <v>415</v>
      </c>
      <c r="D354" s="1" t="s">
        <v>182</v>
      </c>
      <c r="E354" s="1" t="s">
        <v>470</v>
      </c>
      <c r="F354" s="5">
        <v>43950</v>
      </c>
      <c r="G354" s="7">
        <v>43964.471226851849</v>
      </c>
      <c r="H354" s="6">
        <v>17270</v>
      </c>
      <c r="I354" s="1" t="s">
        <v>1329</v>
      </c>
      <c r="J354" s="1" t="s">
        <v>1405</v>
      </c>
      <c r="K354" s="7">
        <v>43969.515249944292</v>
      </c>
      <c r="L354" s="6">
        <v>17270</v>
      </c>
    </row>
    <row r="355" spans="1:12" hidden="1" x14ac:dyDescent="0.25">
      <c r="A355" s="4">
        <v>353</v>
      </c>
      <c r="B355" s="2" t="str">
        <f>HYPERLINK("https://my.zakupki.prom.ua/remote/dispatcher/state_purchase_view/16698229", "UA-2020-05-15-003946-b")</f>
        <v>UA-2020-05-15-003946-b</v>
      </c>
      <c r="C355" s="1" t="s">
        <v>307</v>
      </c>
      <c r="D355" s="1" t="s">
        <v>70</v>
      </c>
      <c r="E355" s="1" t="s">
        <v>488</v>
      </c>
      <c r="F355" s="5">
        <v>43966</v>
      </c>
      <c r="G355" s="1" t="s">
        <v>1397</v>
      </c>
      <c r="H355" s="6">
        <v>14952</v>
      </c>
      <c r="I355" s="1" t="s">
        <v>1210</v>
      </c>
      <c r="J355" s="1" t="s">
        <v>1405</v>
      </c>
      <c r="K355" s="7">
        <v>43966.62625160264</v>
      </c>
      <c r="L355" s="6">
        <v>14952</v>
      </c>
    </row>
    <row r="356" spans="1:12" hidden="1" x14ac:dyDescent="0.25">
      <c r="A356" s="4">
        <v>354</v>
      </c>
      <c r="B356" s="2" t="str">
        <f>HYPERLINK("https://my.zakupki.prom.ua/remote/dispatcher/state_purchase_view/14701371", "UA-2020-01-22-001106-a")</f>
        <v>UA-2020-01-22-001106-a</v>
      </c>
      <c r="C356" s="1" t="s">
        <v>865</v>
      </c>
      <c r="D356" s="1" t="s">
        <v>255</v>
      </c>
      <c r="E356" s="1" t="s">
        <v>390</v>
      </c>
      <c r="F356" s="5">
        <v>43852</v>
      </c>
      <c r="G356" s="7">
        <v>43868.656319444446</v>
      </c>
      <c r="H356" s="6">
        <v>316110</v>
      </c>
      <c r="I356" s="1"/>
      <c r="J356" s="1" t="s">
        <v>1406</v>
      </c>
      <c r="K356" s="7">
        <v>43882.00119966318</v>
      </c>
      <c r="L356" s="1"/>
    </row>
    <row r="357" spans="1:12" hidden="1" x14ac:dyDescent="0.25">
      <c r="A357" s="4">
        <v>355</v>
      </c>
      <c r="B357" s="2" t="str">
        <f>HYPERLINK("https://my.zakupki.prom.ua/remote/dispatcher/state_purchase_view/13541256", "UA-2019-11-13-000328-b")</f>
        <v>UA-2019-11-13-000328-b</v>
      </c>
      <c r="C357" s="1" t="s">
        <v>715</v>
      </c>
      <c r="D357" s="1" t="s">
        <v>32</v>
      </c>
      <c r="E357" s="1" t="s">
        <v>470</v>
      </c>
      <c r="F357" s="5">
        <v>43782</v>
      </c>
      <c r="G357" s="7">
        <v>43790.665277777778</v>
      </c>
      <c r="H357" s="6">
        <v>40500</v>
      </c>
      <c r="I357" s="1" t="s">
        <v>1123</v>
      </c>
      <c r="J357" s="1" t="s">
        <v>1405</v>
      </c>
      <c r="K357" s="7">
        <v>43798.670331306144</v>
      </c>
      <c r="L357" s="6">
        <v>37440</v>
      </c>
    </row>
    <row r="358" spans="1:12" hidden="1" x14ac:dyDescent="0.25">
      <c r="A358" s="4">
        <v>356</v>
      </c>
      <c r="B358" s="2" t="str">
        <f>HYPERLINK("https://my.zakupki.prom.ua/remote/dispatcher/state_purchase_view/13432081", "UA-2019-11-05-000389-b")</f>
        <v>UA-2019-11-05-000389-b</v>
      </c>
      <c r="C358" s="1" t="s">
        <v>597</v>
      </c>
      <c r="D358" s="1" t="s">
        <v>125</v>
      </c>
      <c r="E358" s="1" t="s">
        <v>470</v>
      </c>
      <c r="F358" s="5">
        <v>43774</v>
      </c>
      <c r="G358" s="7">
        <v>43782.637233796297</v>
      </c>
      <c r="H358" s="6">
        <v>3960</v>
      </c>
      <c r="I358" s="1" t="s">
        <v>1320</v>
      </c>
      <c r="J358" s="1" t="s">
        <v>1405</v>
      </c>
      <c r="K358" s="7">
        <v>43790.70721817256</v>
      </c>
      <c r="L358" s="6">
        <v>3800</v>
      </c>
    </row>
    <row r="359" spans="1:12" hidden="1" x14ac:dyDescent="0.25">
      <c r="A359" s="4">
        <v>357</v>
      </c>
      <c r="B359" s="2" t="str">
        <f>HYPERLINK("https://my.zakupki.prom.ua/remote/dispatcher/state_purchase_view/13310202", "UA-2019-10-24-002524-b")</f>
        <v>UA-2019-10-24-002524-b</v>
      </c>
      <c r="C359" s="1" t="s">
        <v>343</v>
      </c>
      <c r="D359" s="1" t="s">
        <v>30</v>
      </c>
      <c r="E359" s="1" t="s">
        <v>390</v>
      </c>
      <c r="F359" s="5">
        <v>43762</v>
      </c>
      <c r="G359" s="7">
        <v>43781.465995370374</v>
      </c>
      <c r="H359" s="6">
        <v>864440</v>
      </c>
      <c r="I359" s="1" t="s">
        <v>1314</v>
      </c>
      <c r="J359" s="1" t="s">
        <v>1405</v>
      </c>
      <c r="K359" s="7">
        <v>43794.389966927687</v>
      </c>
      <c r="L359" s="6">
        <v>859350</v>
      </c>
    </row>
    <row r="360" spans="1:12" hidden="1" x14ac:dyDescent="0.25">
      <c r="A360" s="4">
        <v>358</v>
      </c>
      <c r="B360" s="2" t="str">
        <f>HYPERLINK("https://my.zakupki.prom.ua/remote/dispatcher/state_purchase_view/11597099", "UA-2019-05-15-003235-a")</f>
        <v>UA-2019-05-15-003235-a</v>
      </c>
      <c r="C360" s="1" t="s">
        <v>772</v>
      </c>
      <c r="D360" s="1" t="s">
        <v>259</v>
      </c>
      <c r="E360" s="1" t="s">
        <v>390</v>
      </c>
      <c r="F360" s="5">
        <v>43600</v>
      </c>
      <c r="G360" s="7">
        <v>43616.568749999999</v>
      </c>
      <c r="H360" s="6">
        <v>168000</v>
      </c>
      <c r="I360" s="1" t="s">
        <v>1287</v>
      </c>
      <c r="J360" s="1" t="s">
        <v>1405</v>
      </c>
      <c r="K360" s="7">
        <v>43634.394348326168</v>
      </c>
      <c r="L360" s="6">
        <v>164000</v>
      </c>
    </row>
    <row r="361" spans="1:12" hidden="1" x14ac:dyDescent="0.25">
      <c r="A361" s="4">
        <v>359</v>
      </c>
      <c r="B361" s="2" t="str">
        <f>HYPERLINK("https://my.zakupki.prom.ua/remote/dispatcher/state_purchase_view/11964062", "UA-2019-06-18-002169-c")</f>
        <v>UA-2019-06-18-002169-c</v>
      </c>
      <c r="C361" s="1" t="s">
        <v>829</v>
      </c>
      <c r="D361" s="1" t="s">
        <v>246</v>
      </c>
      <c r="E361" s="1" t="s">
        <v>390</v>
      </c>
      <c r="F361" s="5">
        <v>43634</v>
      </c>
      <c r="G361" s="7">
        <v>43651.472939814812</v>
      </c>
      <c r="H361" s="6">
        <v>500000</v>
      </c>
      <c r="I361" s="1" t="s">
        <v>1129</v>
      </c>
      <c r="J361" s="1" t="s">
        <v>1405</v>
      </c>
      <c r="K361" s="7">
        <v>43665.601437680038</v>
      </c>
      <c r="L361" s="6">
        <v>500000</v>
      </c>
    </row>
    <row r="362" spans="1:12" hidden="1" x14ac:dyDescent="0.25">
      <c r="A362" s="4">
        <v>360</v>
      </c>
      <c r="B362" s="2" t="str">
        <f>HYPERLINK("https://my.zakupki.prom.ua/remote/dispatcher/state_purchase_view/12139902", "UA-2019-07-05-001543-c")</f>
        <v>UA-2019-07-05-001543-c</v>
      </c>
      <c r="C362" s="1" t="s">
        <v>420</v>
      </c>
      <c r="D362" s="1" t="s">
        <v>165</v>
      </c>
      <c r="E362" s="1" t="s">
        <v>470</v>
      </c>
      <c r="F362" s="5">
        <v>43651</v>
      </c>
      <c r="G362" s="7">
        <v>43661.471597222226</v>
      </c>
      <c r="H362" s="6">
        <v>17506</v>
      </c>
      <c r="I362" s="1" t="s">
        <v>1330</v>
      </c>
      <c r="J362" s="1" t="s">
        <v>1405</v>
      </c>
      <c r="K362" s="7">
        <v>43669.727154365326</v>
      </c>
      <c r="L362" s="6">
        <v>17506</v>
      </c>
    </row>
    <row r="363" spans="1:12" hidden="1" x14ac:dyDescent="0.25">
      <c r="A363" s="4">
        <v>361</v>
      </c>
      <c r="B363" s="2" t="str">
        <f>HYPERLINK("https://my.zakupki.prom.ua/remote/dispatcher/state_purchase_view/9064052", "UA-2018-11-27-002696-c")</f>
        <v>UA-2018-11-27-002696-c</v>
      </c>
      <c r="C363" s="1" t="s">
        <v>1055</v>
      </c>
      <c r="D363" s="1" t="s">
        <v>132</v>
      </c>
      <c r="E363" s="1" t="s">
        <v>470</v>
      </c>
      <c r="F363" s="5">
        <v>43431</v>
      </c>
      <c r="G363" s="1" t="s">
        <v>1398</v>
      </c>
      <c r="H363" s="6">
        <v>151500</v>
      </c>
      <c r="I363" s="1" t="s">
        <v>1331</v>
      </c>
      <c r="J363" s="1" t="s">
        <v>1405</v>
      </c>
      <c r="K363" s="7">
        <v>43446.421284487209</v>
      </c>
      <c r="L363" s="6">
        <v>151478</v>
      </c>
    </row>
    <row r="364" spans="1:12" hidden="1" x14ac:dyDescent="0.25">
      <c r="A364" s="4">
        <v>362</v>
      </c>
      <c r="B364" s="2" t="str">
        <f>HYPERLINK("https://my.zakupki.prom.ua/remote/dispatcher/state_purchase_view/9108951", "UA-2018-11-30-000431-c")</f>
        <v>UA-2018-11-30-000431-c</v>
      </c>
      <c r="C364" s="1" t="s">
        <v>832</v>
      </c>
      <c r="D364" s="1" t="s">
        <v>246</v>
      </c>
      <c r="E364" s="1" t="s">
        <v>390</v>
      </c>
      <c r="F364" s="5">
        <v>43434</v>
      </c>
      <c r="G364" s="7">
        <v>43451.653495370374</v>
      </c>
      <c r="H364" s="6">
        <v>1400000</v>
      </c>
      <c r="I364" s="1" t="s">
        <v>1129</v>
      </c>
      <c r="J364" s="1" t="s">
        <v>1405</v>
      </c>
      <c r="K364" s="7">
        <v>43468.521618724029</v>
      </c>
      <c r="L364" s="6">
        <v>1393000</v>
      </c>
    </row>
    <row r="365" spans="1:12" hidden="1" x14ac:dyDescent="0.25">
      <c r="A365" s="4">
        <v>363</v>
      </c>
      <c r="B365" s="2" t="str">
        <f>HYPERLINK("https://my.zakupki.prom.ua/remote/dispatcher/state_purchase_view/9436683", "UA-2018-12-19-002075-c")</f>
        <v>UA-2018-12-19-002075-c</v>
      </c>
      <c r="C365" s="1" t="s">
        <v>914</v>
      </c>
      <c r="D365" s="1" t="s">
        <v>214</v>
      </c>
      <c r="E365" s="1" t="s">
        <v>722</v>
      </c>
      <c r="F365" s="5">
        <v>43453</v>
      </c>
      <c r="G365" s="1" t="s">
        <v>1397</v>
      </c>
      <c r="H365" s="6">
        <v>325338</v>
      </c>
      <c r="I365" s="1" t="s">
        <v>510</v>
      </c>
      <c r="J365" s="1" t="s">
        <v>1419</v>
      </c>
      <c r="K365" s="7">
        <v>43475.433201608241</v>
      </c>
      <c r="L365" s="6">
        <v>325338</v>
      </c>
    </row>
    <row r="366" spans="1:12" hidden="1" x14ac:dyDescent="0.25">
      <c r="A366" s="4">
        <v>364</v>
      </c>
      <c r="B366" s="2" t="str">
        <f>HYPERLINK("https://my.zakupki.prom.ua/remote/dispatcher/state_purchase_view/12835025", "UA-2019-09-13-000393-b")</f>
        <v>UA-2019-09-13-000393-b</v>
      </c>
      <c r="C366" s="1" t="s">
        <v>834</v>
      </c>
      <c r="D366" s="1" t="s">
        <v>217</v>
      </c>
      <c r="E366" s="1" t="s">
        <v>470</v>
      </c>
      <c r="F366" s="5">
        <v>43721</v>
      </c>
      <c r="G366" s="1" t="s">
        <v>1398</v>
      </c>
      <c r="H366" s="6">
        <v>45000</v>
      </c>
      <c r="I366" s="1" t="s">
        <v>1143</v>
      </c>
      <c r="J366" s="1" t="s">
        <v>1405</v>
      </c>
      <c r="K366" s="7">
        <v>43733.596398675218</v>
      </c>
      <c r="L366" s="6">
        <v>45000</v>
      </c>
    </row>
    <row r="367" spans="1:12" hidden="1" x14ac:dyDescent="0.25">
      <c r="A367" s="4">
        <v>365</v>
      </c>
      <c r="B367" s="2" t="str">
        <f>HYPERLINK("https://my.zakupki.prom.ua/remote/dispatcher/state_purchase_view/10010872", "UA-2019-01-22-001536-b")</f>
        <v>UA-2019-01-22-001536-b</v>
      </c>
      <c r="C367" s="1" t="s">
        <v>386</v>
      </c>
      <c r="D367" s="1" t="s">
        <v>169</v>
      </c>
      <c r="E367" s="1" t="s">
        <v>470</v>
      </c>
      <c r="F367" s="5">
        <v>43487</v>
      </c>
      <c r="G367" s="1" t="s">
        <v>1398</v>
      </c>
      <c r="H367" s="6">
        <v>78000</v>
      </c>
      <c r="I367" s="1"/>
      <c r="J367" s="1" t="s">
        <v>1419</v>
      </c>
      <c r="K367" s="7">
        <v>43502.626243426166</v>
      </c>
      <c r="L367" s="1"/>
    </row>
    <row r="368" spans="1:12" hidden="1" x14ac:dyDescent="0.25">
      <c r="A368" s="4">
        <v>366</v>
      </c>
      <c r="B368" s="2" t="str">
        <f>HYPERLINK("https://my.zakupki.prom.ua/remote/dispatcher/state_purchase_view/9652086", "UA-2019-01-03-000606-c")</f>
        <v>UA-2019-01-03-000606-c</v>
      </c>
      <c r="C368" s="1" t="s">
        <v>784</v>
      </c>
      <c r="D368" s="1" t="s">
        <v>230</v>
      </c>
      <c r="E368" s="1" t="s">
        <v>488</v>
      </c>
      <c r="F368" s="5">
        <v>43468</v>
      </c>
      <c r="G368" s="1" t="s">
        <v>1397</v>
      </c>
      <c r="H368" s="6">
        <v>35988</v>
      </c>
      <c r="I368" s="1" t="s">
        <v>1247</v>
      </c>
      <c r="J368" s="1" t="s">
        <v>1405</v>
      </c>
      <c r="K368" s="7">
        <v>43468.540588587457</v>
      </c>
      <c r="L368" s="6">
        <v>35988</v>
      </c>
    </row>
    <row r="369" spans="1:12" hidden="1" x14ac:dyDescent="0.25">
      <c r="A369" s="4">
        <v>367</v>
      </c>
      <c r="B369" s="2" t="str">
        <f>HYPERLINK("https://my.zakupki.prom.ua/remote/dispatcher/state_purchase_view/9346649", "UA-2018-12-14-000700-c")</f>
        <v>UA-2018-12-14-000700-c</v>
      </c>
      <c r="C369" s="1" t="s">
        <v>712</v>
      </c>
      <c r="D369" s="1" t="s">
        <v>62</v>
      </c>
      <c r="E369" s="1" t="s">
        <v>488</v>
      </c>
      <c r="F369" s="5">
        <v>43448</v>
      </c>
      <c r="G369" s="1" t="s">
        <v>1397</v>
      </c>
      <c r="H369" s="6">
        <v>37443.54</v>
      </c>
      <c r="I369" s="1" t="s">
        <v>1230</v>
      </c>
      <c r="J369" s="1" t="s">
        <v>1405</v>
      </c>
      <c r="K369" s="7">
        <v>43448.427900868774</v>
      </c>
      <c r="L369" s="6">
        <v>37443.54</v>
      </c>
    </row>
    <row r="370" spans="1:12" hidden="1" x14ac:dyDescent="0.25">
      <c r="A370" s="4">
        <v>368</v>
      </c>
      <c r="B370" s="2" t="str">
        <f>HYPERLINK("https://my.zakupki.prom.ua/remote/dispatcher/state_purchase_view/7146487", "UA-2018-05-16-002427-a")</f>
        <v>UA-2018-05-16-002427-a</v>
      </c>
      <c r="C370" s="1" t="s">
        <v>1036</v>
      </c>
      <c r="D370" s="1" t="s">
        <v>30</v>
      </c>
      <c r="E370" s="1" t="s">
        <v>488</v>
      </c>
      <c r="F370" s="5">
        <v>43236</v>
      </c>
      <c r="G370" s="1" t="s">
        <v>1397</v>
      </c>
      <c r="H370" s="6">
        <v>50000</v>
      </c>
      <c r="I370" s="1" t="s">
        <v>1244</v>
      </c>
      <c r="J370" s="1" t="s">
        <v>1405</v>
      </c>
      <c r="K370" s="7">
        <v>43236.721761277986</v>
      </c>
      <c r="L370" s="6">
        <v>50000</v>
      </c>
    </row>
    <row r="371" spans="1:12" hidden="1" x14ac:dyDescent="0.25">
      <c r="A371" s="4">
        <v>369</v>
      </c>
      <c r="B371" s="2" t="str">
        <f>HYPERLINK("https://my.zakupki.prom.ua/remote/dispatcher/state_purchase_view/7429319", "UA-2018-06-13-002290-a")</f>
        <v>UA-2018-06-13-002290-a</v>
      </c>
      <c r="C371" s="1" t="s">
        <v>1013</v>
      </c>
      <c r="D371" s="1" t="s">
        <v>226</v>
      </c>
      <c r="E371" s="1" t="s">
        <v>722</v>
      </c>
      <c r="F371" s="5">
        <v>43264</v>
      </c>
      <c r="G371" s="1" t="s">
        <v>1397</v>
      </c>
      <c r="H371" s="6">
        <v>123152</v>
      </c>
      <c r="I371" s="1" t="s">
        <v>708</v>
      </c>
      <c r="J371" s="1" t="s">
        <v>1405</v>
      </c>
      <c r="K371" s="7">
        <v>43283.627350247698</v>
      </c>
      <c r="L371" s="6">
        <v>123152</v>
      </c>
    </row>
    <row r="372" spans="1:12" hidden="1" x14ac:dyDescent="0.25">
      <c r="A372" s="4">
        <v>370</v>
      </c>
      <c r="B372" s="2" t="str">
        <f>HYPERLINK("https://my.zakupki.prom.ua/remote/dispatcher/state_purchase_view/11669949", "UA-2019-05-22-000740-a")</f>
        <v>UA-2019-05-22-000740-a</v>
      </c>
      <c r="C372" s="1" t="s">
        <v>15</v>
      </c>
      <c r="D372" s="1" t="s">
        <v>241</v>
      </c>
      <c r="E372" s="1" t="s">
        <v>391</v>
      </c>
      <c r="F372" s="5">
        <v>43607</v>
      </c>
      <c r="G372" s="7">
        <v>43648.619155092594</v>
      </c>
      <c r="H372" s="6">
        <v>2240000</v>
      </c>
      <c r="I372" s="1" t="s">
        <v>1148</v>
      </c>
      <c r="J372" s="1" t="s">
        <v>1405</v>
      </c>
      <c r="K372" s="7">
        <v>43662.401197958345</v>
      </c>
      <c r="L372" s="6">
        <v>2210000</v>
      </c>
    </row>
    <row r="373" spans="1:12" hidden="1" x14ac:dyDescent="0.25">
      <c r="A373" s="4">
        <v>371</v>
      </c>
      <c r="B373" s="2" t="str">
        <f>HYPERLINK("https://my.zakupki.prom.ua/remote/dispatcher/state_purchase_view/9672376", "UA-2019-01-04-001456-c")</f>
        <v>UA-2019-01-04-001456-c</v>
      </c>
      <c r="C373" s="1" t="s">
        <v>401</v>
      </c>
      <c r="D373" s="1" t="s">
        <v>170</v>
      </c>
      <c r="E373" s="1" t="s">
        <v>470</v>
      </c>
      <c r="F373" s="5">
        <v>43469</v>
      </c>
      <c r="G373" s="7">
        <v>43481.470081018517</v>
      </c>
      <c r="H373" s="6">
        <v>162860</v>
      </c>
      <c r="I373" s="1" t="s">
        <v>1331</v>
      </c>
      <c r="J373" s="1" t="s">
        <v>1405</v>
      </c>
      <c r="K373" s="7">
        <v>43487.692632194434</v>
      </c>
      <c r="L373" s="6">
        <v>158900</v>
      </c>
    </row>
    <row r="374" spans="1:12" hidden="1" x14ac:dyDescent="0.25">
      <c r="A374" s="4">
        <v>372</v>
      </c>
      <c r="B374" s="2" t="str">
        <f>HYPERLINK("https://my.zakupki.prom.ua/remote/dispatcher/state_purchase_view/9097566", "UA-2018-11-29-001597-c")</f>
        <v>UA-2018-11-29-001597-c</v>
      </c>
      <c r="C374" s="1" t="s">
        <v>377</v>
      </c>
      <c r="D374" s="1" t="s">
        <v>133</v>
      </c>
      <c r="E374" s="1" t="s">
        <v>470</v>
      </c>
      <c r="F374" s="5">
        <v>43433</v>
      </c>
      <c r="G374" s="1" t="s">
        <v>1398</v>
      </c>
      <c r="H374" s="6">
        <v>82208</v>
      </c>
      <c r="I374" s="1" t="s">
        <v>1137</v>
      </c>
      <c r="J374" s="1" t="s">
        <v>1405</v>
      </c>
      <c r="K374" s="7">
        <v>43447.618493120382</v>
      </c>
      <c r="L374" s="6">
        <v>82208</v>
      </c>
    </row>
    <row r="375" spans="1:12" hidden="1" x14ac:dyDescent="0.25">
      <c r="A375" s="4">
        <v>373</v>
      </c>
      <c r="B375" s="2" t="str">
        <f>HYPERLINK("https://my.zakupki.prom.ua/remote/dispatcher/state_purchase_view/8886765", "UA-2018-11-14-001819-a")</f>
        <v>UA-2018-11-14-001819-a</v>
      </c>
      <c r="C375" s="1" t="s">
        <v>831</v>
      </c>
      <c r="D375" s="1" t="s">
        <v>246</v>
      </c>
      <c r="E375" s="1" t="s">
        <v>390</v>
      </c>
      <c r="F375" s="5">
        <v>43418</v>
      </c>
      <c r="G375" s="7">
        <v>43434.540636574071</v>
      </c>
      <c r="H375" s="6">
        <v>500000</v>
      </c>
      <c r="I375" s="1" t="s">
        <v>1129</v>
      </c>
      <c r="J375" s="1" t="s">
        <v>1405</v>
      </c>
      <c r="K375" s="7">
        <v>43448.409708153806</v>
      </c>
      <c r="L375" s="6">
        <v>497500</v>
      </c>
    </row>
    <row r="376" spans="1:12" hidden="1" x14ac:dyDescent="0.25">
      <c r="A376" s="4">
        <v>374</v>
      </c>
      <c r="B376" s="2" t="str">
        <f>HYPERLINK("https://my.zakupki.prom.ua/remote/dispatcher/state_purchase_view/11910771", "UA-2019-06-12-001280-b")</f>
        <v>UA-2019-06-12-001280-b</v>
      </c>
      <c r="C376" s="1" t="s">
        <v>926</v>
      </c>
      <c r="D376" s="1" t="s">
        <v>228</v>
      </c>
      <c r="E376" s="1" t="s">
        <v>488</v>
      </c>
      <c r="F376" s="5">
        <v>43628</v>
      </c>
      <c r="G376" s="1" t="s">
        <v>1397</v>
      </c>
      <c r="H376" s="6">
        <v>5700</v>
      </c>
      <c r="I376" s="1" t="s">
        <v>721</v>
      </c>
      <c r="J376" s="1" t="s">
        <v>1405</v>
      </c>
      <c r="K376" s="7">
        <v>43628.592134473503</v>
      </c>
      <c r="L376" s="6">
        <v>5700</v>
      </c>
    </row>
    <row r="377" spans="1:12" hidden="1" x14ac:dyDescent="0.25">
      <c r="A377" s="4">
        <v>375</v>
      </c>
      <c r="B377" s="2" t="str">
        <f>HYPERLINK("https://my.zakupki.prom.ua/remote/dispatcher/state_purchase_view/11254328", "UA-2019-04-10-002068-a")</f>
        <v>UA-2019-04-10-002068-a</v>
      </c>
      <c r="C377" s="1" t="s">
        <v>339</v>
      </c>
      <c r="D377" s="1" t="s">
        <v>30</v>
      </c>
      <c r="E377" s="1" t="s">
        <v>390</v>
      </c>
      <c r="F377" s="5">
        <v>43565</v>
      </c>
      <c r="G377" s="7">
        <v>43581.589548611111</v>
      </c>
      <c r="H377" s="6">
        <v>297800</v>
      </c>
      <c r="I377" s="1"/>
      <c r="J377" s="1" t="s">
        <v>1406</v>
      </c>
      <c r="K377" s="7">
        <v>43598.002101464859</v>
      </c>
      <c r="L377" s="1"/>
    </row>
    <row r="378" spans="1:12" hidden="1" x14ac:dyDescent="0.25">
      <c r="A378" s="4">
        <v>376</v>
      </c>
      <c r="B378" s="2" t="str">
        <f>HYPERLINK("https://my.zakupki.prom.ua/remote/dispatcher/state_purchase_view/11280736", "UA-2019-04-12-000566-a")</f>
        <v>UA-2019-04-12-000566-a</v>
      </c>
      <c r="C378" s="1" t="s">
        <v>339</v>
      </c>
      <c r="D378" s="1" t="s">
        <v>30</v>
      </c>
      <c r="E378" s="1" t="s">
        <v>390</v>
      </c>
      <c r="F378" s="5">
        <v>43567</v>
      </c>
      <c r="G378" s="7">
        <v>43587.487592592595</v>
      </c>
      <c r="H378" s="6">
        <v>597417.6</v>
      </c>
      <c r="I378" s="1" t="s">
        <v>1126</v>
      </c>
      <c r="J378" s="1" t="s">
        <v>1405</v>
      </c>
      <c r="K378" s="7">
        <v>43605.386652946887</v>
      </c>
      <c r="L378" s="6">
        <v>597168</v>
      </c>
    </row>
    <row r="379" spans="1:12" hidden="1" x14ac:dyDescent="0.25">
      <c r="A379" s="4">
        <v>377</v>
      </c>
      <c r="B379" s="2" t="str">
        <f>HYPERLINK("https://my.zakupki.prom.ua/remote/dispatcher/state_purchase_view/12919747", "UA-2019-09-20-000904-b")</f>
        <v>UA-2019-09-20-000904-b</v>
      </c>
      <c r="C379" s="1" t="s">
        <v>867</v>
      </c>
      <c r="D379" s="1" t="s">
        <v>255</v>
      </c>
      <c r="E379" s="1" t="s">
        <v>390</v>
      </c>
      <c r="F379" s="5">
        <v>43728</v>
      </c>
      <c r="G379" s="7">
        <v>43745.633263888885</v>
      </c>
      <c r="H379" s="6">
        <v>150427</v>
      </c>
      <c r="I379" s="1" t="s">
        <v>1135</v>
      </c>
      <c r="J379" s="1" t="s">
        <v>1405</v>
      </c>
      <c r="K379" s="7">
        <v>43759.683784590496</v>
      </c>
      <c r="L379" s="6">
        <v>150150</v>
      </c>
    </row>
    <row r="380" spans="1:12" hidden="1" x14ac:dyDescent="0.25">
      <c r="A380" s="4">
        <v>378</v>
      </c>
      <c r="B380" s="2" t="str">
        <f>HYPERLINK("https://my.zakupki.prom.ua/remote/dispatcher/state_purchase_view/13049424", "UA-2019-10-02-001576-b")</f>
        <v>UA-2019-10-02-001576-b</v>
      </c>
      <c r="C380" s="1" t="s">
        <v>399</v>
      </c>
      <c r="D380" s="1" t="s">
        <v>41</v>
      </c>
      <c r="E380" s="1" t="s">
        <v>470</v>
      </c>
      <c r="F380" s="5">
        <v>43740</v>
      </c>
      <c r="G380" s="1" t="s">
        <v>1398</v>
      </c>
      <c r="H380" s="6">
        <v>21999</v>
      </c>
      <c r="I380" s="1" t="s">
        <v>449</v>
      </c>
      <c r="J380" s="1" t="s">
        <v>1405</v>
      </c>
      <c r="K380" s="7">
        <v>43760.675664528484</v>
      </c>
      <c r="L380" s="6">
        <v>21999</v>
      </c>
    </row>
    <row r="381" spans="1:12" hidden="1" x14ac:dyDescent="0.25">
      <c r="A381" s="4">
        <v>379</v>
      </c>
      <c r="B381" s="2" t="str">
        <f>HYPERLINK("https://my.zakupki.prom.ua/remote/dispatcher/state_purchase_view/12501454", "UA-2019-08-12-000226-a")</f>
        <v>UA-2019-08-12-000226-a</v>
      </c>
      <c r="C381" s="1" t="s">
        <v>612</v>
      </c>
      <c r="D381" s="1" t="s">
        <v>166</v>
      </c>
      <c r="E381" s="1" t="s">
        <v>390</v>
      </c>
      <c r="F381" s="5">
        <v>43689</v>
      </c>
      <c r="G381" s="7">
        <v>43705.640115740738</v>
      </c>
      <c r="H381" s="6">
        <v>28200</v>
      </c>
      <c r="I381" s="1" t="s">
        <v>1330</v>
      </c>
      <c r="J381" s="1" t="s">
        <v>1405</v>
      </c>
      <c r="K381" s="7">
        <v>43719.693794756204</v>
      </c>
      <c r="L381" s="6">
        <v>27605.279999999999</v>
      </c>
    </row>
    <row r="382" spans="1:12" hidden="1" x14ac:dyDescent="0.25">
      <c r="A382" s="4">
        <v>380</v>
      </c>
      <c r="B382" s="2" t="str">
        <f>HYPERLINK("https://my.zakupki.prom.ua/remote/dispatcher/state_purchase_view/11010672", "UA-2019-03-21-000274-a")</f>
        <v>UA-2019-03-21-000274-a</v>
      </c>
      <c r="C382" s="1" t="s">
        <v>785</v>
      </c>
      <c r="D382" s="1" t="s">
        <v>231</v>
      </c>
      <c r="E382" s="1" t="s">
        <v>488</v>
      </c>
      <c r="F382" s="5">
        <v>43545</v>
      </c>
      <c r="G382" s="1" t="s">
        <v>1397</v>
      </c>
      <c r="H382" s="6">
        <v>2729.1</v>
      </c>
      <c r="I382" s="1" t="s">
        <v>1059</v>
      </c>
      <c r="J382" s="1" t="s">
        <v>1405</v>
      </c>
      <c r="K382" s="7">
        <v>43545.44954089223</v>
      </c>
      <c r="L382" s="6">
        <v>2729.1</v>
      </c>
    </row>
    <row r="383" spans="1:12" hidden="1" x14ac:dyDescent="0.25">
      <c r="A383" s="4">
        <v>381</v>
      </c>
      <c r="B383" s="2" t="str">
        <f>HYPERLINK("https://my.zakupki.prom.ua/remote/dispatcher/state_purchase_view/10611549", "UA-2019-02-18-001833-b")</f>
        <v>UA-2019-02-18-001833-b</v>
      </c>
      <c r="C383" s="1" t="s">
        <v>585</v>
      </c>
      <c r="D383" s="1" t="s">
        <v>169</v>
      </c>
      <c r="E383" s="1" t="s">
        <v>390</v>
      </c>
      <c r="F383" s="5">
        <v>43514</v>
      </c>
      <c r="G383" s="7">
        <v>43530.575891203705</v>
      </c>
      <c r="H383" s="6">
        <v>638000</v>
      </c>
      <c r="I383" s="1" t="s">
        <v>1313</v>
      </c>
      <c r="J383" s="1" t="s">
        <v>1404</v>
      </c>
      <c r="K383" s="7">
        <v>43549.395312442604</v>
      </c>
      <c r="L383" s="6">
        <v>572500</v>
      </c>
    </row>
    <row r="384" spans="1:12" hidden="1" x14ac:dyDescent="0.25">
      <c r="A384" s="4">
        <v>382</v>
      </c>
      <c r="B384" s="2" t="str">
        <f>HYPERLINK("https://my.zakupki.prom.ua/remote/dispatcher/state_purchase_view/10611549", "UA-2019-02-18-001833-b")</f>
        <v>UA-2019-02-18-001833-b</v>
      </c>
      <c r="C384" s="1" t="s">
        <v>586</v>
      </c>
      <c r="D384" s="1" t="s">
        <v>169</v>
      </c>
      <c r="E384" s="1" t="s">
        <v>390</v>
      </c>
      <c r="F384" s="5">
        <v>43514</v>
      </c>
      <c r="G384" s="7">
        <v>43530.596631944441</v>
      </c>
      <c r="H384" s="6">
        <v>638000</v>
      </c>
      <c r="I384" s="1" t="s">
        <v>1331</v>
      </c>
      <c r="J384" s="1" t="s">
        <v>1404</v>
      </c>
      <c r="K384" s="7">
        <v>43546.592870262568</v>
      </c>
      <c r="L384" s="6">
        <v>62800</v>
      </c>
    </row>
    <row r="385" spans="1:12" hidden="1" x14ac:dyDescent="0.25">
      <c r="A385" s="4">
        <v>383</v>
      </c>
      <c r="B385" s="2" t="str">
        <f>HYPERLINK("https://my.zakupki.prom.ua/remote/dispatcher/state_purchase_view/10654407", "UA-2019-02-20-002332-b")</f>
        <v>UA-2019-02-20-002332-b</v>
      </c>
      <c r="C385" s="1" t="s">
        <v>474</v>
      </c>
      <c r="D385" s="1" t="s">
        <v>36</v>
      </c>
      <c r="E385" s="1" t="s">
        <v>723</v>
      </c>
      <c r="F385" s="5">
        <v>43516</v>
      </c>
      <c r="G385" s="1" t="s">
        <v>1397</v>
      </c>
      <c r="H385" s="6">
        <v>713653.34</v>
      </c>
      <c r="I385" s="1" t="s">
        <v>1201</v>
      </c>
      <c r="J385" s="1" t="s">
        <v>1405</v>
      </c>
      <c r="K385" s="7">
        <v>43522.637435618948</v>
      </c>
      <c r="L385" s="6">
        <v>713653.34</v>
      </c>
    </row>
    <row r="386" spans="1:12" hidden="1" x14ac:dyDescent="0.25">
      <c r="A386" s="4">
        <v>384</v>
      </c>
      <c r="B386" s="2" t="str">
        <f>HYPERLINK("https://my.zakupki.prom.ua/remote/dispatcher/state_purchase_view/10584062", "UA-2019-02-15-001033-b")</f>
        <v>UA-2019-02-15-001033-b</v>
      </c>
      <c r="C386" s="1" t="s">
        <v>1031</v>
      </c>
      <c r="D386" s="1" t="s">
        <v>220</v>
      </c>
      <c r="E386" s="1" t="s">
        <v>488</v>
      </c>
      <c r="F386" s="5">
        <v>43511</v>
      </c>
      <c r="G386" s="1" t="s">
        <v>1397</v>
      </c>
      <c r="H386" s="6">
        <v>1498000</v>
      </c>
      <c r="I386" s="1" t="s">
        <v>1372</v>
      </c>
      <c r="J386" s="1" t="s">
        <v>1405</v>
      </c>
      <c r="K386" s="7">
        <v>43511.505253092895</v>
      </c>
      <c r="L386" s="6">
        <v>1498000</v>
      </c>
    </row>
    <row r="387" spans="1:12" hidden="1" x14ac:dyDescent="0.25">
      <c r="A387" s="4">
        <v>385</v>
      </c>
      <c r="B387" s="2" t="str">
        <f>HYPERLINK("https://my.zakupki.prom.ua/remote/dispatcher/state_purchase_view/1269319", "UA-2016-12-21-001358-b")</f>
        <v>UA-2016-12-21-001358-b</v>
      </c>
      <c r="C387" s="1" t="s">
        <v>933</v>
      </c>
      <c r="D387" s="1" t="s">
        <v>242</v>
      </c>
      <c r="E387" s="1" t="s">
        <v>390</v>
      </c>
      <c r="F387" s="5">
        <v>42725</v>
      </c>
      <c r="G387" s="1" t="s">
        <v>1398</v>
      </c>
      <c r="H387" s="6">
        <v>600000</v>
      </c>
      <c r="I387" s="1"/>
      <c r="J387" s="1" t="s">
        <v>1406</v>
      </c>
      <c r="K387" s="7">
        <v>42740.604285927329</v>
      </c>
      <c r="L387" s="1"/>
    </row>
    <row r="388" spans="1:12" hidden="1" x14ac:dyDescent="0.25">
      <c r="A388" s="4">
        <v>386</v>
      </c>
      <c r="B388" s="2" t="str">
        <f>HYPERLINK("https://my.zakupki.prom.ua/remote/dispatcher/state_purchase_view/2041080", "UA-2017-02-08-001503-c")</f>
        <v>UA-2017-02-08-001503-c</v>
      </c>
      <c r="C388" s="1" t="s">
        <v>974</v>
      </c>
      <c r="D388" s="1" t="s">
        <v>213</v>
      </c>
      <c r="E388" s="1" t="s">
        <v>488</v>
      </c>
      <c r="F388" s="5">
        <v>42774</v>
      </c>
      <c r="G388" s="1" t="s">
        <v>1397</v>
      </c>
      <c r="H388" s="6">
        <v>22320</v>
      </c>
      <c r="I388" s="1" t="s">
        <v>693</v>
      </c>
      <c r="J388" s="1" t="s">
        <v>1405</v>
      </c>
      <c r="K388" s="7">
        <v>42774.588516990552</v>
      </c>
      <c r="L388" s="6">
        <v>22320</v>
      </c>
    </row>
    <row r="389" spans="1:12" hidden="1" x14ac:dyDescent="0.25">
      <c r="A389" s="4">
        <v>387</v>
      </c>
      <c r="B389" s="2" t="str">
        <f>HYPERLINK("https://my.zakupki.prom.ua/remote/dispatcher/state_purchase_view/2584310", "UA-2017-03-21-001101-b")</f>
        <v>UA-2017-03-21-001101-b</v>
      </c>
      <c r="C389" s="1" t="s">
        <v>808</v>
      </c>
      <c r="D389" s="1" t="s">
        <v>234</v>
      </c>
      <c r="E389" s="1" t="s">
        <v>470</v>
      </c>
      <c r="F389" s="5">
        <v>42815</v>
      </c>
      <c r="G389" s="1" t="s">
        <v>1398</v>
      </c>
      <c r="H389" s="6">
        <v>199900</v>
      </c>
      <c r="I389" s="1" t="s">
        <v>1130</v>
      </c>
      <c r="J389" s="1" t="s">
        <v>1405</v>
      </c>
      <c r="K389" s="7">
        <v>42828.656998082071</v>
      </c>
      <c r="L389" s="6">
        <v>199888.01</v>
      </c>
    </row>
    <row r="390" spans="1:12" hidden="1" x14ac:dyDescent="0.25">
      <c r="A390" s="4">
        <v>388</v>
      </c>
      <c r="B390" s="2" t="str">
        <f>HYPERLINK("https://my.zakupki.prom.ua/remote/dispatcher/state_purchase_view/2727213", "UA-2017-04-03-002194-b")</f>
        <v>UA-2017-04-03-002194-b</v>
      </c>
      <c r="C390" s="1" t="s">
        <v>277</v>
      </c>
      <c r="D390" s="1" t="s">
        <v>266</v>
      </c>
      <c r="E390" s="1" t="s">
        <v>390</v>
      </c>
      <c r="F390" s="5">
        <v>42828</v>
      </c>
      <c r="G390" s="7">
        <v>42845.558576388888</v>
      </c>
      <c r="H390" s="6">
        <v>1600000</v>
      </c>
      <c r="I390" s="1" t="s">
        <v>1129</v>
      </c>
      <c r="J390" s="1" t="s">
        <v>1405</v>
      </c>
      <c r="K390" s="7">
        <v>42865.749238371507</v>
      </c>
      <c r="L390" s="6">
        <v>1592000</v>
      </c>
    </row>
    <row r="391" spans="1:12" hidden="1" x14ac:dyDescent="0.25">
      <c r="A391" s="4">
        <v>389</v>
      </c>
      <c r="B391" s="2" t="str">
        <f>HYPERLINK("https://my.zakupki.prom.ua/remote/dispatcher/state_purchase_view/2786794", "UA-2017-04-10-000893-b")</f>
        <v>UA-2017-04-10-000893-b</v>
      </c>
      <c r="C391" s="1" t="s">
        <v>1269</v>
      </c>
      <c r="D391" s="1" t="s">
        <v>210</v>
      </c>
      <c r="E391" s="1" t="s">
        <v>470</v>
      </c>
      <c r="F391" s="5">
        <v>42835</v>
      </c>
      <c r="G391" s="1" t="s">
        <v>1398</v>
      </c>
      <c r="H391" s="6">
        <v>178178</v>
      </c>
      <c r="I391" s="1" t="s">
        <v>1181</v>
      </c>
      <c r="J391" s="1" t="s">
        <v>1405</v>
      </c>
      <c r="K391" s="7">
        <v>42846.628173106692</v>
      </c>
      <c r="L391" s="6">
        <v>176006.22</v>
      </c>
    </row>
    <row r="392" spans="1:12" hidden="1" x14ac:dyDescent="0.25">
      <c r="A392" s="4">
        <v>390</v>
      </c>
      <c r="B392" s="2" t="str">
        <f>HYPERLINK("https://my.zakupki.prom.ua/remote/dispatcher/state_purchase_view/2942610", "UA-2017-04-27-001409-b")</f>
        <v>UA-2017-04-27-001409-b</v>
      </c>
      <c r="C392" s="1" t="s">
        <v>1284</v>
      </c>
      <c r="D392" s="1" t="s">
        <v>111</v>
      </c>
      <c r="E392" s="1" t="s">
        <v>470</v>
      </c>
      <c r="F392" s="5">
        <v>42852</v>
      </c>
      <c r="G392" s="1" t="s">
        <v>1398</v>
      </c>
      <c r="H392" s="6">
        <v>11994</v>
      </c>
      <c r="I392" s="1" t="s">
        <v>1115</v>
      </c>
      <c r="J392" s="1" t="s">
        <v>1405</v>
      </c>
      <c r="K392" s="7">
        <v>42872.733010923068</v>
      </c>
      <c r="L392" s="6">
        <v>11993.98</v>
      </c>
    </row>
    <row r="393" spans="1:12" hidden="1" x14ac:dyDescent="0.25">
      <c r="A393" s="4">
        <v>391</v>
      </c>
      <c r="B393" s="2" t="str">
        <f>HYPERLINK("https://my.zakupki.prom.ua/remote/dispatcher/state_purchase_view/3675349", "UA-2017-07-31-001572-b")</f>
        <v>UA-2017-07-31-001572-b</v>
      </c>
      <c r="C393" s="1" t="s">
        <v>386</v>
      </c>
      <c r="D393" s="1" t="s">
        <v>169</v>
      </c>
      <c r="E393" s="1" t="s">
        <v>470</v>
      </c>
      <c r="F393" s="5">
        <v>42947</v>
      </c>
      <c r="G393" s="7">
        <v>42956.597418981481</v>
      </c>
      <c r="H393" s="6">
        <v>65000</v>
      </c>
      <c r="I393" s="1" t="s">
        <v>1295</v>
      </c>
      <c r="J393" s="1" t="s">
        <v>1405</v>
      </c>
      <c r="K393" s="7">
        <v>42982.539797250822</v>
      </c>
      <c r="L393" s="6">
        <v>34900</v>
      </c>
    </row>
    <row r="394" spans="1:12" hidden="1" x14ac:dyDescent="0.25">
      <c r="A394" s="4">
        <v>392</v>
      </c>
      <c r="B394" s="2" t="str">
        <f>HYPERLINK("https://my.zakupki.prom.ua/remote/dispatcher/state_purchase_view/3487982", "UA-2017-07-06-000489-b")</f>
        <v>UA-2017-07-06-000489-b</v>
      </c>
      <c r="C394" s="1" t="s">
        <v>1085</v>
      </c>
      <c r="D394" s="1" t="s">
        <v>120</v>
      </c>
      <c r="E394" s="1" t="s">
        <v>470</v>
      </c>
      <c r="F394" s="5">
        <v>42922</v>
      </c>
      <c r="G394" s="7">
        <v>42934.55636574074</v>
      </c>
      <c r="H394" s="6">
        <v>79000</v>
      </c>
      <c r="I394" s="1" t="s">
        <v>1170</v>
      </c>
      <c r="J394" s="1" t="s">
        <v>1405</v>
      </c>
      <c r="K394" s="7">
        <v>42944.607925370408</v>
      </c>
      <c r="L394" s="6">
        <v>77000</v>
      </c>
    </row>
    <row r="395" spans="1:12" hidden="1" x14ac:dyDescent="0.25">
      <c r="A395" s="4">
        <v>393</v>
      </c>
      <c r="B395" s="2" t="str">
        <f>HYPERLINK("https://my.zakupki.prom.ua/remote/dispatcher/state_purchase_view/3487604", "UA-2017-07-06-000434-b")</f>
        <v>UA-2017-07-06-000434-b</v>
      </c>
      <c r="C395" s="1" t="s">
        <v>386</v>
      </c>
      <c r="D395" s="1" t="s">
        <v>170</v>
      </c>
      <c r="E395" s="1" t="s">
        <v>470</v>
      </c>
      <c r="F395" s="5">
        <v>42922</v>
      </c>
      <c r="G395" s="7">
        <v>42934.602430555555</v>
      </c>
      <c r="H395" s="6">
        <v>86000</v>
      </c>
      <c r="I395" s="1" t="s">
        <v>1170</v>
      </c>
      <c r="J395" s="1" t="s">
        <v>1405</v>
      </c>
      <c r="K395" s="7">
        <v>42941.439989015773</v>
      </c>
      <c r="L395" s="6">
        <v>82900</v>
      </c>
    </row>
    <row r="396" spans="1:12" hidden="1" x14ac:dyDescent="0.25">
      <c r="A396" s="4">
        <v>394</v>
      </c>
      <c r="B396" s="2" t="str">
        <f>HYPERLINK("https://my.zakupki.prom.ua/remote/dispatcher/state_purchase_view/3837444", "UA-2017-08-19-000379-a")</f>
        <v>UA-2017-08-19-000379-a</v>
      </c>
      <c r="C396" s="1" t="s">
        <v>877</v>
      </c>
      <c r="D396" s="1" t="s">
        <v>248</v>
      </c>
      <c r="E396" s="1" t="s">
        <v>470</v>
      </c>
      <c r="F396" s="5">
        <v>42966</v>
      </c>
      <c r="G396" s="1" t="s">
        <v>1398</v>
      </c>
      <c r="H396" s="6">
        <v>85000</v>
      </c>
      <c r="I396" s="1" t="s">
        <v>1161</v>
      </c>
      <c r="J396" s="1" t="s">
        <v>1405</v>
      </c>
      <c r="K396" s="7">
        <v>42985.695691627567</v>
      </c>
      <c r="L396" s="6">
        <v>83566.5</v>
      </c>
    </row>
    <row r="397" spans="1:12" hidden="1" x14ac:dyDescent="0.25">
      <c r="A397" s="4">
        <v>395</v>
      </c>
      <c r="B397" s="2" t="str">
        <f>HYPERLINK("https://my.zakupki.prom.ua/remote/dispatcher/state_purchase_view/2180203", "UA-2017-02-16-002517-c")</f>
        <v>UA-2017-02-16-002517-c</v>
      </c>
      <c r="C397" s="1" t="s">
        <v>517</v>
      </c>
      <c r="D397" s="1" t="s">
        <v>174</v>
      </c>
      <c r="E397" s="1" t="s">
        <v>470</v>
      </c>
      <c r="F397" s="5">
        <v>42782</v>
      </c>
      <c r="G397" s="7">
        <v>42793.573796296296</v>
      </c>
      <c r="H397" s="6">
        <v>21250</v>
      </c>
      <c r="I397" s="1" t="s">
        <v>1146</v>
      </c>
      <c r="J397" s="1" t="s">
        <v>1405</v>
      </c>
      <c r="K397" s="7">
        <v>42801.506703879051</v>
      </c>
      <c r="L397" s="6">
        <v>20929</v>
      </c>
    </row>
    <row r="398" spans="1:12" hidden="1" x14ac:dyDescent="0.25">
      <c r="A398" s="4">
        <v>396</v>
      </c>
      <c r="B398" s="2" t="str">
        <f>HYPERLINK("https://my.zakupki.prom.ua/remote/dispatcher/state_purchase_view/2544589", "UA-2017-03-17-000655-b")</f>
        <v>UA-2017-03-17-000655-b</v>
      </c>
      <c r="C398" s="1" t="s">
        <v>388</v>
      </c>
      <c r="D398" s="1" t="s">
        <v>259</v>
      </c>
      <c r="E398" s="1" t="s">
        <v>470</v>
      </c>
      <c r="F398" s="5">
        <v>42811</v>
      </c>
      <c r="G398" s="1" t="s">
        <v>1398</v>
      </c>
      <c r="H398" s="6">
        <v>25200</v>
      </c>
      <c r="I398" s="1" t="s">
        <v>1308</v>
      </c>
      <c r="J398" s="1" t="s">
        <v>1405</v>
      </c>
      <c r="K398" s="7">
        <v>42823.713758709062</v>
      </c>
      <c r="L398" s="6">
        <v>25200</v>
      </c>
    </row>
    <row r="399" spans="1:12" hidden="1" x14ac:dyDescent="0.25">
      <c r="A399" s="4">
        <v>397</v>
      </c>
      <c r="B399" s="2" t="str">
        <f>HYPERLINK("https://my.zakupki.prom.ua/remote/dispatcher/state_purchase_view/13260389", "UA-2019-10-22-001190-b")</f>
        <v>UA-2019-10-22-001190-b</v>
      </c>
      <c r="C399" s="1" t="s">
        <v>830</v>
      </c>
      <c r="D399" s="1" t="s">
        <v>246</v>
      </c>
      <c r="E399" s="1" t="s">
        <v>470</v>
      </c>
      <c r="F399" s="5">
        <v>43760</v>
      </c>
      <c r="G399" s="1" t="s">
        <v>1398</v>
      </c>
      <c r="H399" s="6">
        <v>199000</v>
      </c>
      <c r="I399" s="1" t="s">
        <v>1316</v>
      </c>
      <c r="J399" s="1" t="s">
        <v>1405</v>
      </c>
      <c r="K399" s="7">
        <v>43770.710818879605</v>
      </c>
      <c r="L399" s="6">
        <v>199000</v>
      </c>
    </row>
    <row r="400" spans="1:12" hidden="1" x14ac:dyDescent="0.25">
      <c r="A400" s="4">
        <v>398</v>
      </c>
      <c r="B400" s="2" t="str">
        <f>HYPERLINK("https://my.zakupki.prom.ua/remote/dispatcher/state_purchase_view/13195527", "UA-2019-10-16-002559-b")</f>
        <v>UA-2019-10-16-002559-b</v>
      </c>
      <c r="C400" s="1" t="s">
        <v>1081</v>
      </c>
      <c r="D400" s="1" t="s">
        <v>49</v>
      </c>
      <c r="E400" s="1" t="s">
        <v>470</v>
      </c>
      <c r="F400" s="5">
        <v>43754</v>
      </c>
      <c r="G400" s="7">
        <v>43762.546018518522</v>
      </c>
      <c r="H400" s="6">
        <v>144000</v>
      </c>
      <c r="I400" s="1" t="s">
        <v>698</v>
      </c>
      <c r="J400" s="1" t="s">
        <v>1405</v>
      </c>
      <c r="K400" s="7">
        <v>43780.692506316875</v>
      </c>
      <c r="L400" s="6">
        <v>75712.320000000007</v>
      </c>
    </row>
    <row r="401" spans="1:12" hidden="1" x14ac:dyDescent="0.25">
      <c r="A401" s="4">
        <v>399</v>
      </c>
      <c r="B401" s="2" t="str">
        <f>HYPERLINK("https://my.zakupki.prom.ua/remote/dispatcher/state_purchase_view/4473458", "UA-2017-11-01-002718-a")</f>
        <v>UA-2017-11-01-002718-a</v>
      </c>
      <c r="C401" s="1" t="s">
        <v>828</v>
      </c>
      <c r="D401" s="1" t="s">
        <v>246</v>
      </c>
      <c r="E401" s="1" t="s">
        <v>390</v>
      </c>
      <c r="F401" s="5">
        <v>43040</v>
      </c>
      <c r="G401" s="7">
        <v>43056.513287037036</v>
      </c>
      <c r="H401" s="6">
        <v>4100000</v>
      </c>
      <c r="I401" s="1" t="s">
        <v>1129</v>
      </c>
      <c r="J401" s="1" t="s">
        <v>1405</v>
      </c>
      <c r="K401" s="7">
        <v>43070.569510579575</v>
      </c>
      <c r="L401" s="6">
        <v>4079500</v>
      </c>
    </row>
    <row r="402" spans="1:12" hidden="1" x14ac:dyDescent="0.25">
      <c r="A402" s="4">
        <v>400</v>
      </c>
      <c r="B402" s="2" t="str">
        <f>HYPERLINK("https://my.zakupki.prom.ua/remote/dispatcher/state_purchase_view/4800626", "UA-2017-11-30-000697-c")</f>
        <v>UA-2017-11-30-000697-c</v>
      </c>
      <c r="C402" s="1" t="s">
        <v>380</v>
      </c>
      <c r="D402" s="1" t="s">
        <v>178</v>
      </c>
      <c r="E402" s="1" t="s">
        <v>470</v>
      </c>
      <c r="F402" s="5">
        <v>43069</v>
      </c>
      <c r="G402" s="1" t="s">
        <v>1398</v>
      </c>
      <c r="H402" s="6">
        <v>12000</v>
      </c>
      <c r="I402" s="1" t="s">
        <v>313</v>
      </c>
      <c r="J402" s="1" t="s">
        <v>1405</v>
      </c>
      <c r="K402" s="7">
        <v>43080.703719546931</v>
      </c>
      <c r="L402" s="6">
        <v>10161.530000000001</v>
      </c>
    </row>
    <row r="403" spans="1:12" hidden="1" x14ac:dyDescent="0.25">
      <c r="A403" s="4">
        <v>401</v>
      </c>
      <c r="B403" s="2" t="str">
        <f>HYPERLINK("https://my.zakupki.prom.ua/remote/dispatcher/state_purchase_view/812663", "UA-2016-11-03-000088-b")</f>
        <v>UA-2016-11-03-000088-b</v>
      </c>
      <c r="C403" s="1" t="s">
        <v>439</v>
      </c>
      <c r="D403" s="1" t="s">
        <v>139</v>
      </c>
      <c r="E403" s="1" t="s">
        <v>470</v>
      </c>
      <c r="F403" s="5">
        <v>42677</v>
      </c>
      <c r="G403" s="7">
        <v>42685.509097222224</v>
      </c>
      <c r="H403" s="6">
        <v>4000</v>
      </c>
      <c r="I403" s="1" t="s">
        <v>972</v>
      </c>
      <c r="J403" s="1" t="s">
        <v>1405</v>
      </c>
      <c r="K403" s="7">
        <v>42695.660557203322</v>
      </c>
      <c r="L403" s="6">
        <v>2754</v>
      </c>
    </row>
    <row r="404" spans="1:12" hidden="1" x14ac:dyDescent="0.25">
      <c r="A404" s="4">
        <v>402</v>
      </c>
      <c r="B404" s="2" t="str">
        <f>HYPERLINK("https://my.zakupki.prom.ua/remote/dispatcher/state_purchase_view/751673", "UA-2016-10-31-000306-a")</f>
        <v>UA-2016-10-31-000306-a</v>
      </c>
      <c r="C404" s="1" t="s">
        <v>435</v>
      </c>
      <c r="D404" s="1" t="s">
        <v>145</v>
      </c>
      <c r="E404" s="1" t="s">
        <v>470</v>
      </c>
      <c r="F404" s="5">
        <v>42674</v>
      </c>
      <c r="G404" s="1" t="s">
        <v>1398</v>
      </c>
      <c r="H404" s="6">
        <v>12750</v>
      </c>
      <c r="I404" s="1"/>
      <c r="J404" s="1" t="s">
        <v>1406</v>
      </c>
      <c r="K404" s="7">
        <v>42682.508010789228</v>
      </c>
      <c r="L404" s="1"/>
    </row>
    <row r="405" spans="1:12" hidden="1" x14ac:dyDescent="0.25">
      <c r="A405" s="4">
        <v>403</v>
      </c>
      <c r="B405" s="2" t="str">
        <f>HYPERLINK("https://my.zakupki.prom.ua/remote/dispatcher/state_purchase_view/751673", "UA-2016-10-31-000306-a")</f>
        <v>UA-2016-10-31-000306-a</v>
      </c>
      <c r="C405" s="1" t="s">
        <v>435</v>
      </c>
      <c r="D405" s="1" t="s">
        <v>145</v>
      </c>
      <c r="E405" s="1" t="s">
        <v>470</v>
      </c>
      <c r="F405" s="5">
        <v>42674</v>
      </c>
      <c r="G405" s="1" t="s">
        <v>1398</v>
      </c>
      <c r="H405" s="6">
        <v>12750</v>
      </c>
      <c r="I405" s="1"/>
      <c r="J405" s="1" t="s">
        <v>1406</v>
      </c>
      <c r="K405" s="7">
        <v>42682.508010789228</v>
      </c>
      <c r="L405" s="1"/>
    </row>
    <row r="406" spans="1:12" hidden="1" x14ac:dyDescent="0.25">
      <c r="A406" s="4">
        <v>404</v>
      </c>
      <c r="B406" s="2" t="str">
        <f>HYPERLINK("https://my.zakupki.prom.ua/remote/dispatcher/state_purchase_view/4396397", "UA-2017-10-25-000531-c")</f>
        <v>UA-2017-10-25-000531-c</v>
      </c>
      <c r="C406" s="1" t="s">
        <v>1035</v>
      </c>
      <c r="D406" s="1" t="s">
        <v>220</v>
      </c>
      <c r="E406" s="1" t="s">
        <v>470</v>
      </c>
      <c r="F406" s="5">
        <v>43033</v>
      </c>
      <c r="G406" s="1" t="s">
        <v>1398</v>
      </c>
      <c r="H406" s="6">
        <v>100000</v>
      </c>
      <c r="I406" s="1" t="s">
        <v>1107</v>
      </c>
      <c r="J406" s="1" t="s">
        <v>1405</v>
      </c>
      <c r="K406" s="7">
        <v>43053.600442478972</v>
      </c>
      <c r="L406" s="6">
        <v>98791</v>
      </c>
    </row>
    <row r="407" spans="1:12" hidden="1" x14ac:dyDescent="0.25">
      <c r="A407" s="4">
        <v>405</v>
      </c>
      <c r="B407" s="2" t="str">
        <f>HYPERLINK("https://my.zakupki.prom.ua/remote/dispatcher/state_purchase_view/6942510", "UA-2018-04-25-000292-a")</f>
        <v>UA-2018-04-25-000292-a</v>
      </c>
      <c r="C407" s="1" t="s">
        <v>474</v>
      </c>
      <c r="D407" s="1" t="s">
        <v>36</v>
      </c>
      <c r="E407" s="1" t="s">
        <v>722</v>
      </c>
      <c r="F407" s="5">
        <v>43215</v>
      </c>
      <c r="G407" s="1" t="s">
        <v>1397</v>
      </c>
      <c r="H407" s="6">
        <v>1076700</v>
      </c>
      <c r="I407" s="1"/>
      <c r="J407" s="1" t="s">
        <v>1419</v>
      </c>
      <c r="K407" s="7">
        <v>43215.63803345184</v>
      </c>
      <c r="L407" s="1"/>
    </row>
    <row r="408" spans="1:12" hidden="1" x14ac:dyDescent="0.25">
      <c r="A408" s="4">
        <v>406</v>
      </c>
      <c r="B408" s="2" t="str">
        <f>HYPERLINK("https://my.zakupki.prom.ua/remote/dispatcher/state_purchase_view/6974910", "UA-2018-04-27-000870-a")</f>
        <v>UA-2018-04-27-000870-a</v>
      </c>
      <c r="C408" s="1" t="s">
        <v>851</v>
      </c>
      <c r="D408" s="1" t="s">
        <v>235</v>
      </c>
      <c r="E408" s="1" t="s">
        <v>390</v>
      </c>
      <c r="F408" s="5">
        <v>43217</v>
      </c>
      <c r="G408" s="1" t="s">
        <v>1398</v>
      </c>
      <c r="H408" s="6">
        <v>598500</v>
      </c>
      <c r="I408" s="1"/>
      <c r="J408" s="1" t="s">
        <v>1419</v>
      </c>
      <c r="K408" s="7">
        <v>43224.491207780055</v>
      </c>
      <c r="L408" s="1"/>
    </row>
    <row r="409" spans="1:12" hidden="1" x14ac:dyDescent="0.25">
      <c r="A409" s="4">
        <v>407</v>
      </c>
      <c r="B409" s="2" t="str">
        <f>HYPERLINK("https://my.zakupki.prom.ua/remote/dispatcher/state_purchase_view/4526091", "UA-2017-11-07-001701-c")</f>
        <v>UA-2017-11-07-001701-c</v>
      </c>
      <c r="C409" s="1" t="s">
        <v>606</v>
      </c>
      <c r="D409" s="1" t="s">
        <v>34</v>
      </c>
      <c r="E409" s="1" t="s">
        <v>470</v>
      </c>
      <c r="F409" s="5">
        <v>43046</v>
      </c>
      <c r="G409" s="1" t="s">
        <v>1398</v>
      </c>
      <c r="H409" s="6">
        <v>41940</v>
      </c>
      <c r="I409" s="1" t="s">
        <v>449</v>
      </c>
      <c r="J409" s="1" t="s">
        <v>1405</v>
      </c>
      <c r="K409" s="7">
        <v>43066.494610534108</v>
      </c>
      <c r="L409" s="6">
        <v>41940</v>
      </c>
    </row>
    <row r="410" spans="1:12" hidden="1" x14ac:dyDescent="0.25">
      <c r="A410" s="4">
        <v>408</v>
      </c>
      <c r="B410" s="2" t="str">
        <f>HYPERLINK("https://my.zakupki.prom.ua/remote/dispatcher/state_purchase_view/4767898", "UA-2017-11-28-000742-c")</f>
        <v>UA-2017-11-28-000742-c</v>
      </c>
      <c r="C410" s="1" t="s">
        <v>672</v>
      </c>
      <c r="D410" s="1" t="s">
        <v>148</v>
      </c>
      <c r="E410" s="1" t="s">
        <v>390</v>
      </c>
      <c r="F410" s="5">
        <v>43067</v>
      </c>
      <c r="G410" s="1" t="s">
        <v>1398</v>
      </c>
      <c r="H410" s="6">
        <v>254500</v>
      </c>
      <c r="I410" s="1"/>
      <c r="J410" s="1" t="s">
        <v>1406</v>
      </c>
      <c r="K410" s="7">
        <v>43082.467456283797</v>
      </c>
      <c r="L410" s="1"/>
    </row>
    <row r="411" spans="1:12" hidden="1" x14ac:dyDescent="0.25">
      <c r="A411" s="4">
        <v>409</v>
      </c>
      <c r="B411" s="2" t="str">
        <f>HYPERLINK("https://my.zakupki.prom.ua/remote/dispatcher/state_purchase_view/4607468", "UA-2017-11-14-002488-a")</f>
        <v>UA-2017-11-14-002488-a</v>
      </c>
      <c r="C411" s="1" t="s">
        <v>999</v>
      </c>
      <c r="D411" s="1" t="s">
        <v>188</v>
      </c>
      <c r="E411" s="1" t="s">
        <v>488</v>
      </c>
      <c r="F411" s="5">
        <v>43053</v>
      </c>
      <c r="G411" s="1" t="s">
        <v>1397</v>
      </c>
      <c r="H411" s="6">
        <v>653851</v>
      </c>
      <c r="I411" s="1" t="s">
        <v>1166</v>
      </c>
      <c r="J411" s="1" t="s">
        <v>1405</v>
      </c>
      <c r="K411" s="7">
        <v>43053.683789669965</v>
      </c>
      <c r="L411" s="6">
        <v>653851</v>
      </c>
    </row>
    <row r="412" spans="1:12" hidden="1" x14ac:dyDescent="0.25">
      <c r="A412" s="4">
        <v>410</v>
      </c>
      <c r="B412" s="2" t="str">
        <f>HYPERLINK("https://my.zakupki.prom.ua/remote/dispatcher/state_purchase_view/6472507", "UA-2018-03-12-002120-c")</f>
        <v>UA-2018-03-12-002120-c</v>
      </c>
      <c r="C412" s="1" t="s">
        <v>801</v>
      </c>
      <c r="D412" s="1" t="s">
        <v>252</v>
      </c>
      <c r="E412" s="1" t="s">
        <v>488</v>
      </c>
      <c r="F412" s="5">
        <v>43171</v>
      </c>
      <c r="G412" s="1" t="s">
        <v>1397</v>
      </c>
      <c r="H412" s="6">
        <v>8030</v>
      </c>
      <c r="I412" s="1" t="s">
        <v>446</v>
      </c>
      <c r="J412" s="1" t="s">
        <v>1405</v>
      </c>
      <c r="K412" s="7">
        <v>43171.70459018059</v>
      </c>
      <c r="L412" s="6">
        <v>8030</v>
      </c>
    </row>
    <row r="413" spans="1:12" hidden="1" x14ac:dyDescent="0.25">
      <c r="A413" s="4">
        <v>411</v>
      </c>
      <c r="B413" s="2" t="str">
        <f>HYPERLINK("https://my.zakupki.prom.ua/remote/dispatcher/state_purchase_view/6625855", "UA-2018-03-23-001771-b")</f>
        <v>UA-2018-03-23-001771-b</v>
      </c>
      <c r="C413" s="1" t="s">
        <v>931</v>
      </c>
      <c r="D413" s="1" t="s">
        <v>247</v>
      </c>
      <c r="E413" s="1" t="s">
        <v>470</v>
      </c>
      <c r="F413" s="5">
        <v>43182</v>
      </c>
      <c r="G413" s="1" t="s">
        <v>1398</v>
      </c>
      <c r="H413" s="6">
        <v>93000</v>
      </c>
      <c r="I413" s="1" t="s">
        <v>1335</v>
      </c>
      <c r="J413" s="1" t="s">
        <v>1405</v>
      </c>
      <c r="K413" s="7">
        <v>43201.475893144256</v>
      </c>
      <c r="L413" s="6">
        <v>92400</v>
      </c>
    </row>
    <row r="414" spans="1:12" hidden="1" x14ac:dyDescent="0.25">
      <c r="A414" s="4">
        <v>412</v>
      </c>
      <c r="B414" s="2" t="str">
        <f>HYPERLINK("https://my.zakupki.prom.ua/remote/dispatcher/state_purchase_view/2439200", "UA-2017-03-09-000738-b")</f>
        <v>UA-2017-03-09-000738-b</v>
      </c>
      <c r="C414" s="1" t="s">
        <v>490</v>
      </c>
      <c r="D414" s="1" t="s">
        <v>201</v>
      </c>
      <c r="E414" s="1" t="s">
        <v>470</v>
      </c>
      <c r="F414" s="5">
        <v>42803</v>
      </c>
      <c r="G414" s="7">
        <v>42811.581342592595</v>
      </c>
      <c r="H414" s="6">
        <v>25000</v>
      </c>
      <c r="I414" s="1" t="s">
        <v>1320</v>
      </c>
      <c r="J414" s="1" t="s">
        <v>1405</v>
      </c>
      <c r="K414" s="7">
        <v>42818.547515298218</v>
      </c>
      <c r="L414" s="6">
        <v>20990</v>
      </c>
    </row>
    <row r="415" spans="1:12" hidden="1" x14ac:dyDescent="0.25">
      <c r="A415" s="4">
        <v>413</v>
      </c>
      <c r="B415" s="2" t="str">
        <f>HYPERLINK("https://my.zakupki.prom.ua/remote/dispatcher/state_purchase_view/3916803", "UA-2017-08-31-000831-a")</f>
        <v>UA-2017-08-31-000831-a</v>
      </c>
      <c r="C415" s="1" t="s">
        <v>539</v>
      </c>
      <c r="D415" s="1" t="s">
        <v>190</v>
      </c>
      <c r="E415" s="1" t="s">
        <v>390</v>
      </c>
      <c r="F415" s="5">
        <v>42978</v>
      </c>
      <c r="G415" s="7">
        <v>42997.62736111111</v>
      </c>
      <c r="H415" s="6">
        <v>19053312</v>
      </c>
      <c r="I415" s="1" t="s">
        <v>1155</v>
      </c>
      <c r="J415" s="1" t="s">
        <v>1405</v>
      </c>
      <c r="K415" s="7">
        <v>43018.692318485708</v>
      </c>
      <c r="L415" s="6">
        <v>18958045</v>
      </c>
    </row>
    <row r="416" spans="1:12" hidden="1" x14ac:dyDescent="0.25">
      <c r="A416" s="4">
        <v>414</v>
      </c>
      <c r="B416" s="2" t="str">
        <f>HYPERLINK("https://my.zakupki.prom.ua/remote/dispatcher/state_purchase_view/4247728", "UA-2017-10-09-000601-b")</f>
        <v>UA-2017-10-09-000601-b</v>
      </c>
      <c r="C416" s="1" t="s">
        <v>870</v>
      </c>
      <c r="D416" s="1" t="s">
        <v>254</v>
      </c>
      <c r="E416" s="1" t="s">
        <v>390</v>
      </c>
      <c r="F416" s="5">
        <v>43017</v>
      </c>
      <c r="G416" s="7">
        <v>43033.506435185183</v>
      </c>
      <c r="H416" s="6">
        <v>85000</v>
      </c>
      <c r="I416" s="1" t="s">
        <v>1135</v>
      </c>
      <c r="J416" s="1" t="s">
        <v>1405</v>
      </c>
      <c r="K416" s="7">
        <v>43046.702086015983</v>
      </c>
      <c r="L416" s="6">
        <v>84932</v>
      </c>
    </row>
    <row r="417" spans="1:12" hidden="1" x14ac:dyDescent="0.25">
      <c r="A417" s="4">
        <v>415</v>
      </c>
      <c r="B417" s="2" t="str">
        <f>HYPERLINK("https://my.zakupki.prom.ua/remote/dispatcher/state_purchase_view/4465592", "UA-2017-11-01-000767-a")</f>
        <v>UA-2017-11-01-000767-a</v>
      </c>
      <c r="C417" s="1" t="s">
        <v>1385</v>
      </c>
      <c r="D417" s="1" t="s">
        <v>114</v>
      </c>
      <c r="E417" s="1" t="s">
        <v>470</v>
      </c>
      <c r="F417" s="5">
        <v>43040</v>
      </c>
      <c r="G417" s="1" t="s">
        <v>1398</v>
      </c>
      <c r="H417" s="6">
        <v>24835</v>
      </c>
      <c r="I417" s="1" t="s">
        <v>1122</v>
      </c>
      <c r="J417" s="1" t="s">
        <v>1405</v>
      </c>
      <c r="K417" s="7">
        <v>43055.659399316864</v>
      </c>
      <c r="L417" s="6">
        <v>24835</v>
      </c>
    </row>
    <row r="418" spans="1:12" hidden="1" x14ac:dyDescent="0.25">
      <c r="A418" s="4">
        <v>416</v>
      </c>
      <c r="B418" s="2" t="str">
        <f>HYPERLINK("https://my.zakupki.prom.ua/remote/dispatcher/state_purchase_view/4459604", "UA-2017-10-31-002091-a")</f>
        <v>UA-2017-10-31-002091-a</v>
      </c>
      <c r="C418" s="1" t="s">
        <v>1280</v>
      </c>
      <c r="D418" s="1" t="s">
        <v>111</v>
      </c>
      <c r="E418" s="1" t="s">
        <v>390</v>
      </c>
      <c r="F418" s="5">
        <v>43039</v>
      </c>
      <c r="G418" s="1" t="s">
        <v>1398</v>
      </c>
      <c r="H418" s="6">
        <v>137025</v>
      </c>
      <c r="I418" s="1"/>
      <c r="J418" s="1" t="s">
        <v>1406</v>
      </c>
      <c r="K418" s="7">
        <v>43054.710527154988</v>
      </c>
      <c r="L418" s="1"/>
    </row>
    <row r="419" spans="1:12" hidden="1" x14ac:dyDescent="0.25">
      <c r="A419" s="4">
        <v>417</v>
      </c>
      <c r="B419" s="2" t="str">
        <f>HYPERLINK("https://my.zakupki.prom.ua/remote/dispatcher/state_purchase_view/4045308", "UA-2017-09-15-000996-c")</f>
        <v>UA-2017-09-15-000996-c</v>
      </c>
      <c r="C419" s="1" t="s">
        <v>619</v>
      </c>
      <c r="D419" s="1" t="s">
        <v>129</v>
      </c>
      <c r="E419" s="1" t="s">
        <v>470</v>
      </c>
      <c r="F419" s="5">
        <v>42993</v>
      </c>
      <c r="G419" s="1" t="s">
        <v>1398</v>
      </c>
      <c r="H419" s="6">
        <v>58400</v>
      </c>
      <c r="I419" s="1" t="s">
        <v>1245</v>
      </c>
      <c r="J419" s="1" t="s">
        <v>1419</v>
      </c>
      <c r="K419" s="7">
        <v>43013.578457270291</v>
      </c>
      <c r="L419" s="6">
        <v>43980</v>
      </c>
    </row>
    <row r="420" spans="1:12" hidden="1" x14ac:dyDescent="0.25">
      <c r="A420" s="4">
        <v>418</v>
      </c>
      <c r="B420" s="2" t="str">
        <f>HYPERLINK("https://my.zakupki.prom.ua/remote/dispatcher/state_purchase_view/7401069", "UA-2018-06-11-002483-a")</f>
        <v>UA-2018-06-11-002483-a</v>
      </c>
      <c r="C420" s="1" t="s">
        <v>381</v>
      </c>
      <c r="D420" s="1" t="s">
        <v>111</v>
      </c>
      <c r="E420" s="1" t="s">
        <v>390</v>
      </c>
      <c r="F420" s="5">
        <v>43262</v>
      </c>
      <c r="G420" s="7">
        <v>43278.574918981481</v>
      </c>
      <c r="H420" s="6">
        <v>800000</v>
      </c>
      <c r="I420" s="1" t="s">
        <v>1137</v>
      </c>
      <c r="J420" s="1" t="s">
        <v>1405</v>
      </c>
      <c r="K420" s="7">
        <v>43297.597630050535</v>
      </c>
      <c r="L420" s="6">
        <v>665000</v>
      </c>
    </row>
    <row r="421" spans="1:12" hidden="1" x14ac:dyDescent="0.25">
      <c r="A421" s="4">
        <v>419</v>
      </c>
      <c r="B421" s="2" t="str">
        <f>HYPERLINK("https://my.zakupki.prom.ua/remote/dispatcher/state_purchase_view/7973698", "UA-2018-08-13-001421-b")</f>
        <v>UA-2018-08-13-001421-b</v>
      </c>
      <c r="C421" s="1" t="s">
        <v>1104</v>
      </c>
      <c r="D421" s="1" t="s">
        <v>90</v>
      </c>
      <c r="E421" s="1" t="s">
        <v>488</v>
      </c>
      <c r="F421" s="5">
        <v>43325</v>
      </c>
      <c r="G421" s="1" t="s">
        <v>1397</v>
      </c>
      <c r="H421" s="6">
        <v>99540</v>
      </c>
      <c r="I421" s="1" t="s">
        <v>1378</v>
      </c>
      <c r="J421" s="1" t="s">
        <v>1405</v>
      </c>
      <c r="K421" s="7">
        <v>43325.676038835198</v>
      </c>
      <c r="L421" s="6">
        <v>99540</v>
      </c>
    </row>
    <row r="422" spans="1:12" hidden="1" x14ac:dyDescent="0.25">
      <c r="A422" s="4">
        <v>420</v>
      </c>
      <c r="B422" s="2" t="str">
        <f>HYPERLINK("https://my.zakupki.prom.ua/remote/dispatcher/state_purchase_view/2848269", "UA-2017-04-18-000375-b")</f>
        <v>UA-2017-04-18-000375-b</v>
      </c>
      <c r="C422" s="1" t="s">
        <v>519</v>
      </c>
      <c r="D422" s="1" t="s">
        <v>174</v>
      </c>
      <c r="E422" s="1" t="s">
        <v>470</v>
      </c>
      <c r="F422" s="5">
        <v>42843</v>
      </c>
      <c r="G422" s="1" t="s">
        <v>1398</v>
      </c>
      <c r="H422" s="6">
        <v>46100</v>
      </c>
      <c r="I422" s="1" t="s">
        <v>1290</v>
      </c>
      <c r="J422" s="1" t="s">
        <v>1405</v>
      </c>
      <c r="K422" s="7">
        <v>42858.662086823264</v>
      </c>
      <c r="L422" s="6">
        <v>45685</v>
      </c>
    </row>
    <row r="423" spans="1:12" hidden="1" x14ac:dyDescent="0.25">
      <c r="A423" s="4">
        <v>421</v>
      </c>
      <c r="B423" s="2" t="str">
        <f>HYPERLINK("https://my.zakupki.prom.ua/remote/dispatcher/state_purchase_view/6512188", "UA-2018-03-15-000379-c")</f>
        <v>UA-2018-03-15-000379-c</v>
      </c>
      <c r="C423" s="1" t="s">
        <v>852</v>
      </c>
      <c r="D423" s="1" t="s">
        <v>228</v>
      </c>
      <c r="E423" s="1" t="s">
        <v>470</v>
      </c>
      <c r="F423" s="5">
        <v>43174</v>
      </c>
      <c r="G423" s="1" t="s">
        <v>1398</v>
      </c>
      <c r="H423" s="6">
        <v>45000</v>
      </c>
      <c r="I423" s="1"/>
      <c r="J423" s="1" t="s">
        <v>1419</v>
      </c>
      <c r="K423" s="7">
        <v>43178.486832616712</v>
      </c>
      <c r="L423" s="1"/>
    </row>
    <row r="424" spans="1:12" hidden="1" x14ac:dyDescent="0.25">
      <c r="A424" s="4">
        <v>422</v>
      </c>
      <c r="B424" s="2" t="str">
        <f>HYPERLINK("https://my.zakupki.prom.ua/remote/dispatcher/state_purchase_view/6611454", "UA-2018-03-22-001938-b")</f>
        <v>UA-2018-03-22-001938-b</v>
      </c>
      <c r="C424" s="1" t="s">
        <v>1251</v>
      </c>
      <c r="D424" s="1" t="s">
        <v>96</v>
      </c>
      <c r="E424" s="1" t="s">
        <v>470</v>
      </c>
      <c r="F424" s="5">
        <v>43181</v>
      </c>
      <c r="G424" s="7">
        <v>43192.488819444443</v>
      </c>
      <c r="H424" s="6">
        <v>10000</v>
      </c>
      <c r="I424" s="1" t="s">
        <v>1327</v>
      </c>
      <c r="J424" s="1" t="s">
        <v>1405</v>
      </c>
      <c r="K424" s="7">
        <v>43203.448077748122</v>
      </c>
      <c r="L424" s="6">
        <v>9800</v>
      </c>
    </row>
    <row r="425" spans="1:12" hidden="1" x14ac:dyDescent="0.25">
      <c r="A425" s="4">
        <v>423</v>
      </c>
      <c r="B425" s="2" t="str">
        <f>HYPERLINK("https://my.zakupki.prom.ua/remote/dispatcher/state_purchase_view/6460946", "UA-2018-03-12-000116-c")</f>
        <v>UA-2018-03-12-000116-c</v>
      </c>
      <c r="C425" s="1" t="s">
        <v>1041</v>
      </c>
      <c r="D425" s="1" t="s">
        <v>165</v>
      </c>
      <c r="E425" s="1" t="s">
        <v>470</v>
      </c>
      <c r="F425" s="5">
        <v>43171</v>
      </c>
      <c r="G425" s="1" t="s">
        <v>1398</v>
      </c>
      <c r="H425" s="6">
        <v>19000</v>
      </c>
      <c r="I425" s="1"/>
      <c r="J425" s="1" t="s">
        <v>1419</v>
      </c>
      <c r="K425" s="7">
        <v>43178.718112350703</v>
      </c>
      <c r="L425" s="1"/>
    </row>
    <row r="426" spans="1:12" hidden="1" x14ac:dyDescent="0.25">
      <c r="A426" s="4">
        <v>424</v>
      </c>
      <c r="B426" s="2" t="str">
        <f>HYPERLINK("https://my.zakupki.prom.ua/remote/dispatcher/state_purchase_view/6482631", "UA-2018-03-13-001299-c")</f>
        <v>UA-2018-03-13-001299-c</v>
      </c>
      <c r="C426" s="1" t="s">
        <v>1062</v>
      </c>
      <c r="D426" s="1" t="s">
        <v>90</v>
      </c>
      <c r="E426" s="1" t="s">
        <v>470</v>
      </c>
      <c r="F426" s="5">
        <v>43172</v>
      </c>
      <c r="G426" s="1" t="s">
        <v>1398</v>
      </c>
      <c r="H426" s="6">
        <v>8500</v>
      </c>
      <c r="I426" s="1"/>
      <c r="J426" s="1" t="s">
        <v>1419</v>
      </c>
      <c r="K426" s="7">
        <v>43181.610406489548</v>
      </c>
      <c r="L426" s="1"/>
    </row>
    <row r="427" spans="1:12" hidden="1" x14ac:dyDescent="0.25">
      <c r="A427" s="4">
        <v>425</v>
      </c>
      <c r="B427" s="2" t="str">
        <f>HYPERLINK("https://my.zakupki.prom.ua/remote/dispatcher/state_purchase_view/6654708", "UA-2018-03-27-001248-b")</f>
        <v>UA-2018-03-27-001248-b</v>
      </c>
      <c r="C427" s="1" t="s">
        <v>1036</v>
      </c>
      <c r="D427" s="1" t="s">
        <v>30</v>
      </c>
      <c r="E427" s="1" t="s">
        <v>488</v>
      </c>
      <c r="F427" s="5">
        <v>43186</v>
      </c>
      <c r="G427" s="1" t="s">
        <v>1397</v>
      </c>
      <c r="H427" s="6">
        <v>145200</v>
      </c>
      <c r="I427" s="1" t="s">
        <v>1244</v>
      </c>
      <c r="J427" s="1" t="s">
        <v>1405</v>
      </c>
      <c r="K427" s="7">
        <v>43186.528649247346</v>
      </c>
      <c r="L427" s="6">
        <v>145200</v>
      </c>
    </row>
    <row r="428" spans="1:12" hidden="1" x14ac:dyDescent="0.25">
      <c r="A428" s="4">
        <v>426</v>
      </c>
      <c r="B428" s="2" t="str">
        <f>HYPERLINK("https://my.zakupki.prom.ua/remote/dispatcher/state_purchase_view/4230521", "UA-2017-10-05-000571-b")</f>
        <v>UA-2017-10-05-000571-b</v>
      </c>
      <c r="C428" s="1" t="s">
        <v>1082</v>
      </c>
      <c r="D428" s="1" t="s">
        <v>48</v>
      </c>
      <c r="E428" s="1" t="s">
        <v>390</v>
      </c>
      <c r="F428" s="5">
        <v>43013</v>
      </c>
      <c r="G428" s="1" t="s">
        <v>1398</v>
      </c>
      <c r="H428" s="6">
        <v>135000</v>
      </c>
      <c r="I428" s="1"/>
      <c r="J428" s="1" t="s">
        <v>1419</v>
      </c>
      <c r="K428" s="7">
        <v>43031.719500846004</v>
      </c>
      <c r="L428" s="1"/>
    </row>
    <row r="429" spans="1:12" hidden="1" x14ac:dyDescent="0.25">
      <c r="A429" s="4">
        <v>427</v>
      </c>
      <c r="B429" s="2" t="str">
        <f>HYPERLINK("https://my.zakupki.prom.ua/remote/dispatcher/state_purchase_view/3673809", "UA-2017-07-31-001450-b")</f>
        <v>UA-2017-07-31-001450-b</v>
      </c>
      <c r="C429" s="1" t="s">
        <v>1411</v>
      </c>
      <c r="D429" s="1" t="s">
        <v>165</v>
      </c>
      <c r="E429" s="1" t="s">
        <v>391</v>
      </c>
      <c r="F429" s="5">
        <v>42947</v>
      </c>
      <c r="G429" s="1" t="s">
        <v>1398</v>
      </c>
      <c r="H429" s="6">
        <v>8414000</v>
      </c>
      <c r="I429" s="1"/>
      <c r="J429" s="1" t="s">
        <v>1406</v>
      </c>
      <c r="K429" s="7">
        <v>42977.722484443308</v>
      </c>
      <c r="L429" s="1"/>
    </row>
    <row r="430" spans="1:12" hidden="1" x14ac:dyDescent="0.25">
      <c r="A430" s="4">
        <v>428</v>
      </c>
      <c r="B430" s="2" t="str">
        <f>HYPERLINK("https://my.zakupki.prom.ua/remote/dispatcher/state_purchase_view/3673809", "UA-2017-07-31-001450-b")</f>
        <v>UA-2017-07-31-001450-b</v>
      </c>
      <c r="C430" s="1" t="s">
        <v>1401</v>
      </c>
      <c r="D430" s="1" t="s">
        <v>165</v>
      </c>
      <c r="E430" s="1" t="s">
        <v>391</v>
      </c>
      <c r="F430" s="5">
        <v>42947</v>
      </c>
      <c r="G430" s="1" t="s">
        <v>1398</v>
      </c>
      <c r="H430" s="6">
        <v>8414000</v>
      </c>
      <c r="I430" s="1"/>
      <c r="J430" s="1" t="s">
        <v>1420</v>
      </c>
      <c r="K430" s="7">
        <v>42986.474451008376</v>
      </c>
      <c r="L430" s="1"/>
    </row>
    <row r="431" spans="1:12" hidden="1" x14ac:dyDescent="0.25">
      <c r="A431" s="4">
        <v>429</v>
      </c>
      <c r="B431" s="2" t="str">
        <f>HYPERLINK("https://my.zakupki.prom.ua/remote/dispatcher/state_purchase_view/3673809", "UA-2017-07-31-001450-b")</f>
        <v>UA-2017-07-31-001450-b</v>
      </c>
      <c r="C431" s="1" t="s">
        <v>1410</v>
      </c>
      <c r="D431" s="1" t="s">
        <v>165</v>
      </c>
      <c r="E431" s="1" t="s">
        <v>391</v>
      </c>
      <c r="F431" s="5">
        <v>42947</v>
      </c>
      <c r="G431" s="7">
        <v>42985.514004629629</v>
      </c>
      <c r="H431" s="6">
        <v>8414000</v>
      </c>
      <c r="I431" s="1" t="s">
        <v>1170</v>
      </c>
      <c r="J431" s="1" t="s">
        <v>1404</v>
      </c>
      <c r="K431" s="7">
        <v>43000.624113786667</v>
      </c>
      <c r="L431" s="6">
        <v>2688000</v>
      </c>
    </row>
    <row r="432" spans="1:12" hidden="1" x14ac:dyDescent="0.25">
      <c r="A432" s="4">
        <v>430</v>
      </c>
      <c r="B432" s="2" t="str">
        <f>HYPERLINK("https://my.zakupki.prom.ua/remote/dispatcher/state_purchase_view/3673809", "UA-2017-07-31-001450-b")</f>
        <v>UA-2017-07-31-001450-b</v>
      </c>
      <c r="C432" s="1" t="s">
        <v>1400</v>
      </c>
      <c r="D432" s="1" t="s">
        <v>165</v>
      </c>
      <c r="E432" s="1" t="s">
        <v>391</v>
      </c>
      <c r="F432" s="5">
        <v>42947</v>
      </c>
      <c r="G432" s="1" t="s">
        <v>1398</v>
      </c>
      <c r="H432" s="6">
        <v>8414000</v>
      </c>
      <c r="I432" s="1"/>
      <c r="J432" s="1" t="s">
        <v>1420</v>
      </c>
      <c r="K432" s="7">
        <v>42986.475608506436</v>
      </c>
      <c r="L432" s="1"/>
    </row>
    <row r="433" spans="1:12" hidden="1" x14ac:dyDescent="0.25">
      <c r="A433" s="4">
        <v>431</v>
      </c>
      <c r="B433" s="2" t="str">
        <f>HYPERLINK("https://my.zakupki.prom.ua/remote/dispatcher/state_purchase_view/3673809", "UA-2017-07-31-001450-b")</f>
        <v>UA-2017-07-31-001450-b</v>
      </c>
      <c r="C433" s="1" t="s">
        <v>1415</v>
      </c>
      <c r="D433" s="1" t="s">
        <v>165</v>
      </c>
      <c r="E433" s="1" t="s">
        <v>391</v>
      </c>
      <c r="F433" s="5">
        <v>42947</v>
      </c>
      <c r="G433" s="1" t="s">
        <v>1398</v>
      </c>
      <c r="H433" s="6">
        <v>8414000</v>
      </c>
      <c r="I433" s="1"/>
      <c r="J433" s="1" t="s">
        <v>1406</v>
      </c>
      <c r="K433" s="7">
        <v>42977.722484443308</v>
      </c>
      <c r="L433" s="1"/>
    </row>
    <row r="434" spans="1:12" hidden="1" x14ac:dyDescent="0.25">
      <c r="A434" s="4">
        <v>432</v>
      </c>
      <c r="B434" s="2" t="str">
        <f>HYPERLINK("https://my.zakupki.prom.ua/remote/dispatcher/state_purchase_view/3682023", "UA-2017-08-01-001049-b")</f>
        <v>UA-2017-08-01-001049-b</v>
      </c>
      <c r="C434" s="1" t="s">
        <v>1402</v>
      </c>
      <c r="D434" s="1" t="s">
        <v>137</v>
      </c>
      <c r="E434" s="1" t="s">
        <v>390</v>
      </c>
      <c r="F434" s="5">
        <v>42948</v>
      </c>
      <c r="G434" s="7">
        <v>42965.477939814817</v>
      </c>
      <c r="H434" s="6">
        <v>2156500</v>
      </c>
      <c r="I434" s="1" t="s">
        <v>1184</v>
      </c>
      <c r="J434" s="1" t="s">
        <v>1404</v>
      </c>
      <c r="K434" s="7">
        <v>42985.641557014525</v>
      </c>
      <c r="L434" s="6">
        <v>100000</v>
      </c>
    </row>
    <row r="435" spans="1:12" hidden="1" x14ac:dyDescent="0.25">
      <c r="A435" s="4">
        <v>433</v>
      </c>
      <c r="B435" s="2" t="str">
        <f>HYPERLINK("https://my.zakupki.prom.ua/remote/dispatcher/state_purchase_view/3682023", "UA-2017-08-01-001049-b")</f>
        <v>UA-2017-08-01-001049-b</v>
      </c>
      <c r="C435" s="1" t="s">
        <v>1388</v>
      </c>
      <c r="D435" s="1" t="s">
        <v>137</v>
      </c>
      <c r="E435" s="1" t="s">
        <v>390</v>
      </c>
      <c r="F435" s="5">
        <v>42948</v>
      </c>
      <c r="G435" s="7">
        <v>42965.47934027778</v>
      </c>
      <c r="H435" s="6">
        <v>2156500</v>
      </c>
      <c r="I435" s="1" t="s">
        <v>1184</v>
      </c>
      <c r="J435" s="1" t="s">
        <v>1404</v>
      </c>
      <c r="K435" s="7">
        <v>42985.639722393644</v>
      </c>
      <c r="L435" s="6">
        <v>639830.4</v>
      </c>
    </row>
    <row r="436" spans="1:12" hidden="1" x14ac:dyDescent="0.25">
      <c r="A436" s="4">
        <v>434</v>
      </c>
      <c r="B436" s="2" t="str">
        <f>HYPERLINK("https://my.zakupki.prom.ua/remote/dispatcher/state_purchase_view/3682023", "UA-2017-08-01-001049-b")</f>
        <v>UA-2017-08-01-001049-b</v>
      </c>
      <c r="C436" s="1" t="s">
        <v>1389</v>
      </c>
      <c r="D436" s="1" t="s">
        <v>137</v>
      </c>
      <c r="E436" s="1" t="s">
        <v>390</v>
      </c>
      <c r="F436" s="5">
        <v>42948</v>
      </c>
      <c r="G436" s="7">
        <v>42965.511307870373</v>
      </c>
      <c r="H436" s="6">
        <v>2156500</v>
      </c>
      <c r="I436" s="1" t="s">
        <v>1170</v>
      </c>
      <c r="J436" s="1" t="s">
        <v>1404</v>
      </c>
      <c r="K436" s="7">
        <v>42989.711243894744</v>
      </c>
      <c r="L436" s="6">
        <v>1333012</v>
      </c>
    </row>
    <row r="437" spans="1:12" hidden="1" x14ac:dyDescent="0.25">
      <c r="A437" s="4">
        <v>435</v>
      </c>
      <c r="B437" s="2" t="str">
        <f>HYPERLINK("https://my.zakupki.prom.ua/remote/dispatcher/state_purchase_view/4081307", "UA-2017-09-19-002520-c")</f>
        <v>UA-2017-09-19-002520-c</v>
      </c>
      <c r="C437" s="1" t="s">
        <v>1012</v>
      </c>
      <c r="D437" s="1" t="s">
        <v>226</v>
      </c>
      <c r="E437" s="1" t="s">
        <v>470</v>
      </c>
      <c r="F437" s="5">
        <v>42997</v>
      </c>
      <c r="G437" s="7">
        <v>43007.519062500003</v>
      </c>
      <c r="H437" s="6">
        <v>319500</v>
      </c>
      <c r="I437" s="1" t="s">
        <v>699</v>
      </c>
      <c r="J437" s="1" t="s">
        <v>1405</v>
      </c>
      <c r="K437" s="7">
        <v>43018.550559873227</v>
      </c>
      <c r="L437" s="6">
        <v>319500</v>
      </c>
    </row>
    <row r="438" spans="1:12" hidden="1" x14ac:dyDescent="0.25">
      <c r="A438" s="4">
        <v>436</v>
      </c>
      <c r="B438" s="2" t="str">
        <f>HYPERLINK("https://my.zakupki.prom.ua/remote/dispatcher/state_purchase_view/4101758", "UA-2017-09-21-000921-b")</f>
        <v>UA-2017-09-21-000921-b</v>
      </c>
      <c r="C438" s="1" t="s">
        <v>861</v>
      </c>
      <c r="D438" s="1" t="s">
        <v>184</v>
      </c>
      <c r="E438" s="1" t="s">
        <v>470</v>
      </c>
      <c r="F438" s="5">
        <v>42999</v>
      </c>
      <c r="G438" s="1" t="s">
        <v>1398</v>
      </c>
      <c r="H438" s="6">
        <v>190000</v>
      </c>
      <c r="I438" s="1"/>
      <c r="J438" s="1" t="s">
        <v>1406</v>
      </c>
      <c r="K438" s="7">
        <v>43007.528601003301</v>
      </c>
      <c r="L438" s="1"/>
    </row>
    <row r="439" spans="1:12" hidden="1" x14ac:dyDescent="0.25">
      <c r="A439" s="4">
        <v>437</v>
      </c>
      <c r="B439" s="2" t="str">
        <f>HYPERLINK("https://my.zakupki.prom.ua/remote/dispatcher/state_purchase_view/978189", "UA-2016-11-22-000671-a")</f>
        <v>UA-2016-11-22-000671-a</v>
      </c>
      <c r="C439" s="1" t="s">
        <v>1</v>
      </c>
      <c r="D439" s="1" t="s">
        <v>139</v>
      </c>
      <c r="E439" s="1" t="s">
        <v>470</v>
      </c>
      <c r="F439" s="5">
        <v>42696</v>
      </c>
      <c r="G439" s="1" t="s">
        <v>1398</v>
      </c>
      <c r="H439" s="6">
        <v>177940</v>
      </c>
      <c r="I439" s="1" t="s">
        <v>700</v>
      </c>
      <c r="J439" s="1" t="s">
        <v>1405</v>
      </c>
      <c r="K439" s="7">
        <v>42713.61731108855</v>
      </c>
      <c r="L439" s="6">
        <v>177936</v>
      </c>
    </row>
    <row r="440" spans="1:12" hidden="1" x14ac:dyDescent="0.25">
      <c r="A440" s="4">
        <v>438</v>
      </c>
      <c r="B440" s="2" t="str">
        <f>HYPERLINK("https://my.zakupki.prom.ua/remote/dispatcher/state_purchase_view/1065576", "UA-2016-12-01-000344-a")</f>
        <v>UA-2016-12-01-000344-a</v>
      </c>
      <c r="C440" s="1" t="s">
        <v>479</v>
      </c>
      <c r="D440" s="1" t="s">
        <v>157</v>
      </c>
      <c r="E440" s="1" t="s">
        <v>470</v>
      </c>
      <c r="F440" s="5">
        <v>42705</v>
      </c>
      <c r="G440" s="7">
        <v>42713.464571759258</v>
      </c>
      <c r="H440" s="6">
        <v>13310</v>
      </c>
      <c r="I440" s="1" t="s">
        <v>1345</v>
      </c>
      <c r="J440" s="1" t="s">
        <v>1405</v>
      </c>
      <c r="K440" s="7">
        <v>42723.596493467521</v>
      </c>
      <c r="L440" s="6">
        <v>10600</v>
      </c>
    </row>
    <row r="441" spans="1:12" hidden="1" x14ac:dyDescent="0.25">
      <c r="A441" s="4">
        <v>439</v>
      </c>
      <c r="B441" s="2" t="str">
        <f>HYPERLINK("https://my.zakupki.prom.ua/remote/dispatcher/state_purchase_view/1101148", "UA-2016-12-05-001300-a")</f>
        <v>UA-2016-12-05-001300-a</v>
      </c>
      <c r="C441" s="1" t="s">
        <v>1379</v>
      </c>
      <c r="D441" s="1" t="s">
        <v>143</v>
      </c>
      <c r="E441" s="1" t="s">
        <v>470</v>
      </c>
      <c r="F441" s="5">
        <v>42709</v>
      </c>
      <c r="G441" s="1" t="s">
        <v>1398</v>
      </c>
      <c r="H441" s="6">
        <v>37440</v>
      </c>
      <c r="I441" s="1"/>
      <c r="J441" s="1" t="s">
        <v>1406</v>
      </c>
      <c r="K441" s="7">
        <v>42716.707188818342</v>
      </c>
      <c r="L441" s="1"/>
    </row>
    <row r="442" spans="1:12" hidden="1" x14ac:dyDescent="0.25">
      <c r="A442" s="4">
        <v>440</v>
      </c>
      <c r="B442" s="2" t="str">
        <f>HYPERLINK("https://my.zakupki.prom.ua/remote/dispatcher/state_purchase_view/1974844", "UA-2017-02-03-001317-b")</f>
        <v>UA-2017-02-03-001317-b</v>
      </c>
      <c r="C442" s="1" t="s">
        <v>1281</v>
      </c>
      <c r="D442" s="1" t="s">
        <v>113</v>
      </c>
      <c r="E442" s="1" t="s">
        <v>470</v>
      </c>
      <c r="F442" s="5">
        <v>42769</v>
      </c>
      <c r="G442" s="7">
        <v>42780.661273148151</v>
      </c>
      <c r="H442" s="6">
        <v>62100</v>
      </c>
      <c r="I442" s="1" t="s">
        <v>1263</v>
      </c>
      <c r="J442" s="1" t="s">
        <v>1405</v>
      </c>
      <c r="K442" s="7">
        <v>42801.427409050368</v>
      </c>
      <c r="L442" s="6">
        <v>58560</v>
      </c>
    </row>
    <row r="443" spans="1:12" hidden="1" x14ac:dyDescent="0.25">
      <c r="A443" s="4">
        <v>441</v>
      </c>
      <c r="B443" s="2" t="str">
        <f>HYPERLINK("https://my.zakupki.prom.ua/remote/dispatcher/state_purchase_view/3675874", "UA-2017-07-31-001697-b")</f>
        <v>UA-2017-07-31-001697-b</v>
      </c>
      <c r="C443" s="1" t="s">
        <v>1085</v>
      </c>
      <c r="D443" s="1" t="s">
        <v>120</v>
      </c>
      <c r="E443" s="1" t="s">
        <v>470</v>
      </c>
      <c r="F443" s="5">
        <v>42947</v>
      </c>
      <c r="G443" s="7">
        <v>42957.524583333332</v>
      </c>
      <c r="H443" s="6">
        <v>50900</v>
      </c>
      <c r="I443" s="1" t="s">
        <v>1295</v>
      </c>
      <c r="J443" s="1" t="s">
        <v>1405</v>
      </c>
      <c r="K443" s="7">
        <v>42982.589294573889</v>
      </c>
      <c r="L443" s="6">
        <v>38439</v>
      </c>
    </row>
    <row r="444" spans="1:12" hidden="1" x14ac:dyDescent="0.25">
      <c r="A444" s="4">
        <v>442</v>
      </c>
      <c r="B444" s="2" t="str">
        <f>HYPERLINK("https://my.zakupki.prom.ua/remote/dispatcher/state_purchase_view/3694118", "UA-2017-08-02-001424-b")</f>
        <v>UA-2017-08-02-001424-b</v>
      </c>
      <c r="C444" s="1" t="s">
        <v>809</v>
      </c>
      <c r="D444" s="1" t="s">
        <v>234</v>
      </c>
      <c r="E444" s="1" t="s">
        <v>470</v>
      </c>
      <c r="F444" s="5">
        <v>42949</v>
      </c>
      <c r="G444" s="1" t="s">
        <v>1398</v>
      </c>
      <c r="H444" s="6">
        <v>199900</v>
      </c>
      <c r="I444" s="1" t="s">
        <v>1130</v>
      </c>
      <c r="J444" s="1" t="s">
        <v>1405</v>
      </c>
      <c r="K444" s="7">
        <v>42975.462671813933</v>
      </c>
      <c r="L444" s="6">
        <v>199883.18</v>
      </c>
    </row>
    <row r="445" spans="1:12" hidden="1" x14ac:dyDescent="0.25">
      <c r="A445" s="4">
        <v>443</v>
      </c>
      <c r="B445" s="2" t="str">
        <f>HYPERLINK("https://my.zakupki.prom.ua/remote/dispatcher/state_purchase_view/3684524", "UA-2017-08-01-001677-b")</f>
        <v>UA-2017-08-01-001677-b</v>
      </c>
      <c r="C445" s="1" t="s">
        <v>389</v>
      </c>
      <c r="D445" s="1" t="s">
        <v>156</v>
      </c>
      <c r="E445" s="1" t="s">
        <v>470</v>
      </c>
      <c r="F445" s="5">
        <v>42948</v>
      </c>
      <c r="G445" s="1" t="s">
        <v>1398</v>
      </c>
      <c r="H445" s="6">
        <v>5320</v>
      </c>
      <c r="I445" s="1"/>
      <c r="J445" s="1" t="s">
        <v>1419</v>
      </c>
      <c r="K445" s="7">
        <v>42962.472138644363</v>
      </c>
      <c r="L445" s="1"/>
    </row>
    <row r="446" spans="1:12" hidden="1" x14ac:dyDescent="0.25">
      <c r="A446" s="4">
        <v>444</v>
      </c>
      <c r="B446" s="2" t="str">
        <f>HYPERLINK("https://my.zakupki.prom.ua/remote/dispatcher/state_purchase_view/3721229", "UA-2017-08-04-001586-b")</f>
        <v>UA-2017-08-04-001586-b</v>
      </c>
      <c r="C446" s="1" t="s">
        <v>19</v>
      </c>
      <c r="D446" s="1" t="s">
        <v>135</v>
      </c>
      <c r="E446" s="1" t="s">
        <v>470</v>
      </c>
      <c r="F446" s="5">
        <v>42951</v>
      </c>
      <c r="G446" s="1" t="s">
        <v>1398</v>
      </c>
      <c r="H446" s="6">
        <v>5500</v>
      </c>
      <c r="I446" s="1"/>
      <c r="J446" s="1" t="s">
        <v>1406</v>
      </c>
      <c r="K446" s="7">
        <v>42961.460441288647</v>
      </c>
      <c r="L446" s="1"/>
    </row>
    <row r="447" spans="1:12" hidden="1" x14ac:dyDescent="0.25">
      <c r="A447" s="4">
        <v>445</v>
      </c>
      <c r="B447" s="2" t="str">
        <f>HYPERLINK("https://my.zakupki.prom.ua/remote/dispatcher/state_purchase_view/4891197", "UA-2017-12-06-004450-c")</f>
        <v>UA-2017-12-06-004450-c</v>
      </c>
      <c r="C447" s="1" t="s">
        <v>23</v>
      </c>
      <c r="D447" s="1" t="s">
        <v>223</v>
      </c>
      <c r="E447" s="1" t="s">
        <v>488</v>
      </c>
      <c r="F447" s="5">
        <v>43075</v>
      </c>
      <c r="G447" s="1" t="s">
        <v>1397</v>
      </c>
      <c r="H447" s="6">
        <v>65985.98</v>
      </c>
      <c r="I447" s="1" t="s">
        <v>22</v>
      </c>
      <c r="J447" s="1" t="s">
        <v>1405</v>
      </c>
      <c r="K447" s="7">
        <v>43075.761391644395</v>
      </c>
      <c r="L447" s="6">
        <v>65985.98</v>
      </c>
    </row>
    <row r="448" spans="1:12" hidden="1" x14ac:dyDescent="0.25">
      <c r="A448" s="4">
        <v>446</v>
      </c>
      <c r="B448" s="2" t="str">
        <f>HYPERLINK("https://my.zakupki.prom.ua/remote/dispatcher/state_purchase_view/3497869", "UA-2017-07-07-000327-b")</f>
        <v>UA-2017-07-07-000327-b</v>
      </c>
      <c r="C448" s="1" t="s">
        <v>1414</v>
      </c>
      <c r="D448" s="1" t="s">
        <v>165</v>
      </c>
      <c r="E448" s="1" t="s">
        <v>390</v>
      </c>
      <c r="F448" s="5">
        <v>42923</v>
      </c>
      <c r="G448" s="7">
        <v>42941.538530092592</v>
      </c>
      <c r="H448" s="6">
        <v>3824000</v>
      </c>
      <c r="I448" s="1"/>
      <c r="J448" s="1" t="s">
        <v>1406</v>
      </c>
      <c r="K448" s="7">
        <v>42953.0008476109</v>
      </c>
      <c r="L448" s="1"/>
    </row>
    <row r="449" spans="1:12" hidden="1" x14ac:dyDescent="0.25">
      <c r="A449" s="4">
        <v>447</v>
      </c>
      <c r="B449" s="2" t="str">
        <f>HYPERLINK("https://my.zakupki.prom.ua/remote/dispatcher/state_purchase_view/8605908", "UA-2018-10-22-000151-b")</f>
        <v>UA-2018-10-22-000151-b</v>
      </c>
      <c r="C449" s="1" t="s">
        <v>655</v>
      </c>
      <c r="D449" s="1" t="s">
        <v>122</v>
      </c>
      <c r="E449" s="1" t="s">
        <v>470</v>
      </c>
      <c r="F449" s="5">
        <v>43395</v>
      </c>
      <c r="G449" s="7">
        <v>43403.495509259257</v>
      </c>
      <c r="H449" s="6">
        <v>96900</v>
      </c>
      <c r="I449" s="1" t="s">
        <v>700</v>
      </c>
      <c r="J449" s="1" t="s">
        <v>1405</v>
      </c>
      <c r="K449" s="7">
        <v>43410.361744999456</v>
      </c>
      <c r="L449" s="6">
        <v>96900</v>
      </c>
    </row>
    <row r="450" spans="1:12" hidden="1" x14ac:dyDescent="0.25">
      <c r="A450" s="4">
        <v>448</v>
      </c>
      <c r="B450" s="2" t="str">
        <f>HYPERLINK("https://my.zakupki.prom.ua/remote/dispatcher/state_purchase_view/8628095", "UA-2018-10-23-001911-b")</f>
        <v>UA-2018-10-23-001911-b</v>
      </c>
      <c r="C450" s="1" t="s">
        <v>678</v>
      </c>
      <c r="D450" s="1" t="s">
        <v>111</v>
      </c>
      <c r="E450" s="1" t="s">
        <v>390</v>
      </c>
      <c r="F450" s="5">
        <v>43396</v>
      </c>
      <c r="G450" s="7">
        <v>43412.608113425929</v>
      </c>
      <c r="H450" s="6">
        <v>48000</v>
      </c>
      <c r="I450" s="1" t="s">
        <v>700</v>
      </c>
      <c r="J450" s="1" t="s">
        <v>1405</v>
      </c>
      <c r="K450" s="7">
        <v>43424.690863440279</v>
      </c>
      <c r="L450" s="6">
        <v>47542</v>
      </c>
    </row>
    <row r="451" spans="1:12" hidden="1" x14ac:dyDescent="0.25">
      <c r="A451" s="4">
        <v>449</v>
      </c>
      <c r="B451" s="2" t="str">
        <f>HYPERLINK("https://my.zakupki.prom.ua/remote/dispatcher/state_purchase_view/7779029", "UA-2018-07-20-001934-b")</f>
        <v>UA-2018-07-20-001934-b</v>
      </c>
      <c r="C451" s="1" t="s">
        <v>516</v>
      </c>
      <c r="D451" s="1" t="s">
        <v>174</v>
      </c>
      <c r="E451" s="1" t="s">
        <v>488</v>
      </c>
      <c r="F451" s="5">
        <v>43301</v>
      </c>
      <c r="G451" s="1" t="s">
        <v>1397</v>
      </c>
      <c r="H451" s="6">
        <v>34461.800000000003</v>
      </c>
      <c r="I451" s="1" t="s">
        <v>1382</v>
      </c>
      <c r="J451" s="1" t="s">
        <v>1405</v>
      </c>
      <c r="K451" s="7">
        <v>43301.683810225819</v>
      </c>
      <c r="L451" s="6">
        <v>34461.800000000003</v>
      </c>
    </row>
    <row r="452" spans="1:12" hidden="1" x14ac:dyDescent="0.25">
      <c r="A452" s="4">
        <v>450</v>
      </c>
      <c r="B452" s="2" t="str">
        <f>HYPERLINK("https://my.zakupki.prom.ua/remote/dispatcher/state_purchase_view/8964973", "UA-2018-11-20-002477-c")</f>
        <v>UA-2018-11-20-002477-c</v>
      </c>
      <c r="C452" s="1" t="s">
        <v>1265</v>
      </c>
      <c r="D452" s="1" t="s">
        <v>30</v>
      </c>
      <c r="E452" s="1" t="s">
        <v>390</v>
      </c>
      <c r="F452" s="5">
        <v>43424</v>
      </c>
      <c r="G452" s="7">
        <v>43440.534884259258</v>
      </c>
      <c r="H452" s="6">
        <v>546000</v>
      </c>
      <c r="I452" s="1" t="s">
        <v>1339</v>
      </c>
      <c r="J452" s="1" t="s">
        <v>1405</v>
      </c>
      <c r="K452" s="7">
        <v>43454.459084666669</v>
      </c>
      <c r="L452" s="6">
        <v>545000</v>
      </c>
    </row>
    <row r="453" spans="1:12" hidden="1" x14ac:dyDescent="0.25">
      <c r="A453" s="4">
        <v>451</v>
      </c>
      <c r="B453" s="2" t="str">
        <f>HYPERLINK("https://my.zakupki.prom.ua/remote/dispatcher/state_purchase_view/14405080", "UA-2020-01-09-000363-c")</f>
        <v>UA-2020-01-09-000363-c</v>
      </c>
      <c r="C453" s="1" t="s">
        <v>474</v>
      </c>
      <c r="D453" s="1" t="s">
        <v>36</v>
      </c>
      <c r="E453" s="1" t="s">
        <v>723</v>
      </c>
      <c r="F453" s="5">
        <v>43839</v>
      </c>
      <c r="G453" s="1" t="s">
        <v>1397</v>
      </c>
      <c r="H453" s="6">
        <v>999998.07</v>
      </c>
      <c r="I453" s="1" t="s">
        <v>1201</v>
      </c>
      <c r="J453" s="1" t="s">
        <v>1405</v>
      </c>
      <c r="K453" s="7">
        <v>43845.435866355823</v>
      </c>
      <c r="L453" s="6">
        <v>999998.07</v>
      </c>
    </row>
    <row r="454" spans="1:12" hidden="1" x14ac:dyDescent="0.25">
      <c r="A454" s="4">
        <v>452</v>
      </c>
      <c r="B454" s="2" t="str">
        <f>HYPERLINK("https://my.zakupki.prom.ua/remote/dispatcher/state_purchase_view/14457272", "UA-2020-01-13-001565-c")</f>
        <v>UA-2020-01-13-001565-c</v>
      </c>
      <c r="C454" s="1" t="s">
        <v>1393</v>
      </c>
      <c r="D454" s="1" t="s">
        <v>237</v>
      </c>
      <c r="E454" s="1" t="s">
        <v>488</v>
      </c>
      <c r="F454" s="5">
        <v>43843</v>
      </c>
      <c r="G454" s="1" t="s">
        <v>1397</v>
      </c>
      <c r="H454" s="6">
        <v>198000</v>
      </c>
      <c r="I454" s="1" t="s">
        <v>1243</v>
      </c>
      <c r="J454" s="1" t="s">
        <v>1405</v>
      </c>
      <c r="K454" s="7">
        <v>43843.642865342765</v>
      </c>
      <c r="L454" s="6">
        <v>198000</v>
      </c>
    </row>
    <row r="455" spans="1:12" hidden="1" x14ac:dyDescent="0.25">
      <c r="A455" s="4">
        <v>453</v>
      </c>
      <c r="B455" s="2" t="str">
        <f>HYPERLINK("https://my.zakupki.prom.ua/remote/dispatcher/state_purchase_view/13242236", "UA-2019-10-21-000989-b")</f>
        <v>UA-2019-10-21-000989-b</v>
      </c>
      <c r="C455" s="1" t="s">
        <v>478</v>
      </c>
      <c r="D455" s="1" t="s">
        <v>164</v>
      </c>
      <c r="E455" s="1" t="s">
        <v>470</v>
      </c>
      <c r="F455" s="5">
        <v>43759</v>
      </c>
      <c r="G455" s="7">
        <v>43767.655949074076</v>
      </c>
      <c r="H455" s="6">
        <v>34068</v>
      </c>
      <c r="I455" s="1" t="s">
        <v>313</v>
      </c>
      <c r="J455" s="1" t="s">
        <v>1405</v>
      </c>
      <c r="K455" s="7">
        <v>43780.668613785172</v>
      </c>
      <c r="L455" s="6">
        <v>32649.96</v>
      </c>
    </row>
    <row r="456" spans="1:12" hidden="1" x14ac:dyDescent="0.25">
      <c r="A456" s="4">
        <v>454</v>
      </c>
      <c r="B456" s="2" t="str">
        <f>HYPERLINK("https://my.zakupki.prom.ua/remote/dispatcher/state_purchase_view/13242531", "UA-2019-10-21-001029-b")</f>
        <v>UA-2019-10-21-001029-b</v>
      </c>
      <c r="C456" s="1" t="s">
        <v>412</v>
      </c>
      <c r="D456" s="1" t="s">
        <v>178</v>
      </c>
      <c r="E456" s="1" t="s">
        <v>470</v>
      </c>
      <c r="F456" s="5">
        <v>43759</v>
      </c>
      <c r="G456" s="7">
        <v>43767.64502314815</v>
      </c>
      <c r="H456" s="6">
        <v>10354</v>
      </c>
      <c r="I456" s="1" t="s">
        <v>313</v>
      </c>
      <c r="J456" s="1" t="s">
        <v>1405</v>
      </c>
      <c r="K456" s="7">
        <v>43781.669637572893</v>
      </c>
      <c r="L456" s="6">
        <v>10074</v>
      </c>
    </row>
    <row r="457" spans="1:12" hidden="1" x14ac:dyDescent="0.25">
      <c r="A457" s="4">
        <v>455</v>
      </c>
      <c r="B457" s="2" t="str">
        <f>HYPERLINK("https://my.zakupki.prom.ua/remote/dispatcher/state_purchase_view/15559950", "UA-2020-03-02-003061-a")</f>
        <v>UA-2020-03-02-003061-a</v>
      </c>
      <c r="C457" s="1" t="s">
        <v>415</v>
      </c>
      <c r="D457" s="1" t="s">
        <v>142</v>
      </c>
      <c r="E457" s="1" t="s">
        <v>470</v>
      </c>
      <c r="F457" s="5">
        <v>43892</v>
      </c>
      <c r="G457" s="7">
        <v>43901.470810185187</v>
      </c>
      <c r="H457" s="6">
        <v>6530</v>
      </c>
      <c r="I457" s="1" t="s">
        <v>1329</v>
      </c>
      <c r="J457" s="1" t="s">
        <v>1405</v>
      </c>
      <c r="K457" s="7">
        <v>43907.557561183712</v>
      </c>
      <c r="L457" s="6">
        <v>6136</v>
      </c>
    </row>
    <row r="458" spans="1:12" hidden="1" x14ac:dyDescent="0.25">
      <c r="A458" s="4">
        <v>456</v>
      </c>
      <c r="B458" s="2" t="str">
        <f>HYPERLINK("https://my.zakupki.prom.ua/remote/dispatcher/state_purchase_view/15927391", "UA-2020-03-24-001361-b")</f>
        <v>UA-2020-03-24-001361-b</v>
      </c>
      <c r="C458" s="1" t="s">
        <v>611</v>
      </c>
      <c r="D458" s="1" t="s">
        <v>174</v>
      </c>
      <c r="E458" s="1" t="s">
        <v>470</v>
      </c>
      <c r="F458" s="5">
        <v>43914</v>
      </c>
      <c r="G458" s="7">
        <v>43922.475057870368</v>
      </c>
      <c r="H458" s="6">
        <v>7800</v>
      </c>
      <c r="I458" s="1" t="s">
        <v>1330</v>
      </c>
      <c r="J458" s="1" t="s">
        <v>1405</v>
      </c>
      <c r="K458" s="7">
        <v>43929.690778397046</v>
      </c>
      <c r="L458" s="6">
        <v>7018.4</v>
      </c>
    </row>
    <row r="459" spans="1:12" hidden="1" x14ac:dyDescent="0.25">
      <c r="A459" s="4">
        <v>457</v>
      </c>
      <c r="B459" s="2" t="str">
        <f>HYPERLINK("https://my.zakupki.prom.ua/remote/dispatcher/state_purchase_view/16070870", "UA-2020-04-01-003190-b")</f>
        <v>UA-2020-04-01-003190-b</v>
      </c>
      <c r="C459" s="1" t="s">
        <v>306</v>
      </c>
      <c r="D459" s="1" t="s">
        <v>176</v>
      </c>
      <c r="E459" s="1" t="s">
        <v>488</v>
      </c>
      <c r="F459" s="5">
        <v>43922</v>
      </c>
      <c r="G459" s="1" t="s">
        <v>1397</v>
      </c>
      <c r="H459" s="6">
        <v>8870</v>
      </c>
      <c r="I459" s="1" t="s">
        <v>1366</v>
      </c>
      <c r="J459" s="1" t="s">
        <v>1405</v>
      </c>
      <c r="K459" s="7">
        <v>43922.699740016018</v>
      </c>
      <c r="L459" s="6">
        <v>8870</v>
      </c>
    </row>
    <row r="460" spans="1:12" hidden="1" x14ac:dyDescent="0.25">
      <c r="A460" s="4">
        <v>458</v>
      </c>
      <c r="B460" s="2" t="str">
        <f>HYPERLINK("https://my.zakupki.prom.ua/remote/dispatcher/state_purchase_view/16098719", "UA-2020-04-03-000855-b")</f>
        <v>UA-2020-04-03-000855-b</v>
      </c>
      <c r="C460" s="1" t="s">
        <v>1043</v>
      </c>
      <c r="D460" s="1" t="s">
        <v>170</v>
      </c>
      <c r="E460" s="1" t="s">
        <v>390</v>
      </c>
      <c r="F460" s="5">
        <v>43924</v>
      </c>
      <c r="G460" s="7">
        <v>43942.534826388888</v>
      </c>
      <c r="H460" s="6">
        <v>34000</v>
      </c>
      <c r="I460" s="1" t="s">
        <v>1331</v>
      </c>
      <c r="J460" s="1" t="s">
        <v>1405</v>
      </c>
      <c r="K460" s="7">
        <v>43955.559028131342</v>
      </c>
      <c r="L460" s="6">
        <v>32800</v>
      </c>
    </row>
    <row r="461" spans="1:12" hidden="1" x14ac:dyDescent="0.25">
      <c r="A461" s="4">
        <v>459</v>
      </c>
      <c r="B461" s="2" t="str">
        <f>HYPERLINK("https://my.zakupki.prom.ua/remote/dispatcher/state_purchase_view/13765118", "UA-2019-11-28-000947-b")</f>
        <v>UA-2019-11-28-000947-b</v>
      </c>
      <c r="C461" s="1" t="s">
        <v>672</v>
      </c>
      <c r="D461" s="1" t="s">
        <v>148</v>
      </c>
      <c r="E461" s="1" t="s">
        <v>470</v>
      </c>
      <c r="F461" s="5">
        <v>43797</v>
      </c>
      <c r="G461" s="7">
        <v>43805.615497685183</v>
      </c>
      <c r="H461" s="6">
        <v>55000</v>
      </c>
      <c r="I461" s="1" t="s">
        <v>1330</v>
      </c>
      <c r="J461" s="1" t="s">
        <v>1405</v>
      </c>
      <c r="K461" s="7">
        <v>43812.378305569888</v>
      </c>
      <c r="L461" s="6">
        <v>55000</v>
      </c>
    </row>
    <row r="462" spans="1:12" hidden="1" x14ac:dyDescent="0.25">
      <c r="A462" s="4">
        <v>460</v>
      </c>
      <c r="B462" s="2" t="str">
        <f>HYPERLINK("https://my.zakupki.prom.ua/remote/dispatcher/state_purchase_view/13766845", "UA-2019-11-28-001182-b")</f>
        <v>UA-2019-11-28-001182-b</v>
      </c>
      <c r="C462" s="1" t="s">
        <v>491</v>
      </c>
      <c r="D462" s="1" t="s">
        <v>108</v>
      </c>
      <c r="E462" s="1" t="s">
        <v>470</v>
      </c>
      <c r="F462" s="5">
        <v>43797</v>
      </c>
      <c r="G462" s="1" t="s">
        <v>1398</v>
      </c>
      <c r="H462" s="6">
        <v>24084</v>
      </c>
      <c r="I462" s="1" t="s">
        <v>313</v>
      </c>
      <c r="J462" s="1" t="s">
        <v>1419</v>
      </c>
      <c r="K462" s="7">
        <v>43810.670341756944</v>
      </c>
      <c r="L462" s="6">
        <v>23262</v>
      </c>
    </row>
    <row r="463" spans="1:12" hidden="1" x14ac:dyDescent="0.25">
      <c r="A463" s="4">
        <v>461</v>
      </c>
      <c r="B463" s="2" t="str">
        <f>HYPERLINK("https://my.zakupki.prom.ua/remote/dispatcher/state_purchase_view/15207509", "UA-2020-02-11-000297-b")</f>
        <v>UA-2020-02-11-000297-b</v>
      </c>
      <c r="C463" s="1" t="s">
        <v>865</v>
      </c>
      <c r="D463" s="1" t="s">
        <v>255</v>
      </c>
      <c r="E463" s="1" t="s">
        <v>390</v>
      </c>
      <c r="F463" s="5">
        <v>43872</v>
      </c>
      <c r="G463" s="7">
        <v>43888.479456018518</v>
      </c>
      <c r="H463" s="6">
        <v>316110</v>
      </c>
      <c r="I463" s="1" t="s">
        <v>1118</v>
      </c>
      <c r="J463" s="1" t="s">
        <v>1405</v>
      </c>
      <c r="K463" s="7">
        <v>43900.431231762603</v>
      </c>
      <c r="L463" s="6">
        <v>314478.7</v>
      </c>
    </row>
    <row r="464" spans="1:12" hidden="1" x14ac:dyDescent="0.25">
      <c r="A464" s="4">
        <v>462</v>
      </c>
      <c r="B464" s="2" t="str">
        <f>HYPERLINK("https://my.zakupki.prom.ua/remote/dispatcher/state_purchase_view/17509703", "UA-2020-06-25-007860-a")</f>
        <v>UA-2020-06-25-007860-a</v>
      </c>
      <c r="C464" s="1" t="s">
        <v>496</v>
      </c>
      <c r="D464" s="1" t="s">
        <v>100</v>
      </c>
      <c r="E464" s="1" t="s">
        <v>488</v>
      </c>
      <c r="F464" s="5">
        <v>44007</v>
      </c>
      <c r="G464" s="1" t="s">
        <v>1397</v>
      </c>
      <c r="H464" s="6">
        <v>30000</v>
      </c>
      <c r="I464" s="1" t="s">
        <v>1363</v>
      </c>
      <c r="J464" s="1" t="s">
        <v>1405</v>
      </c>
      <c r="K464" s="7">
        <v>44007.636417903712</v>
      </c>
      <c r="L464" s="6">
        <v>30000</v>
      </c>
    </row>
    <row r="465" spans="1:12" hidden="1" x14ac:dyDescent="0.25">
      <c r="A465" s="4">
        <v>463</v>
      </c>
      <c r="B465" s="2" t="str">
        <f>HYPERLINK("https://my.zakupki.prom.ua/remote/dispatcher/state_purchase_view/17636344", "UA-2020-07-03-002835-a")</f>
        <v>UA-2020-07-03-002835-a</v>
      </c>
      <c r="C465" s="1" t="s">
        <v>494</v>
      </c>
      <c r="D465" s="1" t="s">
        <v>108</v>
      </c>
      <c r="E465" s="1" t="s">
        <v>470</v>
      </c>
      <c r="F465" s="5">
        <v>44015</v>
      </c>
      <c r="G465" s="1" t="s">
        <v>1398</v>
      </c>
      <c r="H465" s="6">
        <v>25000</v>
      </c>
      <c r="I465" s="1" t="s">
        <v>1184</v>
      </c>
      <c r="J465" s="1" t="s">
        <v>1405</v>
      </c>
      <c r="K465" s="7">
        <v>44039.636696441041</v>
      </c>
      <c r="L465" s="6">
        <v>24900</v>
      </c>
    </row>
    <row r="466" spans="1:12" hidden="1" x14ac:dyDescent="0.25">
      <c r="A466" s="4">
        <v>464</v>
      </c>
      <c r="B466" s="2" t="str">
        <f>HYPERLINK("https://my.zakupki.prom.ua/remote/dispatcher/state_purchase_view/10392853", "UA-2019-02-05-002402-b")</f>
        <v>UA-2019-02-05-002402-b</v>
      </c>
      <c r="C466" s="1" t="s">
        <v>769</v>
      </c>
      <c r="D466" s="1" t="s">
        <v>235</v>
      </c>
      <c r="E466" s="1" t="s">
        <v>390</v>
      </c>
      <c r="F466" s="5">
        <v>43501</v>
      </c>
      <c r="G466" s="7">
        <v>43517.486331018517</v>
      </c>
      <c r="H466" s="6">
        <v>402905</v>
      </c>
      <c r="I466" s="1" t="s">
        <v>1135</v>
      </c>
      <c r="J466" s="1" t="s">
        <v>1405</v>
      </c>
      <c r="K466" s="7">
        <v>43535.427812342365</v>
      </c>
      <c r="L466" s="6">
        <v>402600</v>
      </c>
    </row>
    <row r="467" spans="1:12" hidden="1" x14ac:dyDescent="0.25">
      <c r="A467" s="4">
        <v>465</v>
      </c>
      <c r="B467" s="2" t="str">
        <f>HYPERLINK("https://my.zakupki.prom.ua/remote/dispatcher/state_purchase_view/9494972", "UA-2018-12-21-001072-a")</f>
        <v>UA-2018-12-21-001072-a</v>
      </c>
      <c r="C467" s="1" t="s">
        <v>897</v>
      </c>
      <c r="D467" s="1" t="s">
        <v>225</v>
      </c>
      <c r="E467" s="1" t="s">
        <v>488</v>
      </c>
      <c r="F467" s="5">
        <v>43455</v>
      </c>
      <c r="G467" s="1" t="s">
        <v>1397</v>
      </c>
      <c r="H467" s="6">
        <v>20000</v>
      </c>
      <c r="I467" s="1" t="s">
        <v>546</v>
      </c>
      <c r="J467" s="1" t="s">
        <v>1405</v>
      </c>
      <c r="K467" s="7">
        <v>43455.484538985569</v>
      </c>
      <c r="L467" s="6">
        <v>20000</v>
      </c>
    </row>
    <row r="468" spans="1:12" hidden="1" x14ac:dyDescent="0.25">
      <c r="A468" s="4">
        <v>466</v>
      </c>
      <c r="B468" s="2" t="str">
        <f>HYPERLINK("https://my.zakupki.prom.ua/remote/dispatcher/state_purchase_view/11666578", "UA-2019-05-22-000270-a")</f>
        <v>UA-2019-05-22-000270-a</v>
      </c>
      <c r="C468" s="1" t="s">
        <v>639</v>
      </c>
      <c r="D468" s="1" t="s">
        <v>198</v>
      </c>
      <c r="E468" s="1" t="s">
        <v>470</v>
      </c>
      <c r="F468" s="5">
        <v>43607</v>
      </c>
      <c r="G468" s="1" t="s">
        <v>1398</v>
      </c>
      <c r="H468" s="6">
        <v>44000</v>
      </c>
      <c r="I468" s="1" t="s">
        <v>1340</v>
      </c>
      <c r="J468" s="1" t="s">
        <v>1405</v>
      </c>
      <c r="K468" s="7">
        <v>43620.63512546134</v>
      </c>
      <c r="L468" s="6">
        <v>43600</v>
      </c>
    </row>
    <row r="469" spans="1:12" hidden="1" x14ac:dyDescent="0.25">
      <c r="A469" s="4">
        <v>467</v>
      </c>
      <c r="B469" s="2" t="str">
        <f>HYPERLINK("https://my.zakupki.prom.ua/remote/dispatcher/state_purchase_view/12310420", "UA-2019-07-23-000268-b")</f>
        <v>UA-2019-07-23-000268-b</v>
      </c>
      <c r="C469" s="1" t="s">
        <v>271</v>
      </c>
      <c r="D469" s="1" t="s">
        <v>190</v>
      </c>
      <c r="E469" s="1" t="s">
        <v>390</v>
      </c>
      <c r="F469" s="5">
        <v>43669</v>
      </c>
      <c r="G469" s="7">
        <v>43686.592465277776</v>
      </c>
      <c r="H469" s="6">
        <v>111126600</v>
      </c>
      <c r="I469" s="1" t="s">
        <v>1169</v>
      </c>
      <c r="J469" s="1" t="s">
        <v>1405</v>
      </c>
      <c r="K469" s="7">
        <v>43705.424974879985</v>
      </c>
      <c r="L469" s="6">
        <v>107944367</v>
      </c>
    </row>
    <row r="470" spans="1:12" hidden="1" x14ac:dyDescent="0.25">
      <c r="A470" s="4">
        <v>468</v>
      </c>
      <c r="B470" s="2" t="str">
        <f>HYPERLINK("https://my.zakupki.prom.ua/remote/dispatcher/state_purchase_view/12510995", "UA-2019-08-12-001815-a")</f>
        <v>UA-2019-08-12-001815-a</v>
      </c>
      <c r="C470" s="1" t="s">
        <v>833</v>
      </c>
      <c r="D470" s="1" t="s">
        <v>217</v>
      </c>
      <c r="E470" s="1" t="s">
        <v>390</v>
      </c>
      <c r="F470" s="5">
        <v>43689</v>
      </c>
      <c r="G470" s="1" t="s">
        <v>1398</v>
      </c>
      <c r="H470" s="6">
        <v>60000</v>
      </c>
      <c r="I470" s="1"/>
      <c r="J470" s="1" t="s">
        <v>1406</v>
      </c>
      <c r="K470" s="7">
        <v>43704.723323000704</v>
      </c>
      <c r="L470" s="1"/>
    </row>
    <row r="471" spans="1:12" hidden="1" x14ac:dyDescent="0.25">
      <c r="A471" s="4">
        <v>469</v>
      </c>
      <c r="B471" s="2" t="str">
        <f>HYPERLINK("https://my.zakupki.prom.ua/remote/dispatcher/state_purchase_view/12538429", "UA-2019-08-14-001618-a")</f>
        <v>UA-2019-08-14-001618-a</v>
      </c>
      <c r="C471" s="1" t="s">
        <v>1283</v>
      </c>
      <c r="D471" s="1" t="s">
        <v>111</v>
      </c>
      <c r="E471" s="1" t="s">
        <v>390</v>
      </c>
      <c r="F471" s="5">
        <v>43691</v>
      </c>
      <c r="G471" s="7">
        <v>43707.474560185183</v>
      </c>
      <c r="H471" s="6">
        <v>79925</v>
      </c>
      <c r="I471" s="1" t="s">
        <v>1331</v>
      </c>
      <c r="J471" s="1" t="s">
        <v>1405</v>
      </c>
      <c r="K471" s="7">
        <v>43719.580882623959</v>
      </c>
      <c r="L471" s="6">
        <v>78200</v>
      </c>
    </row>
    <row r="472" spans="1:12" hidden="1" x14ac:dyDescent="0.25">
      <c r="A472" s="4">
        <v>470</v>
      </c>
      <c r="B472" s="2" t="str">
        <f>HYPERLINK("https://my.zakupki.prom.ua/remote/dispatcher/state_purchase_view/12155875", "UA-2019-07-08-000710-b")</f>
        <v>UA-2019-07-08-000710-b</v>
      </c>
      <c r="C472" s="1" t="s">
        <v>1090</v>
      </c>
      <c r="D472" s="1" t="s">
        <v>168</v>
      </c>
      <c r="E472" s="1" t="s">
        <v>390</v>
      </c>
      <c r="F472" s="5">
        <v>43654</v>
      </c>
      <c r="G472" s="7">
        <v>43670.548472222225</v>
      </c>
      <c r="H472" s="6">
        <v>345000</v>
      </c>
      <c r="I472" s="1" t="s">
        <v>1331</v>
      </c>
      <c r="J472" s="1" t="s">
        <v>1405</v>
      </c>
      <c r="K472" s="7">
        <v>43683.40172720384</v>
      </c>
      <c r="L472" s="6">
        <v>343500</v>
      </c>
    </row>
    <row r="473" spans="1:12" hidden="1" x14ac:dyDescent="0.25">
      <c r="A473" s="4">
        <v>471</v>
      </c>
      <c r="B473" s="2" t="str">
        <f>HYPERLINK("https://my.zakupki.prom.ua/remote/dispatcher/state_purchase_view/12934744", "UA-2019-09-23-000419-b")</f>
        <v>UA-2019-09-23-000419-b</v>
      </c>
      <c r="C473" s="1" t="s">
        <v>773</v>
      </c>
      <c r="D473" s="1" t="s">
        <v>262</v>
      </c>
      <c r="E473" s="1" t="s">
        <v>470</v>
      </c>
      <c r="F473" s="5">
        <v>43731</v>
      </c>
      <c r="G473" s="1" t="s">
        <v>1398</v>
      </c>
      <c r="H473" s="6">
        <v>49000</v>
      </c>
      <c r="I473" s="1" t="s">
        <v>1287</v>
      </c>
      <c r="J473" s="1" t="s">
        <v>1405</v>
      </c>
      <c r="K473" s="7">
        <v>43741.673347114396</v>
      </c>
      <c r="L473" s="6">
        <v>49000</v>
      </c>
    </row>
    <row r="474" spans="1:12" hidden="1" x14ac:dyDescent="0.25">
      <c r="A474" s="4">
        <v>472</v>
      </c>
      <c r="B474" s="2" t="str">
        <f>HYPERLINK("https://my.zakupki.prom.ua/remote/dispatcher/state_purchase_view/13016862", "UA-2019-09-30-000712-b")</f>
        <v>UA-2019-09-30-000712-b</v>
      </c>
      <c r="C474" s="1" t="s">
        <v>854</v>
      </c>
      <c r="D474" s="1" t="s">
        <v>199</v>
      </c>
      <c r="E474" s="1" t="s">
        <v>470</v>
      </c>
      <c r="F474" s="5">
        <v>43738</v>
      </c>
      <c r="G474" s="1" t="s">
        <v>1398</v>
      </c>
      <c r="H474" s="6">
        <v>30000</v>
      </c>
      <c r="I474" s="1" t="s">
        <v>1137</v>
      </c>
      <c r="J474" s="1" t="s">
        <v>1405</v>
      </c>
      <c r="K474" s="7">
        <v>43759.671149116519</v>
      </c>
      <c r="L474" s="6">
        <v>29070.79</v>
      </c>
    </row>
    <row r="475" spans="1:12" hidden="1" x14ac:dyDescent="0.25">
      <c r="A475" s="4">
        <v>473</v>
      </c>
      <c r="B475" s="2" t="str">
        <f>HYPERLINK("https://my.zakupki.prom.ua/remote/dispatcher/state_purchase_view/7302471", "UA-2018-06-01-001775-a")</f>
        <v>UA-2018-06-01-001775-a</v>
      </c>
      <c r="C475" s="1" t="s">
        <v>1101</v>
      </c>
      <c r="D475" s="1" t="s">
        <v>171</v>
      </c>
      <c r="E475" s="1" t="s">
        <v>488</v>
      </c>
      <c r="F475" s="5">
        <v>43252</v>
      </c>
      <c r="G475" s="1" t="s">
        <v>1397</v>
      </c>
      <c r="H475" s="6">
        <v>176850</v>
      </c>
      <c r="I475" s="1" t="s">
        <v>355</v>
      </c>
      <c r="J475" s="1" t="s">
        <v>1405</v>
      </c>
      <c r="K475" s="7">
        <v>43252.571179570892</v>
      </c>
      <c r="L475" s="6">
        <v>176850</v>
      </c>
    </row>
    <row r="476" spans="1:12" hidden="1" x14ac:dyDescent="0.25">
      <c r="A476" s="4">
        <v>474</v>
      </c>
      <c r="B476" s="2" t="str">
        <f>HYPERLINK("https://my.zakupki.prom.ua/remote/dispatcher/state_purchase_view/7553944", "UA-2018-06-25-000744-a")</f>
        <v>UA-2018-06-25-000744-a</v>
      </c>
      <c r="C476" s="1" t="s">
        <v>344</v>
      </c>
      <c r="D476" s="1" t="s">
        <v>30</v>
      </c>
      <c r="E476" s="1" t="s">
        <v>390</v>
      </c>
      <c r="F476" s="5">
        <v>43276</v>
      </c>
      <c r="G476" s="7">
        <v>43292.620949074073</v>
      </c>
      <c r="H476" s="6">
        <v>850000</v>
      </c>
      <c r="I476" s="1" t="s">
        <v>1244</v>
      </c>
      <c r="J476" s="1" t="s">
        <v>1405</v>
      </c>
      <c r="K476" s="7">
        <v>43305.476527294064</v>
      </c>
      <c r="L476" s="6">
        <v>844750</v>
      </c>
    </row>
    <row r="477" spans="1:12" hidden="1" x14ac:dyDescent="0.25">
      <c r="A477" s="4">
        <v>475</v>
      </c>
      <c r="B477" s="2" t="str">
        <f>HYPERLINK("https://my.zakupki.prom.ua/remote/dispatcher/state_purchase_view/10791798", "UA-2019-03-04-000246-a")</f>
        <v>UA-2019-03-04-000246-a</v>
      </c>
      <c r="C477" s="1" t="s">
        <v>557</v>
      </c>
      <c r="D477" s="1" t="s">
        <v>81</v>
      </c>
      <c r="E477" s="1" t="s">
        <v>390</v>
      </c>
      <c r="F477" s="5">
        <v>43528</v>
      </c>
      <c r="G477" s="7">
        <v>43544.531145833331</v>
      </c>
      <c r="H477" s="6">
        <v>225400</v>
      </c>
      <c r="I477" s="1" t="s">
        <v>1320</v>
      </c>
      <c r="J477" s="1" t="s">
        <v>1405</v>
      </c>
      <c r="K477" s="7">
        <v>43556.399350453961</v>
      </c>
      <c r="L477" s="6">
        <v>224850</v>
      </c>
    </row>
    <row r="478" spans="1:12" hidden="1" x14ac:dyDescent="0.25">
      <c r="A478" s="4">
        <v>476</v>
      </c>
      <c r="B478" s="2" t="str">
        <f>HYPERLINK("https://my.zakupki.prom.ua/remote/dispatcher/state_purchase_view/2784361", "UA-2017-04-10-000442-b")</f>
        <v>UA-2017-04-10-000442-b</v>
      </c>
      <c r="C478" s="1" t="s">
        <v>1047</v>
      </c>
      <c r="D478" s="1" t="s">
        <v>178</v>
      </c>
      <c r="E478" s="1" t="s">
        <v>470</v>
      </c>
      <c r="F478" s="5">
        <v>42835</v>
      </c>
      <c r="G478" s="1" t="s">
        <v>1398</v>
      </c>
      <c r="H478" s="6">
        <v>15211</v>
      </c>
      <c r="I478" s="1" t="s">
        <v>1179</v>
      </c>
      <c r="J478" s="1" t="s">
        <v>1405</v>
      </c>
      <c r="K478" s="7">
        <v>42849.745238421863</v>
      </c>
      <c r="L478" s="6">
        <v>14982</v>
      </c>
    </row>
    <row r="479" spans="1:12" hidden="1" x14ac:dyDescent="0.25">
      <c r="A479" s="4">
        <v>477</v>
      </c>
      <c r="B479" s="2" t="str">
        <f>HYPERLINK("https://my.zakupki.prom.ua/remote/dispatcher/state_purchase_view/3268254", "UA-2017-06-08-002153-b")</f>
        <v>UA-2017-06-08-002153-b</v>
      </c>
      <c r="C479" s="1" t="s">
        <v>1040</v>
      </c>
      <c r="D479" s="1" t="s">
        <v>165</v>
      </c>
      <c r="E479" s="1" t="s">
        <v>470</v>
      </c>
      <c r="F479" s="5">
        <v>42894</v>
      </c>
      <c r="G479" s="1" t="s">
        <v>1398</v>
      </c>
      <c r="H479" s="6">
        <v>17785</v>
      </c>
      <c r="I479" s="1" t="s">
        <v>1325</v>
      </c>
      <c r="J479" s="1" t="s">
        <v>1405</v>
      </c>
      <c r="K479" s="7">
        <v>42906.706890932604</v>
      </c>
      <c r="L479" s="6">
        <v>17780</v>
      </c>
    </row>
    <row r="480" spans="1:12" hidden="1" x14ac:dyDescent="0.25">
      <c r="A480" s="4">
        <v>478</v>
      </c>
      <c r="B480" s="2" t="str">
        <f>HYPERLINK("https://my.zakupki.prom.ua/remote/dispatcher/state_purchase_view/3632778", "UA-2017-07-25-001550-b")</f>
        <v>UA-2017-07-25-001550-b</v>
      </c>
      <c r="C480" s="1" t="s">
        <v>284</v>
      </c>
      <c r="D480" s="1" t="s">
        <v>183</v>
      </c>
      <c r="E480" s="1" t="s">
        <v>390</v>
      </c>
      <c r="F480" s="5">
        <v>42941</v>
      </c>
      <c r="G480" s="7">
        <v>42958.663888888892</v>
      </c>
      <c r="H480" s="6">
        <v>56643251</v>
      </c>
      <c r="I480" s="1" t="s">
        <v>1116</v>
      </c>
      <c r="J480" s="1" t="s">
        <v>1405</v>
      </c>
      <c r="K480" s="7">
        <v>42977.538135063551</v>
      </c>
      <c r="L480" s="6">
        <v>56380169.140000001</v>
      </c>
    </row>
    <row r="481" spans="1:12" hidden="1" x14ac:dyDescent="0.25">
      <c r="A481" s="4">
        <v>479</v>
      </c>
      <c r="B481" s="2" t="str">
        <f>HYPERLINK("https://my.zakupki.prom.ua/remote/dispatcher/state_purchase_view/3616538", "UA-2017-07-24-000512-b")</f>
        <v>UA-2017-07-24-000512-b</v>
      </c>
      <c r="C481" s="1" t="s">
        <v>373</v>
      </c>
      <c r="D481" s="1" t="s">
        <v>124</v>
      </c>
      <c r="E481" s="1" t="s">
        <v>470</v>
      </c>
      <c r="F481" s="5">
        <v>42940</v>
      </c>
      <c r="G481" s="1" t="s">
        <v>1398</v>
      </c>
      <c r="H481" s="6">
        <v>6849</v>
      </c>
      <c r="I481" s="1"/>
      <c r="J481" s="1" t="s">
        <v>1406</v>
      </c>
      <c r="K481" s="7">
        <v>42947.478022075709</v>
      </c>
      <c r="L481" s="1"/>
    </row>
    <row r="482" spans="1:12" hidden="1" x14ac:dyDescent="0.25">
      <c r="A482" s="4">
        <v>480</v>
      </c>
      <c r="B482" s="2" t="str">
        <f>HYPERLINK("https://my.zakupki.prom.ua/remote/dispatcher/state_purchase_view/6694592", "UA-2018-03-30-000437-a")</f>
        <v>UA-2018-03-30-000437-a</v>
      </c>
      <c r="C482" s="1" t="s">
        <v>462</v>
      </c>
      <c r="D482" s="1" t="s">
        <v>170</v>
      </c>
      <c r="E482" s="1" t="s">
        <v>390</v>
      </c>
      <c r="F482" s="5">
        <v>43189</v>
      </c>
      <c r="G482" s="1" t="s">
        <v>1398</v>
      </c>
      <c r="H482" s="6">
        <v>655000</v>
      </c>
      <c r="I482" s="1"/>
      <c r="J482" s="1" t="s">
        <v>1406</v>
      </c>
      <c r="K482" s="7">
        <v>43206.472056878891</v>
      </c>
      <c r="L482" s="1"/>
    </row>
    <row r="483" spans="1:12" hidden="1" x14ac:dyDescent="0.25">
      <c r="A483" s="4">
        <v>481</v>
      </c>
      <c r="B483" s="2" t="str">
        <f>HYPERLINK("https://my.zakupki.prom.ua/remote/dispatcher/state_purchase_view/6694592", "UA-2018-03-30-000437-a")</f>
        <v>UA-2018-03-30-000437-a</v>
      </c>
      <c r="C483" s="1" t="s">
        <v>733</v>
      </c>
      <c r="D483" s="1" t="s">
        <v>170</v>
      </c>
      <c r="E483" s="1" t="s">
        <v>390</v>
      </c>
      <c r="F483" s="5">
        <v>43189</v>
      </c>
      <c r="G483" s="1" t="s">
        <v>1398</v>
      </c>
      <c r="H483" s="6">
        <v>655000</v>
      </c>
      <c r="I483" s="1"/>
      <c r="J483" s="1" t="s">
        <v>1420</v>
      </c>
      <c r="K483" s="7">
        <v>43208.425384209419</v>
      </c>
      <c r="L483" s="1"/>
    </row>
    <row r="484" spans="1:12" hidden="1" x14ac:dyDescent="0.25">
      <c r="A484" s="4">
        <v>482</v>
      </c>
      <c r="B484" s="2" t="str">
        <f>HYPERLINK("https://my.zakupki.prom.ua/remote/dispatcher/state_purchase_view/6528168", "UA-2018-03-16-000134-c")</f>
        <v>UA-2018-03-16-000134-c</v>
      </c>
      <c r="C484" s="1" t="s">
        <v>836</v>
      </c>
      <c r="D484" s="1" t="s">
        <v>265</v>
      </c>
      <c r="E484" s="1" t="s">
        <v>390</v>
      </c>
      <c r="F484" s="5">
        <v>43175</v>
      </c>
      <c r="G484" s="1" t="s">
        <v>1398</v>
      </c>
      <c r="H484" s="6">
        <v>2000000</v>
      </c>
      <c r="I484" s="1"/>
      <c r="J484" s="1" t="s">
        <v>1419</v>
      </c>
      <c r="K484" s="7">
        <v>43181.41272045912</v>
      </c>
      <c r="L484" s="1"/>
    </row>
    <row r="485" spans="1:12" hidden="1" x14ac:dyDescent="0.25">
      <c r="A485" s="4">
        <v>483</v>
      </c>
      <c r="B485" s="2" t="str">
        <f>HYPERLINK("https://my.zakupki.prom.ua/remote/dispatcher/state_purchase_view/3768663", "UA-2017-08-11-000265-b")</f>
        <v>UA-2017-08-11-000265-b</v>
      </c>
      <c r="C485" s="1" t="s">
        <v>1016</v>
      </c>
      <c r="D485" s="1" t="s">
        <v>226</v>
      </c>
      <c r="E485" s="1" t="s">
        <v>470</v>
      </c>
      <c r="F485" s="5">
        <v>42958</v>
      </c>
      <c r="G485" s="7">
        <v>42968.509432870371</v>
      </c>
      <c r="H485" s="6">
        <v>1104562</v>
      </c>
      <c r="I485" s="1" t="s">
        <v>1323</v>
      </c>
      <c r="J485" s="1" t="s">
        <v>1405</v>
      </c>
      <c r="K485" s="7">
        <v>42992.427285556958</v>
      </c>
      <c r="L485" s="6">
        <v>980000</v>
      </c>
    </row>
    <row r="486" spans="1:12" hidden="1" x14ac:dyDescent="0.25">
      <c r="A486" s="4">
        <v>484</v>
      </c>
      <c r="B486" s="2" t="str">
        <f>HYPERLINK("https://my.zakupki.prom.ua/remote/dispatcher/state_purchase_view/3727621", "UA-2017-08-07-000693-b")</f>
        <v>UA-2017-08-07-000693-b</v>
      </c>
      <c r="C486" s="1" t="s">
        <v>821</v>
      </c>
      <c r="D486" s="1" t="s">
        <v>235</v>
      </c>
      <c r="E486" s="1" t="s">
        <v>390</v>
      </c>
      <c r="F486" s="5">
        <v>42954</v>
      </c>
      <c r="G486" s="7">
        <v>42975.517951388887</v>
      </c>
      <c r="H486" s="6">
        <v>595000</v>
      </c>
      <c r="I486" s="1" t="s">
        <v>1135</v>
      </c>
      <c r="J486" s="1" t="s">
        <v>1405</v>
      </c>
      <c r="K486" s="7">
        <v>42991.45780636889</v>
      </c>
      <c r="L486" s="6">
        <v>592795.84</v>
      </c>
    </row>
    <row r="487" spans="1:12" hidden="1" x14ac:dyDescent="0.25">
      <c r="A487" s="4">
        <v>485</v>
      </c>
      <c r="B487" s="2" t="str">
        <f>HYPERLINK("https://my.zakupki.prom.ua/remote/dispatcher/state_purchase_view/3790025", "UA-2017-08-15-000170-a")</f>
        <v>UA-2017-08-15-000170-a</v>
      </c>
      <c r="C487" s="1" t="s">
        <v>877</v>
      </c>
      <c r="D487" s="1" t="s">
        <v>248</v>
      </c>
      <c r="E487" s="1" t="s">
        <v>470</v>
      </c>
      <c r="F487" s="5">
        <v>42962</v>
      </c>
      <c r="G487" s="1" t="s">
        <v>1398</v>
      </c>
      <c r="H487" s="6">
        <v>50000</v>
      </c>
      <c r="I487" s="1"/>
      <c r="J487" s="1" t="s">
        <v>1419</v>
      </c>
      <c r="K487" s="7">
        <v>42964.733346753266</v>
      </c>
      <c r="L487" s="1"/>
    </row>
    <row r="488" spans="1:12" hidden="1" x14ac:dyDescent="0.25">
      <c r="A488" s="4">
        <v>486</v>
      </c>
      <c r="B488" s="2" t="str">
        <f>HYPERLINK("https://my.zakupki.prom.ua/remote/dispatcher/state_purchase_view/3675364", "UA-2017-07-31-001589-b")</f>
        <v>UA-2017-07-31-001589-b</v>
      </c>
      <c r="C488" s="1" t="s">
        <v>575</v>
      </c>
      <c r="D488" s="1" t="s">
        <v>130</v>
      </c>
      <c r="E488" s="1" t="s">
        <v>470</v>
      </c>
      <c r="F488" s="5">
        <v>42947</v>
      </c>
      <c r="G488" s="1" t="s">
        <v>1398</v>
      </c>
      <c r="H488" s="6">
        <v>11500</v>
      </c>
      <c r="I488" s="1" t="s">
        <v>1170</v>
      </c>
      <c r="J488" s="1" t="s">
        <v>1405</v>
      </c>
      <c r="K488" s="7">
        <v>42975.468967918285</v>
      </c>
      <c r="L488" s="6">
        <v>10560</v>
      </c>
    </row>
    <row r="489" spans="1:12" hidden="1" x14ac:dyDescent="0.25">
      <c r="A489" s="4">
        <v>487</v>
      </c>
      <c r="B489" s="2" t="str">
        <f>HYPERLINK("https://my.zakupki.prom.ua/remote/dispatcher/state_purchase_view/742628", "UA-2016-10-27-000678-a")</f>
        <v>UA-2016-10-27-000678-a</v>
      </c>
      <c r="C489" s="1" t="s">
        <v>379</v>
      </c>
      <c r="D489" s="1" t="s">
        <v>134</v>
      </c>
      <c r="E489" s="1" t="s">
        <v>470</v>
      </c>
      <c r="F489" s="5">
        <v>42670</v>
      </c>
      <c r="G489" s="1" t="s">
        <v>1398</v>
      </c>
      <c r="H489" s="6">
        <v>3750</v>
      </c>
      <c r="I489" s="1"/>
      <c r="J489" s="1" t="s">
        <v>1406</v>
      </c>
      <c r="K489" s="7">
        <v>42681.62619009801</v>
      </c>
      <c r="L489" s="1"/>
    </row>
    <row r="490" spans="1:12" hidden="1" x14ac:dyDescent="0.25">
      <c r="A490" s="4">
        <v>488</v>
      </c>
      <c r="B490" s="2" t="str">
        <f>HYPERLINK("https://my.zakupki.prom.ua/remote/dispatcher/state_purchase_view/4421849", "UA-2017-10-26-002313-c")</f>
        <v>UA-2017-10-26-002313-c</v>
      </c>
      <c r="C490" s="1" t="s">
        <v>1030</v>
      </c>
      <c r="D490" s="1" t="s">
        <v>220</v>
      </c>
      <c r="E490" s="1" t="s">
        <v>488</v>
      </c>
      <c r="F490" s="5">
        <v>43034</v>
      </c>
      <c r="G490" s="1" t="s">
        <v>1397</v>
      </c>
      <c r="H490" s="6">
        <v>70000</v>
      </c>
      <c r="I490" s="1" t="s">
        <v>1144</v>
      </c>
      <c r="J490" s="1" t="s">
        <v>1405</v>
      </c>
      <c r="K490" s="7">
        <v>43034.747799422512</v>
      </c>
      <c r="L490" s="6">
        <v>70000</v>
      </c>
    </row>
    <row r="491" spans="1:12" hidden="1" x14ac:dyDescent="0.25">
      <c r="A491" s="4">
        <v>489</v>
      </c>
      <c r="B491" s="2" t="str">
        <f>HYPERLINK("https://my.zakupki.prom.ua/remote/dispatcher/state_purchase_view/7042807", "UA-2018-05-07-000688-a")</f>
        <v>UA-2018-05-07-000688-a</v>
      </c>
      <c r="C491" s="1" t="s">
        <v>474</v>
      </c>
      <c r="D491" s="1" t="s">
        <v>36</v>
      </c>
      <c r="E491" s="1" t="s">
        <v>722</v>
      </c>
      <c r="F491" s="5">
        <v>43227</v>
      </c>
      <c r="G491" s="1" t="s">
        <v>1397</v>
      </c>
      <c r="H491" s="6">
        <v>604282</v>
      </c>
      <c r="I491" s="1" t="s">
        <v>710</v>
      </c>
      <c r="J491" s="1" t="s">
        <v>1405</v>
      </c>
      <c r="K491" s="7">
        <v>43241.693594671713</v>
      </c>
      <c r="L491" s="6">
        <v>604282</v>
      </c>
    </row>
    <row r="492" spans="1:12" hidden="1" x14ac:dyDescent="0.25">
      <c r="A492" s="4">
        <v>490</v>
      </c>
      <c r="B492" s="2" t="str">
        <f>HYPERLINK("https://my.zakupki.prom.ua/remote/dispatcher/state_purchase_view/7372243", "UA-2018-06-07-003220-a")</f>
        <v>UA-2018-06-07-003220-a</v>
      </c>
      <c r="C492" s="1" t="s">
        <v>538</v>
      </c>
      <c r="D492" s="1" t="s">
        <v>190</v>
      </c>
      <c r="E492" s="1" t="s">
        <v>722</v>
      </c>
      <c r="F492" s="5">
        <v>43258</v>
      </c>
      <c r="G492" s="1" t="s">
        <v>1397</v>
      </c>
      <c r="H492" s="6">
        <v>6577454.2599999998</v>
      </c>
      <c r="I492" s="1" t="s">
        <v>1226</v>
      </c>
      <c r="J492" s="1" t="s">
        <v>1405</v>
      </c>
      <c r="K492" s="7">
        <v>43269.494307380337</v>
      </c>
      <c r="L492" s="6">
        <v>6577454.2599999998</v>
      </c>
    </row>
    <row r="493" spans="1:12" hidden="1" x14ac:dyDescent="0.25">
      <c r="A493" s="4">
        <v>491</v>
      </c>
      <c r="B493" s="2" t="str">
        <f>HYPERLINK("https://my.zakupki.prom.ua/remote/dispatcher/state_purchase_view/978494", "UA-2016-11-22-000702-a")</f>
        <v>UA-2016-11-22-000702-a</v>
      </c>
      <c r="C493" s="1" t="s">
        <v>680</v>
      </c>
      <c r="D493" s="1" t="s">
        <v>112</v>
      </c>
      <c r="E493" s="1" t="s">
        <v>470</v>
      </c>
      <c r="F493" s="5">
        <v>42696</v>
      </c>
      <c r="G493" s="1" t="s">
        <v>1398</v>
      </c>
      <c r="H493" s="6">
        <v>40262</v>
      </c>
      <c r="I493" s="1" t="s">
        <v>700</v>
      </c>
      <c r="J493" s="1" t="s">
        <v>1405</v>
      </c>
      <c r="K493" s="7">
        <v>42713.617116818423</v>
      </c>
      <c r="L493" s="6">
        <v>40260</v>
      </c>
    </row>
    <row r="494" spans="1:12" hidden="1" x14ac:dyDescent="0.25">
      <c r="A494" s="4">
        <v>492</v>
      </c>
      <c r="B494" s="2" t="str">
        <f>HYPERLINK("https://my.zakupki.prom.ua/remote/dispatcher/state_purchase_view/978017", "UA-2016-11-22-000643-a")</f>
        <v>UA-2016-11-22-000643-a</v>
      </c>
      <c r="C494" s="1" t="s">
        <v>657</v>
      </c>
      <c r="D494" s="1" t="s">
        <v>122</v>
      </c>
      <c r="E494" s="1" t="s">
        <v>470</v>
      </c>
      <c r="F494" s="5">
        <v>42696</v>
      </c>
      <c r="G494" s="7">
        <v>42705.615381944444</v>
      </c>
      <c r="H494" s="6">
        <v>28800</v>
      </c>
      <c r="I494" s="1" t="s">
        <v>700</v>
      </c>
      <c r="J494" s="1" t="s">
        <v>1405</v>
      </c>
      <c r="K494" s="7">
        <v>42713.617706032164</v>
      </c>
      <c r="L494" s="6">
        <v>27500</v>
      </c>
    </row>
    <row r="495" spans="1:12" hidden="1" x14ac:dyDescent="0.25">
      <c r="A495" s="4">
        <v>493</v>
      </c>
      <c r="B495" s="2" t="str">
        <f>HYPERLINK("https://my.zakupki.prom.ua/remote/dispatcher/state_purchase_view/1970497", "UA-2017-02-03-000870-b")</f>
        <v>UA-2017-02-03-000870-b</v>
      </c>
      <c r="C495" s="1" t="s">
        <v>932</v>
      </c>
      <c r="D495" s="1" t="s">
        <v>247</v>
      </c>
      <c r="E495" s="1" t="s">
        <v>470</v>
      </c>
      <c r="F495" s="5">
        <v>42769</v>
      </c>
      <c r="G495" s="7">
        <v>42780.579629629632</v>
      </c>
      <c r="H495" s="6">
        <v>49850</v>
      </c>
      <c r="I495" s="1" t="s">
        <v>1129</v>
      </c>
      <c r="J495" s="1" t="s">
        <v>1405</v>
      </c>
      <c r="K495" s="7">
        <v>42788.638324429041</v>
      </c>
      <c r="L495" s="6">
        <v>48850</v>
      </c>
    </row>
    <row r="496" spans="1:12" hidden="1" x14ac:dyDescent="0.25">
      <c r="A496" s="4">
        <v>494</v>
      </c>
      <c r="B496" s="2" t="str">
        <f>HYPERLINK("https://my.zakupki.prom.ua/remote/dispatcher/state_purchase_view/1786354", "UA-2017-01-26-001233-b")</f>
        <v>UA-2017-01-26-001233-b</v>
      </c>
      <c r="C496" s="1" t="s">
        <v>578</v>
      </c>
      <c r="D496" s="1" t="s">
        <v>93</v>
      </c>
      <c r="E496" s="1" t="s">
        <v>470</v>
      </c>
      <c r="F496" s="5">
        <v>42761</v>
      </c>
      <c r="G496" s="7">
        <v>42773.532048611109</v>
      </c>
      <c r="H496" s="6">
        <v>3131</v>
      </c>
      <c r="I496" s="1" t="s">
        <v>1259</v>
      </c>
      <c r="J496" s="1" t="s">
        <v>1405</v>
      </c>
      <c r="K496" s="7">
        <v>42781.588113508078</v>
      </c>
      <c r="L496" s="6">
        <v>2040</v>
      </c>
    </row>
    <row r="497" spans="1:12" hidden="1" x14ac:dyDescent="0.25">
      <c r="A497" s="4">
        <v>495</v>
      </c>
      <c r="B497" s="2" t="str">
        <f>HYPERLINK("https://my.zakupki.prom.ua/remote/dispatcher/state_purchase_view/1762684", "UA-2017-01-25-001947-b")</f>
        <v>UA-2017-01-25-001947-b</v>
      </c>
      <c r="C497" s="1" t="s">
        <v>376</v>
      </c>
      <c r="D497" s="1" t="s">
        <v>106</v>
      </c>
      <c r="E497" s="1" t="s">
        <v>470</v>
      </c>
      <c r="F497" s="5">
        <v>42760</v>
      </c>
      <c r="G497" s="1" t="s">
        <v>1398</v>
      </c>
      <c r="H497" s="6">
        <v>93921</v>
      </c>
      <c r="I497" s="1" t="s">
        <v>449</v>
      </c>
      <c r="J497" s="1" t="s">
        <v>1405</v>
      </c>
      <c r="K497" s="7">
        <v>42776.677632127561</v>
      </c>
      <c r="L497" s="6">
        <v>93920.4</v>
      </c>
    </row>
    <row r="498" spans="1:12" hidden="1" x14ac:dyDescent="0.25">
      <c r="A498" s="4">
        <v>496</v>
      </c>
      <c r="B498" s="2" t="str">
        <f>HYPERLINK("https://my.zakupki.prom.ua/remote/dispatcher/state_purchase_view/1210349", "UA-2016-12-15-001866-b")</f>
        <v>UA-2016-12-15-001866-b</v>
      </c>
      <c r="C498" s="1" t="s">
        <v>732</v>
      </c>
      <c r="D498" s="1" t="s">
        <v>149</v>
      </c>
      <c r="E498" s="1" t="s">
        <v>470</v>
      </c>
      <c r="F498" s="5">
        <v>42719</v>
      </c>
      <c r="G498" s="1" t="s">
        <v>1398</v>
      </c>
      <c r="H498" s="6">
        <v>5000</v>
      </c>
      <c r="I498" s="1"/>
      <c r="J498" s="1" t="s">
        <v>1406</v>
      </c>
      <c r="K498" s="7">
        <v>42726.544248628656</v>
      </c>
      <c r="L498" s="1"/>
    </row>
    <row r="499" spans="1:12" hidden="1" x14ac:dyDescent="0.25">
      <c r="A499" s="4">
        <v>497</v>
      </c>
      <c r="B499" s="2" t="str">
        <f>HYPERLINK("https://my.zakupki.prom.ua/remote/dispatcher/state_purchase_view/4035465", "UA-2017-09-14-001571-c")</f>
        <v>UA-2017-09-14-001571-c</v>
      </c>
      <c r="C499" s="1" t="s">
        <v>915</v>
      </c>
      <c r="D499" s="1" t="s">
        <v>248</v>
      </c>
      <c r="E499" s="1" t="s">
        <v>390</v>
      </c>
      <c r="F499" s="5">
        <v>42992</v>
      </c>
      <c r="G499" s="1" t="s">
        <v>1398</v>
      </c>
      <c r="H499" s="6">
        <v>310000</v>
      </c>
      <c r="I499" s="1"/>
      <c r="J499" s="1" t="s">
        <v>1406</v>
      </c>
      <c r="K499" s="7">
        <v>43007.625849850345</v>
      </c>
      <c r="L499" s="1"/>
    </row>
    <row r="500" spans="1:12" hidden="1" x14ac:dyDescent="0.25">
      <c r="A500" s="4">
        <v>498</v>
      </c>
      <c r="B500" s="2" t="str">
        <f>HYPERLINK("https://my.zakupki.prom.ua/remote/dispatcher/state_purchase_view/3936414", "UA-2017-09-04-001286-b")</f>
        <v>UA-2017-09-04-001286-b</v>
      </c>
      <c r="C500" s="1" t="s">
        <v>653</v>
      </c>
      <c r="D500" s="1" t="s">
        <v>137</v>
      </c>
      <c r="E500" s="1" t="s">
        <v>390</v>
      </c>
      <c r="F500" s="5">
        <v>42982</v>
      </c>
      <c r="G500" s="7">
        <v>42998.582280092596</v>
      </c>
      <c r="H500" s="6">
        <v>300000</v>
      </c>
      <c r="I500" s="1" t="s">
        <v>700</v>
      </c>
      <c r="J500" s="1" t="s">
        <v>1405</v>
      </c>
      <c r="K500" s="7">
        <v>43011.38863453707</v>
      </c>
      <c r="L500" s="6">
        <v>279432</v>
      </c>
    </row>
    <row r="501" spans="1:12" hidden="1" x14ac:dyDescent="0.25">
      <c r="A501" s="4">
        <v>499</v>
      </c>
      <c r="B501" s="2" t="str">
        <f>HYPERLINK("https://my.zakupki.prom.ua/remote/dispatcher/state_purchase_view/4425093", "UA-2017-10-27-000615-c")</f>
        <v>UA-2017-10-27-000615-c</v>
      </c>
      <c r="C501" s="1" t="s">
        <v>874</v>
      </c>
      <c r="D501" s="1" t="s">
        <v>212</v>
      </c>
      <c r="E501" s="1" t="s">
        <v>488</v>
      </c>
      <c r="F501" s="5">
        <v>43035</v>
      </c>
      <c r="G501" s="1" t="s">
        <v>1397</v>
      </c>
      <c r="H501" s="6">
        <v>242316</v>
      </c>
      <c r="I501" s="1" t="s">
        <v>968</v>
      </c>
      <c r="J501" s="1" t="s">
        <v>1405</v>
      </c>
      <c r="K501" s="7">
        <v>43035.475407594444</v>
      </c>
      <c r="L501" s="6">
        <v>242316</v>
      </c>
    </row>
    <row r="502" spans="1:12" hidden="1" x14ac:dyDescent="0.25">
      <c r="A502" s="4">
        <v>500</v>
      </c>
      <c r="B502" s="2" t="str">
        <f>HYPERLINK("https://my.zakupki.prom.ua/remote/dispatcher/state_purchase_view/4516186", "UA-2017-11-06-002488-c")</f>
        <v>UA-2017-11-06-002488-c</v>
      </c>
      <c r="C502" s="1" t="s">
        <v>1054</v>
      </c>
      <c r="D502" s="1" t="s">
        <v>40</v>
      </c>
      <c r="E502" s="1" t="s">
        <v>390</v>
      </c>
      <c r="F502" s="5">
        <v>43045</v>
      </c>
      <c r="G502" s="7">
        <v>43062.660092592596</v>
      </c>
      <c r="H502" s="6">
        <v>486112</v>
      </c>
      <c r="I502" s="1" t="s">
        <v>449</v>
      </c>
      <c r="J502" s="1" t="s">
        <v>1405</v>
      </c>
      <c r="K502" s="7">
        <v>43080.458820520857</v>
      </c>
      <c r="L502" s="6">
        <v>477477</v>
      </c>
    </row>
    <row r="503" spans="1:12" hidden="1" x14ac:dyDescent="0.25">
      <c r="A503" s="4">
        <v>501</v>
      </c>
      <c r="B503" s="2" t="str">
        <f>HYPERLINK("https://my.zakupki.prom.ua/remote/dispatcher/state_purchase_view/3644867", "UA-2017-07-26-001684-b")</f>
        <v>UA-2017-07-26-001684-b</v>
      </c>
      <c r="C503" s="1" t="s">
        <v>291</v>
      </c>
      <c r="D503" s="1" t="s">
        <v>123</v>
      </c>
      <c r="E503" s="1" t="s">
        <v>390</v>
      </c>
      <c r="F503" s="5">
        <v>42942</v>
      </c>
      <c r="G503" s="1" t="s">
        <v>1398</v>
      </c>
      <c r="H503" s="6">
        <v>2613000</v>
      </c>
      <c r="I503" s="1"/>
      <c r="J503" s="1" t="s">
        <v>1419</v>
      </c>
      <c r="K503" s="7">
        <v>42943.663506730372</v>
      </c>
      <c r="L503" s="1"/>
    </row>
    <row r="504" spans="1:12" hidden="1" x14ac:dyDescent="0.25">
      <c r="A504" s="4">
        <v>502</v>
      </c>
      <c r="B504" s="2" t="str">
        <f>HYPERLINK("https://my.zakupki.prom.ua/remote/dispatcher/state_purchase_view/7987472", "UA-2018-08-14-002026-b")</f>
        <v>UA-2018-08-14-002026-b</v>
      </c>
      <c r="C504" s="1" t="s">
        <v>900</v>
      </c>
      <c r="D504" s="1" t="s">
        <v>218</v>
      </c>
      <c r="E504" s="1" t="s">
        <v>488</v>
      </c>
      <c r="F504" s="5">
        <v>43326</v>
      </c>
      <c r="G504" s="1" t="s">
        <v>1397</v>
      </c>
      <c r="H504" s="6">
        <v>18500</v>
      </c>
      <c r="I504" s="1" t="s">
        <v>990</v>
      </c>
      <c r="J504" s="1" t="s">
        <v>1405</v>
      </c>
      <c r="K504" s="7">
        <v>43326.720329333672</v>
      </c>
      <c r="L504" s="6">
        <v>18500</v>
      </c>
    </row>
    <row r="505" spans="1:12" hidden="1" x14ac:dyDescent="0.25">
      <c r="A505" s="4">
        <v>503</v>
      </c>
      <c r="B505" s="2" t="str">
        <f>HYPERLINK("https://my.zakupki.prom.ua/remote/dispatcher/state_purchase_view/7766403", "UA-2018-07-19-002034-b")</f>
        <v>UA-2018-07-19-002034-b</v>
      </c>
      <c r="C505" s="1" t="s">
        <v>663</v>
      </c>
      <c r="D505" s="1" t="s">
        <v>166</v>
      </c>
      <c r="E505" s="1" t="s">
        <v>390</v>
      </c>
      <c r="F505" s="5">
        <v>43300</v>
      </c>
      <c r="G505" s="7">
        <v>43318.612384259257</v>
      </c>
      <c r="H505" s="6">
        <v>237370</v>
      </c>
      <c r="I505" s="1" t="s">
        <v>1367</v>
      </c>
      <c r="J505" s="1" t="s">
        <v>1405</v>
      </c>
      <c r="K505" s="7">
        <v>43332.426557513863</v>
      </c>
      <c r="L505" s="6">
        <v>235726</v>
      </c>
    </row>
    <row r="506" spans="1:12" hidden="1" x14ac:dyDescent="0.25">
      <c r="A506" s="4">
        <v>504</v>
      </c>
      <c r="B506" s="2" t="str">
        <f>HYPERLINK("https://my.zakupki.prom.ua/remote/dispatcher/state_purchase_view/8891639", "UA-2018-11-14-002615-a")</f>
        <v>UA-2018-11-14-002615-a</v>
      </c>
      <c r="C506" s="1" t="s">
        <v>359</v>
      </c>
      <c r="D506" s="1" t="s">
        <v>37</v>
      </c>
      <c r="E506" s="1" t="s">
        <v>390</v>
      </c>
      <c r="F506" s="5">
        <v>43418</v>
      </c>
      <c r="G506" s="7">
        <v>43434.501064814816</v>
      </c>
      <c r="H506" s="6">
        <v>120000</v>
      </c>
      <c r="I506" s="1" t="s">
        <v>1131</v>
      </c>
      <c r="J506" s="1" t="s">
        <v>1405</v>
      </c>
      <c r="K506" s="7">
        <v>43446.389796501855</v>
      </c>
      <c r="L506" s="6">
        <v>119976</v>
      </c>
    </row>
    <row r="507" spans="1:12" hidden="1" x14ac:dyDescent="0.25">
      <c r="A507" s="4">
        <v>505</v>
      </c>
      <c r="B507" s="2" t="str">
        <f>HYPERLINK("https://my.zakupki.prom.ua/remote/dispatcher/state_purchase_view/8296759", "UA-2018-09-18-002556-c")</f>
        <v>UA-2018-09-18-002556-c</v>
      </c>
      <c r="C507" s="1" t="s">
        <v>1268</v>
      </c>
      <c r="D507" s="1" t="s">
        <v>210</v>
      </c>
      <c r="E507" s="1" t="s">
        <v>390</v>
      </c>
      <c r="F507" s="5">
        <v>43361</v>
      </c>
      <c r="G507" s="7">
        <v>43377.488981481481</v>
      </c>
      <c r="H507" s="6">
        <v>190000</v>
      </c>
      <c r="I507" s="1" t="s">
        <v>512</v>
      </c>
      <c r="J507" s="1" t="s">
        <v>1405</v>
      </c>
      <c r="K507" s="7">
        <v>43397.42081636205</v>
      </c>
      <c r="L507" s="6">
        <v>189752.69</v>
      </c>
    </row>
    <row r="508" spans="1:12" hidden="1" x14ac:dyDescent="0.25">
      <c r="A508" s="4">
        <v>506</v>
      </c>
      <c r="B508" s="2" t="str">
        <f>HYPERLINK("https://my.zakupki.prom.ua/remote/dispatcher/state_purchase_view/6869312", "UA-2018-04-18-001827-a")</f>
        <v>UA-2018-04-18-001827-a</v>
      </c>
      <c r="C508" s="1" t="s">
        <v>631</v>
      </c>
      <c r="D508" s="1" t="s">
        <v>170</v>
      </c>
      <c r="E508" s="1" t="s">
        <v>390</v>
      </c>
      <c r="F508" s="5">
        <v>43208</v>
      </c>
      <c r="G508" s="1" t="s">
        <v>1398</v>
      </c>
      <c r="H508" s="6">
        <v>122000</v>
      </c>
      <c r="I508" s="1"/>
      <c r="J508" s="1" t="s">
        <v>1419</v>
      </c>
      <c r="K508" s="7">
        <v>43215.551241876739</v>
      </c>
      <c r="L508" s="1"/>
    </row>
    <row r="509" spans="1:12" hidden="1" x14ac:dyDescent="0.25">
      <c r="A509" s="4">
        <v>507</v>
      </c>
      <c r="B509" s="2" t="str">
        <f>HYPERLINK("https://my.zakupki.prom.ua/remote/dispatcher/state_purchase_view/11998098", "UA-2019-06-21-000400-a")</f>
        <v>UA-2019-06-21-000400-a</v>
      </c>
      <c r="C509" s="1" t="s">
        <v>616</v>
      </c>
      <c r="D509" s="1" t="s">
        <v>153</v>
      </c>
      <c r="E509" s="1" t="s">
        <v>470</v>
      </c>
      <c r="F509" s="5">
        <v>43637</v>
      </c>
      <c r="G509" s="1" t="s">
        <v>1398</v>
      </c>
      <c r="H509" s="6">
        <v>7500</v>
      </c>
      <c r="I509" s="1" t="s">
        <v>313</v>
      </c>
      <c r="J509" s="1" t="s">
        <v>1405</v>
      </c>
      <c r="K509" s="7">
        <v>43650.382201719978</v>
      </c>
      <c r="L509" s="6">
        <v>7260</v>
      </c>
    </row>
    <row r="510" spans="1:12" hidden="1" x14ac:dyDescent="0.25">
      <c r="A510" s="4">
        <v>508</v>
      </c>
      <c r="B510" s="2" t="str">
        <f>HYPERLINK("https://my.zakupki.prom.ua/remote/dispatcher/state_purchase_view/11468968", "UA-2019-05-03-000181-a")</f>
        <v>UA-2019-05-03-000181-a</v>
      </c>
      <c r="C510" s="1" t="s">
        <v>1424</v>
      </c>
      <c r="D510" s="1" t="s">
        <v>37</v>
      </c>
      <c r="E510" s="1" t="s">
        <v>470</v>
      </c>
      <c r="F510" s="5">
        <v>43588</v>
      </c>
      <c r="G510" s="1" t="s">
        <v>1398</v>
      </c>
      <c r="H510" s="6">
        <v>99745.13</v>
      </c>
      <c r="I510" s="1" t="s">
        <v>1306</v>
      </c>
      <c r="J510" s="1" t="s">
        <v>1405</v>
      </c>
      <c r="K510" s="7">
        <v>43601.675852126318</v>
      </c>
      <c r="L510" s="6">
        <v>99745.12</v>
      </c>
    </row>
    <row r="511" spans="1:12" hidden="1" x14ac:dyDescent="0.25">
      <c r="A511" s="4">
        <v>509</v>
      </c>
      <c r="B511" s="2" t="str">
        <f>HYPERLINK("https://my.zakupki.prom.ua/remote/dispatcher/state_purchase_view/9284844", "UA-2018-12-11-002891-c")</f>
        <v>UA-2018-12-11-002891-c</v>
      </c>
      <c r="C511" s="1" t="s">
        <v>741</v>
      </c>
      <c r="D511" s="1" t="s">
        <v>255</v>
      </c>
      <c r="E511" s="1" t="s">
        <v>470</v>
      </c>
      <c r="F511" s="5">
        <v>43445</v>
      </c>
      <c r="G511" s="7">
        <v>43454.511469907404</v>
      </c>
      <c r="H511" s="6">
        <v>134515.4</v>
      </c>
      <c r="I511" s="1" t="s">
        <v>514</v>
      </c>
      <c r="J511" s="1" t="s">
        <v>1405</v>
      </c>
      <c r="K511" s="7">
        <v>43473.615078111157</v>
      </c>
      <c r="L511" s="6">
        <v>120000.72</v>
      </c>
    </row>
    <row r="512" spans="1:12" hidden="1" x14ac:dyDescent="0.25">
      <c r="A512" s="4">
        <v>510</v>
      </c>
      <c r="B512" s="2" t="str">
        <f>HYPERLINK("https://my.zakupki.prom.ua/remote/dispatcher/state_purchase_view/9448067", "UA-2018-12-19-004786-c")</f>
        <v>UA-2018-12-19-004786-c</v>
      </c>
      <c r="C512" s="1" t="s">
        <v>273</v>
      </c>
      <c r="D512" s="1" t="s">
        <v>190</v>
      </c>
      <c r="E512" s="1" t="s">
        <v>390</v>
      </c>
      <c r="F512" s="5">
        <v>43453</v>
      </c>
      <c r="G512" s="7">
        <v>43469.663344907407</v>
      </c>
      <c r="H512" s="6">
        <v>14398930.08</v>
      </c>
      <c r="I512" s="1" t="s">
        <v>1155</v>
      </c>
      <c r="J512" s="1" t="s">
        <v>1405</v>
      </c>
      <c r="K512" s="7">
        <v>43487.585355441253</v>
      </c>
      <c r="L512" s="6">
        <v>14398900.52</v>
      </c>
    </row>
    <row r="513" spans="1:12" hidden="1" x14ac:dyDescent="0.25">
      <c r="A513" s="4">
        <v>511</v>
      </c>
      <c r="B513" s="2" t="str">
        <f>HYPERLINK("https://my.zakupki.prom.ua/remote/dispatcher/state_purchase_view/16373180", "UA-2020-04-17-001329-b")</f>
        <v>UA-2020-04-17-001329-b</v>
      </c>
      <c r="C513" s="1" t="s">
        <v>464</v>
      </c>
      <c r="D513" s="1" t="s">
        <v>172</v>
      </c>
      <c r="E513" s="1" t="s">
        <v>390</v>
      </c>
      <c r="F513" s="5">
        <v>43938</v>
      </c>
      <c r="G513" s="7">
        <v>43957.461331018516</v>
      </c>
      <c r="H513" s="6">
        <v>533000</v>
      </c>
      <c r="I513" s="1" t="s">
        <v>1330</v>
      </c>
      <c r="J513" s="1" t="s">
        <v>1405</v>
      </c>
      <c r="K513" s="7">
        <v>43969.419531714899</v>
      </c>
      <c r="L513" s="6">
        <v>532980</v>
      </c>
    </row>
    <row r="514" spans="1:12" hidden="1" x14ac:dyDescent="0.25">
      <c r="A514" s="4">
        <v>512</v>
      </c>
      <c r="B514" s="2" t="str">
        <f>HYPERLINK("https://my.zakupki.prom.ua/remote/dispatcher/state_purchase_view/15751058", "UA-2020-03-13-001714-b")</f>
        <v>UA-2020-03-13-001714-b</v>
      </c>
      <c r="C514" s="1" t="s">
        <v>491</v>
      </c>
      <c r="D514" s="1" t="s">
        <v>108</v>
      </c>
      <c r="E514" s="1" t="s">
        <v>470</v>
      </c>
      <c r="F514" s="5">
        <v>43903</v>
      </c>
      <c r="G514" s="1" t="s">
        <v>1398</v>
      </c>
      <c r="H514" s="6">
        <v>42000</v>
      </c>
      <c r="I514" s="1" t="s">
        <v>1330</v>
      </c>
      <c r="J514" s="1" t="s">
        <v>1405</v>
      </c>
      <c r="K514" s="7">
        <v>43916.597122008054</v>
      </c>
      <c r="L514" s="6">
        <v>42000</v>
      </c>
    </row>
    <row r="515" spans="1:12" hidden="1" x14ac:dyDescent="0.25">
      <c r="A515" s="4">
        <v>513</v>
      </c>
      <c r="B515" s="2" t="str">
        <f>HYPERLINK("https://my.zakupki.prom.ua/remote/dispatcher/state_purchase_view/11284785", "UA-2019-04-12-001212-a")</f>
        <v>UA-2019-04-12-001212-a</v>
      </c>
      <c r="C515" s="1" t="s">
        <v>1051</v>
      </c>
      <c r="D515" s="1" t="s">
        <v>30</v>
      </c>
      <c r="E515" s="1" t="s">
        <v>390</v>
      </c>
      <c r="F515" s="5">
        <v>43567</v>
      </c>
      <c r="G515" s="7">
        <v>43587.656539351854</v>
      </c>
      <c r="H515" s="6">
        <v>629389.86</v>
      </c>
      <c r="I515" s="1" t="s">
        <v>1126</v>
      </c>
      <c r="J515" s="1" t="s">
        <v>1405</v>
      </c>
      <c r="K515" s="7">
        <v>43605.395625471137</v>
      </c>
      <c r="L515" s="6">
        <v>628241.69999999995</v>
      </c>
    </row>
    <row r="516" spans="1:12" hidden="1" x14ac:dyDescent="0.25">
      <c r="A516" s="4">
        <v>514</v>
      </c>
      <c r="B516" s="2" t="str">
        <f>HYPERLINK("https://my.zakupki.prom.ua/remote/dispatcher/state_purchase_view/11267942", "UA-2019-04-11-001676-a")</f>
        <v>UA-2019-04-11-001676-a</v>
      </c>
      <c r="C516" s="1" t="s">
        <v>463</v>
      </c>
      <c r="D516" s="1" t="s">
        <v>172</v>
      </c>
      <c r="E516" s="1" t="s">
        <v>390</v>
      </c>
      <c r="F516" s="5">
        <v>43566</v>
      </c>
      <c r="G516" s="1" t="s">
        <v>1398</v>
      </c>
      <c r="H516" s="6">
        <v>725000</v>
      </c>
      <c r="I516" s="1"/>
      <c r="J516" s="1" t="s">
        <v>1419</v>
      </c>
      <c r="K516" s="7">
        <v>43580.385263773933</v>
      </c>
      <c r="L516" s="1"/>
    </row>
    <row r="517" spans="1:12" hidden="1" x14ac:dyDescent="0.25">
      <c r="A517" s="4">
        <v>515</v>
      </c>
      <c r="B517" s="2" t="str">
        <f>HYPERLINK("https://my.zakupki.prom.ua/remote/dispatcher/state_purchase_view/11329958", "UA-2019-04-17-000208-a")</f>
        <v>UA-2019-04-17-000208-a</v>
      </c>
      <c r="C517" s="1" t="s">
        <v>611</v>
      </c>
      <c r="D517" s="1" t="s">
        <v>166</v>
      </c>
      <c r="E517" s="1" t="s">
        <v>390</v>
      </c>
      <c r="F517" s="5">
        <v>43572</v>
      </c>
      <c r="G517" s="7">
        <v>43588.546388888892</v>
      </c>
      <c r="H517" s="6">
        <v>220000</v>
      </c>
      <c r="I517" s="1" t="s">
        <v>1320</v>
      </c>
      <c r="J517" s="1" t="s">
        <v>1405</v>
      </c>
      <c r="K517" s="7">
        <v>43606.439896547243</v>
      </c>
      <c r="L517" s="6">
        <v>169201.6</v>
      </c>
    </row>
    <row r="518" spans="1:12" hidden="1" x14ac:dyDescent="0.25">
      <c r="A518" s="4">
        <v>516</v>
      </c>
      <c r="B518" s="2" t="str">
        <f>HYPERLINK("https://my.zakupki.prom.ua/remote/dispatcher/state_purchase_view/13356215", "UA-2019-10-29-000892-b")</f>
        <v>UA-2019-10-29-000892-b</v>
      </c>
      <c r="C518" s="1" t="s">
        <v>679</v>
      </c>
      <c r="D518" s="1" t="s">
        <v>111</v>
      </c>
      <c r="E518" s="1" t="s">
        <v>470</v>
      </c>
      <c r="F518" s="5">
        <v>43767</v>
      </c>
      <c r="G518" s="7">
        <v>43775.468078703707</v>
      </c>
      <c r="H518" s="6">
        <v>34200</v>
      </c>
      <c r="I518" s="1" t="s">
        <v>700</v>
      </c>
      <c r="J518" s="1" t="s">
        <v>1405</v>
      </c>
      <c r="K518" s="7">
        <v>43780.656436063786</v>
      </c>
      <c r="L518" s="6">
        <v>24740</v>
      </c>
    </row>
    <row r="519" spans="1:12" hidden="1" x14ac:dyDescent="0.25">
      <c r="A519" s="4">
        <v>517</v>
      </c>
      <c r="B519" s="2" t="str">
        <f>HYPERLINK("https://my.zakupki.prom.ua/remote/dispatcher/state_purchase_view/13353956", "UA-2019-10-29-000477-b")</f>
        <v>UA-2019-10-29-000477-b</v>
      </c>
      <c r="C519" s="1" t="s">
        <v>634</v>
      </c>
      <c r="D519" s="1" t="s">
        <v>191</v>
      </c>
      <c r="E519" s="1" t="s">
        <v>390</v>
      </c>
      <c r="F519" s="5">
        <v>43767</v>
      </c>
      <c r="G519" s="7">
        <v>43783.650138888886</v>
      </c>
      <c r="H519" s="6">
        <v>284000</v>
      </c>
      <c r="I519" s="1" t="s">
        <v>1340</v>
      </c>
      <c r="J519" s="1" t="s">
        <v>1405</v>
      </c>
      <c r="K519" s="7">
        <v>43795.438499933174</v>
      </c>
      <c r="L519" s="6">
        <v>278160</v>
      </c>
    </row>
    <row r="520" spans="1:12" hidden="1" x14ac:dyDescent="0.25">
      <c r="A520" s="4">
        <v>518</v>
      </c>
      <c r="B520" s="2" t="str">
        <f>HYPERLINK("https://my.zakupki.prom.ua/remote/dispatcher/state_purchase_view/13431999", "UA-2019-11-05-000363-b")</f>
        <v>UA-2019-11-05-000363-b</v>
      </c>
      <c r="C520" s="1" t="s">
        <v>987</v>
      </c>
      <c r="D520" s="1" t="s">
        <v>90</v>
      </c>
      <c r="E520" s="1" t="s">
        <v>470</v>
      </c>
      <c r="F520" s="5">
        <v>43774</v>
      </c>
      <c r="G520" s="7">
        <v>43782.503472222219</v>
      </c>
      <c r="H520" s="6">
        <v>26260</v>
      </c>
      <c r="I520" s="1" t="s">
        <v>1320</v>
      </c>
      <c r="J520" s="1" t="s">
        <v>1405</v>
      </c>
      <c r="K520" s="7">
        <v>43795.61052941758</v>
      </c>
      <c r="L520" s="6">
        <v>26050</v>
      </c>
    </row>
    <row r="521" spans="1:12" hidden="1" x14ac:dyDescent="0.25">
      <c r="A521" s="4">
        <v>519</v>
      </c>
      <c r="B521" s="2" t="str">
        <f>HYPERLINK("https://my.zakupki.prom.ua/remote/dispatcher/state_purchase_view/14054750", "UA-2019-12-13-003676-b")</f>
        <v>UA-2019-12-13-003676-b</v>
      </c>
      <c r="C521" s="1" t="s">
        <v>587</v>
      </c>
      <c r="D521" s="1" t="s">
        <v>241</v>
      </c>
      <c r="E521" s="1" t="s">
        <v>391</v>
      </c>
      <c r="F521" s="5">
        <v>43812</v>
      </c>
      <c r="G521" s="1" t="s">
        <v>1398</v>
      </c>
      <c r="H521" s="6">
        <v>6057930</v>
      </c>
      <c r="I521" s="1"/>
      <c r="J521" s="1" t="s">
        <v>1406</v>
      </c>
      <c r="K521" s="7">
        <v>43850.000320866879</v>
      </c>
      <c r="L521" s="1"/>
    </row>
    <row r="522" spans="1:12" hidden="1" x14ac:dyDescent="0.25">
      <c r="A522" s="4">
        <v>520</v>
      </c>
      <c r="B522" s="2" t="str">
        <f>HYPERLINK("https://my.zakupki.prom.ua/remote/dispatcher/state_purchase_view/14054750", "UA-2019-12-13-003676-b")</f>
        <v>UA-2019-12-13-003676-b</v>
      </c>
      <c r="C522" s="1" t="s">
        <v>588</v>
      </c>
      <c r="D522" s="1" t="s">
        <v>241</v>
      </c>
      <c r="E522" s="1" t="s">
        <v>391</v>
      </c>
      <c r="F522" s="5">
        <v>43812</v>
      </c>
      <c r="G522" s="7">
        <v>43850.621030092596</v>
      </c>
      <c r="H522" s="6">
        <v>6057930</v>
      </c>
      <c r="I522" s="1" t="s">
        <v>1142</v>
      </c>
      <c r="J522" s="1" t="s">
        <v>1404</v>
      </c>
      <c r="K522" s="7">
        <v>43861.43420582579</v>
      </c>
      <c r="L522" s="6">
        <v>1180767</v>
      </c>
    </row>
    <row r="523" spans="1:12" hidden="1" x14ac:dyDescent="0.25">
      <c r="A523" s="4">
        <v>521</v>
      </c>
      <c r="B523" s="2" t="str">
        <f>HYPERLINK("https://my.zakupki.prom.ua/remote/dispatcher/state_purchase_view/10762353", "UA-2019-02-28-001151-a")</f>
        <v>UA-2019-02-28-001151-a</v>
      </c>
      <c r="C523" s="1" t="s">
        <v>426</v>
      </c>
      <c r="D523" s="1" t="s">
        <v>60</v>
      </c>
      <c r="E523" s="1" t="s">
        <v>390</v>
      </c>
      <c r="F523" s="5">
        <v>43524</v>
      </c>
      <c r="G523" s="1" t="s">
        <v>1398</v>
      </c>
      <c r="H523" s="6">
        <v>750000</v>
      </c>
      <c r="I523" s="1"/>
      <c r="J523" s="1" t="s">
        <v>1406</v>
      </c>
      <c r="K523" s="7">
        <v>43539.627448054089</v>
      </c>
      <c r="L523" s="1"/>
    </row>
    <row r="524" spans="1:12" hidden="1" x14ac:dyDescent="0.25">
      <c r="A524" s="4">
        <v>522</v>
      </c>
      <c r="B524" s="2" t="str">
        <f>HYPERLINK("https://my.zakupki.prom.ua/remote/dispatcher/state_purchase_view/18729735", "UA-2020-08-21-005334-a")</f>
        <v>UA-2020-08-21-005334-a</v>
      </c>
      <c r="C524" s="1" t="s">
        <v>1394</v>
      </c>
      <c r="D524" s="1" t="s">
        <v>237</v>
      </c>
      <c r="E524" s="1" t="s">
        <v>488</v>
      </c>
      <c r="F524" s="5">
        <v>44064</v>
      </c>
      <c r="G524" s="1" t="s">
        <v>1397</v>
      </c>
      <c r="H524" s="6">
        <v>96000</v>
      </c>
      <c r="I524" s="1" t="s">
        <v>1243</v>
      </c>
      <c r="J524" s="1" t="s">
        <v>1405</v>
      </c>
      <c r="K524" s="7">
        <v>44064.574358918529</v>
      </c>
      <c r="L524" s="6">
        <v>96000</v>
      </c>
    </row>
    <row r="525" spans="1:12" x14ac:dyDescent="0.25">
      <c r="A525" s="4">
        <v>523</v>
      </c>
      <c r="B525" s="2" t="str">
        <f>HYPERLINK("https://my.zakupki.prom.ua/remote/dispatcher/state_purchase_view/24237714", "UA-2021-02-22-001860-b")</f>
        <v>UA-2021-02-22-001860-b</v>
      </c>
      <c r="C525" s="1" t="s">
        <v>761</v>
      </c>
      <c r="D525" s="1" t="s">
        <v>233</v>
      </c>
      <c r="E525" s="1" t="s">
        <v>390</v>
      </c>
      <c r="F525" s="5">
        <v>44249</v>
      </c>
      <c r="G525" s="7">
        <v>44266.59988425926</v>
      </c>
      <c r="H525" s="6">
        <v>1310952</v>
      </c>
      <c r="I525" s="1" t="s">
        <v>1118</v>
      </c>
      <c r="J525" s="1" t="s">
        <v>1405</v>
      </c>
      <c r="K525" s="7">
        <v>44278.39199694222</v>
      </c>
      <c r="L525" s="6">
        <v>1297397.21</v>
      </c>
    </row>
    <row r="526" spans="1:12" x14ac:dyDescent="0.25">
      <c r="A526" s="4">
        <v>524</v>
      </c>
      <c r="B526" s="2" t="str">
        <f>HYPERLINK("https://my.zakupki.prom.ua/remote/dispatcher/state_purchase_view/24236903", "UA-2021-02-22-001531-b")</f>
        <v>UA-2021-02-22-001531-b</v>
      </c>
      <c r="C526" s="1" t="s">
        <v>865</v>
      </c>
      <c r="D526" s="1" t="s">
        <v>255</v>
      </c>
      <c r="E526" s="1" t="s">
        <v>390</v>
      </c>
      <c r="F526" s="5">
        <v>44249</v>
      </c>
      <c r="G526" s="7">
        <v>44266.545636574076</v>
      </c>
      <c r="H526" s="6">
        <v>316500</v>
      </c>
      <c r="I526" s="1" t="s">
        <v>1118</v>
      </c>
      <c r="J526" s="1" t="s">
        <v>1405</v>
      </c>
      <c r="K526" s="7">
        <v>44278.409964970975</v>
      </c>
      <c r="L526" s="6">
        <v>312192</v>
      </c>
    </row>
    <row r="527" spans="1:12" hidden="1" x14ac:dyDescent="0.25">
      <c r="A527" s="4">
        <v>525</v>
      </c>
      <c r="B527" s="2" t="str">
        <f>HYPERLINK("https://my.zakupki.prom.ua/remote/dispatcher/state_purchase_view/22163099", "UA-2020-12-15-002317-c")</f>
        <v>UA-2020-12-15-002317-c</v>
      </c>
      <c r="C527" s="1" t="s">
        <v>812</v>
      </c>
      <c r="D527" s="1" t="s">
        <v>229</v>
      </c>
      <c r="E527" s="1" t="s">
        <v>488</v>
      </c>
      <c r="F527" s="5">
        <v>44180</v>
      </c>
      <c r="G527" s="1" t="s">
        <v>1397</v>
      </c>
      <c r="H527" s="6">
        <v>166</v>
      </c>
      <c r="I527" s="1" t="s">
        <v>1241</v>
      </c>
      <c r="J527" s="1" t="s">
        <v>1405</v>
      </c>
      <c r="K527" s="7">
        <v>44180.420780967026</v>
      </c>
      <c r="L527" s="6">
        <v>166</v>
      </c>
    </row>
    <row r="528" spans="1:12" hidden="1" x14ac:dyDescent="0.25">
      <c r="A528" s="4">
        <v>526</v>
      </c>
      <c r="B528" s="2" t="str">
        <f>HYPERLINK("https://my.zakupki.prom.ua/remote/dispatcher/state_purchase_view/24596874", "UA-2021-03-04-004227-c")</f>
        <v>UA-2021-03-04-004227-c</v>
      </c>
      <c r="C528" s="1" t="s">
        <v>317</v>
      </c>
      <c r="D528" s="1" t="s">
        <v>220</v>
      </c>
      <c r="E528" s="1" t="s">
        <v>488</v>
      </c>
      <c r="F528" s="5">
        <v>44259</v>
      </c>
      <c r="G528" s="1" t="s">
        <v>1397</v>
      </c>
      <c r="H528" s="6">
        <v>49950</v>
      </c>
      <c r="I528" s="1" t="s">
        <v>1192</v>
      </c>
      <c r="J528" s="1" t="s">
        <v>1405</v>
      </c>
      <c r="K528" s="7">
        <v>44259.486614990834</v>
      </c>
      <c r="L528" s="6">
        <v>49950</v>
      </c>
    </row>
    <row r="529" spans="1:12" hidden="1" x14ac:dyDescent="0.25">
      <c r="A529" s="4">
        <v>527</v>
      </c>
      <c r="B529" s="2" t="str">
        <f>HYPERLINK("https://my.zakupki.prom.ua/remote/dispatcher/state_purchase_view/26339560", "UA-2021-05-06-003236-c")</f>
        <v>UA-2021-05-06-003236-c</v>
      </c>
      <c r="C529" s="1" t="s">
        <v>293</v>
      </c>
      <c r="D529" s="1" t="s">
        <v>123</v>
      </c>
      <c r="E529" s="1" t="s">
        <v>1086</v>
      </c>
      <c r="F529" s="5">
        <v>44322</v>
      </c>
      <c r="G529" s="1" t="s">
        <v>1398</v>
      </c>
      <c r="H529" s="6">
        <v>73000</v>
      </c>
      <c r="I529" s="1" t="s">
        <v>1344</v>
      </c>
      <c r="J529" s="1" t="s">
        <v>1405</v>
      </c>
      <c r="K529" s="7">
        <v>44341.720798528251</v>
      </c>
      <c r="L529" s="6">
        <v>73000</v>
      </c>
    </row>
    <row r="530" spans="1:12" hidden="1" x14ac:dyDescent="0.25">
      <c r="A530" s="4">
        <v>528</v>
      </c>
      <c r="B530" s="2" t="str">
        <f>HYPERLINK("https://my.zakupki.prom.ua/remote/dispatcher/state_purchase_view/3728915", "UA-2017-08-07-000873-b")</f>
        <v>UA-2017-08-07-000873-b</v>
      </c>
      <c r="C530" s="1" t="s">
        <v>871</v>
      </c>
      <c r="D530" s="1" t="s">
        <v>254</v>
      </c>
      <c r="E530" s="1" t="s">
        <v>390</v>
      </c>
      <c r="F530" s="5">
        <v>42954</v>
      </c>
      <c r="G530" s="7">
        <v>42975.531759259262</v>
      </c>
      <c r="H530" s="6">
        <v>605000</v>
      </c>
      <c r="I530" s="1" t="s">
        <v>1135</v>
      </c>
      <c r="J530" s="1" t="s">
        <v>1405</v>
      </c>
      <c r="K530" s="7">
        <v>42991.455021380731</v>
      </c>
      <c r="L530" s="6">
        <v>601500</v>
      </c>
    </row>
    <row r="531" spans="1:12" hidden="1" x14ac:dyDescent="0.25">
      <c r="A531" s="4">
        <v>529</v>
      </c>
      <c r="B531" s="2" t="str">
        <f>HYPERLINK("https://my.zakupki.prom.ua/remote/dispatcher/state_purchase_view/3809634", "UA-2017-08-16-001324-a")</f>
        <v>UA-2017-08-16-001324-a</v>
      </c>
      <c r="C531" s="1" t="s">
        <v>1066</v>
      </c>
      <c r="D531" s="1" t="s">
        <v>90</v>
      </c>
      <c r="E531" s="1" t="s">
        <v>390</v>
      </c>
      <c r="F531" s="5">
        <v>42963</v>
      </c>
      <c r="G531" s="1" t="s">
        <v>1398</v>
      </c>
      <c r="H531" s="6">
        <v>700000</v>
      </c>
      <c r="I531" s="1"/>
      <c r="J531" s="1" t="s">
        <v>1406</v>
      </c>
      <c r="K531" s="7">
        <v>42979.685487612231</v>
      </c>
      <c r="L531" s="1"/>
    </row>
    <row r="532" spans="1:12" hidden="1" x14ac:dyDescent="0.25">
      <c r="A532" s="4">
        <v>530</v>
      </c>
      <c r="B532" s="2" t="str">
        <f>HYPERLINK("https://my.zakupki.prom.ua/remote/dispatcher/state_purchase_view/3973566", "UA-2017-09-07-001672-c")</f>
        <v>UA-2017-09-07-001672-c</v>
      </c>
      <c r="C532" s="1" t="s">
        <v>914</v>
      </c>
      <c r="D532" s="1" t="s">
        <v>214</v>
      </c>
      <c r="E532" s="1" t="s">
        <v>488</v>
      </c>
      <c r="F532" s="5">
        <v>42985</v>
      </c>
      <c r="G532" s="1" t="s">
        <v>1397</v>
      </c>
      <c r="H532" s="6">
        <v>93560</v>
      </c>
      <c r="I532" s="1" t="s">
        <v>561</v>
      </c>
      <c r="J532" s="1" t="s">
        <v>1405</v>
      </c>
      <c r="K532" s="7">
        <v>42985.66054483068</v>
      </c>
      <c r="L532" s="6">
        <v>93560</v>
      </c>
    </row>
    <row r="533" spans="1:12" hidden="1" x14ac:dyDescent="0.25">
      <c r="A533" s="4">
        <v>531</v>
      </c>
      <c r="B533" s="2" t="str">
        <f>HYPERLINK("https://my.zakupki.prom.ua/remote/dispatcher/state_purchase_view/4221154", "UA-2017-10-05-000573-c")</f>
        <v>UA-2017-10-05-000573-c</v>
      </c>
      <c r="C533" s="1" t="s">
        <v>591</v>
      </c>
      <c r="D533" s="1" t="s">
        <v>90</v>
      </c>
      <c r="E533" s="1" t="s">
        <v>390</v>
      </c>
      <c r="F533" s="5">
        <v>43013</v>
      </c>
      <c r="G533" s="7">
        <v>43032.462824074071</v>
      </c>
      <c r="H533" s="6">
        <v>1770000</v>
      </c>
      <c r="I533" s="1"/>
      <c r="J533" s="1" t="s">
        <v>1406</v>
      </c>
      <c r="K533" s="7">
        <v>43042.958872415089</v>
      </c>
      <c r="L533" s="1"/>
    </row>
    <row r="534" spans="1:12" hidden="1" x14ac:dyDescent="0.25">
      <c r="A534" s="4">
        <v>532</v>
      </c>
      <c r="B534" s="2" t="str">
        <f>HYPERLINK("https://my.zakupki.prom.ua/remote/dispatcher/state_purchase_view/4221154", "UA-2017-10-05-000573-c")</f>
        <v>UA-2017-10-05-000573-c</v>
      </c>
      <c r="C534" s="1" t="s">
        <v>594</v>
      </c>
      <c r="D534" s="1" t="s">
        <v>90</v>
      </c>
      <c r="E534" s="1" t="s">
        <v>390</v>
      </c>
      <c r="F534" s="5">
        <v>43013</v>
      </c>
      <c r="G534" s="7">
        <v>43032.497928240744</v>
      </c>
      <c r="H534" s="6">
        <v>1770000</v>
      </c>
      <c r="I534" s="1" t="s">
        <v>700</v>
      </c>
      <c r="J534" s="1" t="s">
        <v>1404</v>
      </c>
      <c r="K534" s="7">
        <v>43046.729637780823</v>
      </c>
      <c r="L534" s="6">
        <v>865500</v>
      </c>
    </row>
    <row r="535" spans="1:12" hidden="1" x14ac:dyDescent="0.25">
      <c r="A535" s="4">
        <v>533</v>
      </c>
      <c r="B535" s="2" t="str">
        <f>HYPERLINK("https://my.zakupki.prom.ua/remote/dispatcher/state_purchase_view/4394970", "UA-2017-10-25-000322-c")</f>
        <v>UA-2017-10-25-000322-c</v>
      </c>
      <c r="C535" s="1" t="s">
        <v>1068</v>
      </c>
      <c r="D535" s="1" t="s">
        <v>90</v>
      </c>
      <c r="E535" s="1" t="s">
        <v>390</v>
      </c>
      <c r="F535" s="5">
        <v>43033</v>
      </c>
      <c r="G535" s="7">
        <v>43049.56013888889</v>
      </c>
      <c r="H535" s="6">
        <v>900000</v>
      </c>
      <c r="I535" s="1" t="s">
        <v>1340</v>
      </c>
      <c r="J535" s="1" t="s">
        <v>1405</v>
      </c>
      <c r="K535" s="7">
        <v>43060.602817933301</v>
      </c>
      <c r="L535" s="6">
        <v>898000</v>
      </c>
    </row>
    <row r="536" spans="1:12" hidden="1" x14ac:dyDescent="0.25">
      <c r="A536" s="4">
        <v>534</v>
      </c>
      <c r="B536" s="2" t="str">
        <f>HYPERLINK("https://my.zakupki.prom.ua/remote/dispatcher/state_purchase_view/4735795", "UA-2017-11-24-001053-b")</f>
        <v>UA-2017-11-24-001053-b</v>
      </c>
      <c r="C536" s="1" t="s">
        <v>1280</v>
      </c>
      <c r="D536" s="1" t="s">
        <v>111</v>
      </c>
      <c r="E536" s="1" t="s">
        <v>390</v>
      </c>
      <c r="F536" s="5">
        <v>43063</v>
      </c>
      <c r="G536" s="7">
        <v>43080.465694444443</v>
      </c>
      <c r="H536" s="6">
        <v>59400</v>
      </c>
      <c r="I536" s="1" t="s">
        <v>1263</v>
      </c>
      <c r="J536" s="1" t="s">
        <v>1405</v>
      </c>
      <c r="K536" s="7">
        <v>43095.465102957336</v>
      </c>
      <c r="L536" s="6">
        <v>59160</v>
      </c>
    </row>
    <row r="537" spans="1:12" hidden="1" x14ac:dyDescent="0.25">
      <c r="A537" s="4">
        <v>535</v>
      </c>
      <c r="B537" s="2" t="str">
        <f>HYPERLINK("https://my.zakupki.prom.ua/remote/dispatcher/state_purchase_view/4558785", "UA-2017-11-09-002504-c")</f>
        <v>UA-2017-11-09-002504-c</v>
      </c>
      <c r="C537" s="1" t="s">
        <v>569</v>
      </c>
      <c r="D537" s="1" t="s">
        <v>52</v>
      </c>
      <c r="E537" s="1" t="s">
        <v>390</v>
      </c>
      <c r="F537" s="5">
        <v>43048</v>
      </c>
      <c r="G537" s="7">
        <v>43066.61478009259</v>
      </c>
      <c r="H537" s="6">
        <v>163000</v>
      </c>
      <c r="I537" s="1" t="s">
        <v>1136</v>
      </c>
      <c r="J537" s="1" t="s">
        <v>1405</v>
      </c>
      <c r="K537" s="7">
        <v>43081.587221997732</v>
      </c>
      <c r="L537" s="6">
        <v>156000</v>
      </c>
    </row>
    <row r="538" spans="1:12" hidden="1" x14ac:dyDescent="0.25">
      <c r="A538" s="4">
        <v>536</v>
      </c>
      <c r="B538" s="2" t="str">
        <f>HYPERLINK("https://my.zakupki.prom.ua/remote/dispatcher/state_purchase_view/4558917", "UA-2017-11-09-002555-c")</f>
        <v>UA-2017-11-09-002555-c</v>
      </c>
      <c r="C538" s="1" t="s">
        <v>1093</v>
      </c>
      <c r="D538" s="1" t="s">
        <v>133</v>
      </c>
      <c r="E538" s="1" t="s">
        <v>470</v>
      </c>
      <c r="F538" s="5">
        <v>43048</v>
      </c>
      <c r="G538" s="1" t="s">
        <v>1398</v>
      </c>
      <c r="H538" s="6">
        <v>26400</v>
      </c>
      <c r="I538" s="1"/>
      <c r="J538" s="1" t="s">
        <v>1406</v>
      </c>
      <c r="K538" s="7">
        <v>43056.628230836483</v>
      </c>
      <c r="L538" s="1"/>
    </row>
    <row r="539" spans="1:12" hidden="1" x14ac:dyDescent="0.25">
      <c r="A539" s="4">
        <v>537</v>
      </c>
      <c r="B539" s="2" t="str">
        <f>HYPERLINK("https://my.zakupki.prom.ua/remote/dispatcher/state_purchase_view/4102056", "UA-2017-09-21-000988-b")</f>
        <v>UA-2017-09-21-000988-b</v>
      </c>
      <c r="C539" s="1" t="s">
        <v>821</v>
      </c>
      <c r="D539" s="1" t="s">
        <v>235</v>
      </c>
      <c r="E539" s="1" t="s">
        <v>390</v>
      </c>
      <c r="F539" s="5">
        <v>42999</v>
      </c>
      <c r="G539" s="7">
        <v>43017.634930555556</v>
      </c>
      <c r="H539" s="6">
        <v>140000</v>
      </c>
      <c r="I539" s="1" t="s">
        <v>1188</v>
      </c>
      <c r="J539" s="1" t="s">
        <v>1405</v>
      </c>
      <c r="K539" s="7">
        <v>43033.466098976853</v>
      </c>
      <c r="L539" s="6">
        <v>139142.44</v>
      </c>
    </row>
    <row r="540" spans="1:12" hidden="1" x14ac:dyDescent="0.25">
      <c r="A540" s="4">
        <v>538</v>
      </c>
      <c r="B540" s="2" t="str">
        <f>HYPERLINK("https://my.zakupki.prom.ua/remote/dispatcher/state_purchase_view/2666767", "UA-2017-03-28-001425-b")</f>
        <v>UA-2017-03-28-001425-b</v>
      </c>
      <c r="C540" s="1" t="s">
        <v>1047</v>
      </c>
      <c r="D540" s="1" t="s">
        <v>178</v>
      </c>
      <c r="E540" s="1" t="s">
        <v>470</v>
      </c>
      <c r="F540" s="5">
        <v>42822</v>
      </c>
      <c r="G540" s="1" t="s">
        <v>1398</v>
      </c>
      <c r="H540" s="6">
        <v>15211</v>
      </c>
      <c r="I540" s="1"/>
      <c r="J540" s="1" t="s">
        <v>1419</v>
      </c>
      <c r="K540" s="7">
        <v>42835.462729086132</v>
      </c>
      <c r="L540" s="1"/>
    </row>
    <row r="541" spans="1:12" hidden="1" x14ac:dyDescent="0.25">
      <c r="A541" s="4">
        <v>539</v>
      </c>
      <c r="B541" s="2" t="str">
        <f>HYPERLINK("https://my.zakupki.prom.ua/remote/dispatcher/state_purchase_view/2671162", "UA-2017-03-28-002256-b")</f>
        <v>UA-2017-03-28-002256-b</v>
      </c>
      <c r="C541" s="1" t="s">
        <v>689</v>
      </c>
      <c r="D541" s="1" t="s">
        <v>89</v>
      </c>
      <c r="E541" s="1" t="s">
        <v>470</v>
      </c>
      <c r="F541" s="5">
        <v>42822</v>
      </c>
      <c r="G541" s="1" t="s">
        <v>1398</v>
      </c>
      <c r="H541" s="6">
        <v>3732</v>
      </c>
      <c r="I541" s="1" t="s">
        <v>1286</v>
      </c>
      <c r="J541" s="1" t="s">
        <v>1405</v>
      </c>
      <c r="K541" s="7">
        <v>42837.66765457837</v>
      </c>
      <c r="L541" s="6">
        <v>3018</v>
      </c>
    </row>
    <row r="542" spans="1:12" hidden="1" x14ac:dyDescent="0.25">
      <c r="A542" s="4">
        <v>540</v>
      </c>
      <c r="B542" s="2" t="str">
        <f>HYPERLINK("https://my.zakupki.prom.ua/remote/dispatcher/state_purchase_view/4713778", "UA-2017-11-23-000397-a")</f>
        <v>UA-2017-11-23-000397-a</v>
      </c>
      <c r="C542" s="1" t="s">
        <v>764</v>
      </c>
      <c r="D542" s="1" t="s">
        <v>235</v>
      </c>
      <c r="E542" s="1" t="s">
        <v>390</v>
      </c>
      <c r="F542" s="5">
        <v>43062</v>
      </c>
      <c r="G542" s="7">
        <v>43080.530011574076</v>
      </c>
      <c r="H542" s="6">
        <v>550000</v>
      </c>
      <c r="I542" s="1"/>
      <c r="J542" s="1" t="s">
        <v>1406</v>
      </c>
      <c r="K542" s="7">
        <v>43092.000825210984</v>
      </c>
      <c r="L542" s="1"/>
    </row>
    <row r="543" spans="1:12" hidden="1" x14ac:dyDescent="0.25">
      <c r="A543" s="4">
        <v>541</v>
      </c>
      <c r="B543" s="2" t="str">
        <f>HYPERLINK("https://my.zakupki.prom.ua/remote/dispatcher/state_purchase_view/1316725", "UA-2016-12-26-000478-b")</f>
        <v>UA-2016-12-26-000478-b</v>
      </c>
      <c r="C543" s="1" t="s">
        <v>11</v>
      </c>
      <c r="D543" s="1" t="s">
        <v>149</v>
      </c>
      <c r="E543" s="1" t="s">
        <v>470</v>
      </c>
      <c r="F543" s="5">
        <v>42730</v>
      </c>
      <c r="G543" s="1" t="s">
        <v>1398</v>
      </c>
      <c r="H543" s="6">
        <v>5000</v>
      </c>
      <c r="I543" s="1" t="s">
        <v>1119</v>
      </c>
      <c r="J543" s="1" t="s">
        <v>1405</v>
      </c>
      <c r="K543" s="7">
        <v>42748.439718497095</v>
      </c>
      <c r="L543" s="6">
        <v>4998</v>
      </c>
    </row>
    <row r="544" spans="1:12" hidden="1" x14ac:dyDescent="0.25">
      <c r="A544" s="4">
        <v>542</v>
      </c>
      <c r="B544" s="2" t="str">
        <f>HYPERLINK("https://my.zakupki.prom.ua/remote/dispatcher/state_purchase_view/2220101", "UA-2017-02-20-001711-c")</f>
        <v>UA-2017-02-20-001711-c</v>
      </c>
      <c r="C544" s="1" t="s">
        <v>681</v>
      </c>
      <c r="D544" s="1" t="s">
        <v>235</v>
      </c>
      <c r="E544" s="1" t="s">
        <v>470</v>
      </c>
      <c r="F544" s="5">
        <v>42786</v>
      </c>
      <c r="G544" s="7">
        <v>42795.4768287037</v>
      </c>
      <c r="H544" s="6">
        <v>195000</v>
      </c>
      <c r="I544" s="1" t="s">
        <v>1135</v>
      </c>
      <c r="J544" s="1" t="s">
        <v>1405</v>
      </c>
      <c r="K544" s="7">
        <v>42801.510222542202</v>
      </c>
      <c r="L544" s="6">
        <v>189900.07</v>
      </c>
    </row>
    <row r="545" spans="1:12" hidden="1" x14ac:dyDescent="0.25">
      <c r="A545" s="4">
        <v>543</v>
      </c>
      <c r="B545" s="2" t="str">
        <f>HYPERLINK("https://my.zakupki.prom.ua/remote/dispatcher/state_purchase_view/7229886", "UA-2018-05-24-000781-a")</f>
        <v>UA-2018-05-24-000781-a</v>
      </c>
      <c r="C545" s="1" t="s">
        <v>892</v>
      </c>
      <c r="D545" s="1" t="s">
        <v>245</v>
      </c>
      <c r="E545" s="1" t="s">
        <v>488</v>
      </c>
      <c r="F545" s="5">
        <v>43244</v>
      </c>
      <c r="G545" s="1" t="s">
        <v>1397</v>
      </c>
      <c r="H545" s="6">
        <v>80700</v>
      </c>
      <c r="I545" s="1" t="s">
        <v>1378</v>
      </c>
      <c r="J545" s="1" t="s">
        <v>1405</v>
      </c>
      <c r="K545" s="7">
        <v>43244.461195545038</v>
      </c>
      <c r="L545" s="6">
        <v>80700</v>
      </c>
    </row>
    <row r="546" spans="1:12" hidden="1" x14ac:dyDescent="0.25">
      <c r="A546" s="4">
        <v>544</v>
      </c>
      <c r="B546" s="2" t="str">
        <f>HYPERLINK("https://my.zakupki.prom.ua/remote/dispatcher/state_purchase_view/7516588", "UA-2018-06-21-001487-a")</f>
        <v>UA-2018-06-21-001487-a</v>
      </c>
      <c r="C546" s="1" t="s">
        <v>1029</v>
      </c>
      <c r="D546" s="1" t="s">
        <v>220</v>
      </c>
      <c r="E546" s="1" t="s">
        <v>488</v>
      </c>
      <c r="F546" s="5">
        <v>43272</v>
      </c>
      <c r="G546" s="1" t="s">
        <v>1397</v>
      </c>
      <c r="H546" s="6">
        <v>370000</v>
      </c>
      <c r="I546" s="1" t="s">
        <v>1233</v>
      </c>
      <c r="J546" s="1" t="s">
        <v>1405</v>
      </c>
      <c r="K546" s="7">
        <v>43272.59083470831</v>
      </c>
      <c r="L546" s="6">
        <v>370000</v>
      </c>
    </row>
    <row r="547" spans="1:12" hidden="1" x14ac:dyDescent="0.25">
      <c r="A547" s="4">
        <v>545</v>
      </c>
      <c r="B547" s="2" t="str">
        <f>HYPERLINK("https://my.zakupki.prom.ua/remote/dispatcher/state_purchase_view/8369776", "UA-2018-09-25-002162-c")</f>
        <v>UA-2018-09-25-002162-c</v>
      </c>
      <c r="C547" s="1" t="s">
        <v>1011</v>
      </c>
      <c r="D547" s="1" t="s">
        <v>226</v>
      </c>
      <c r="E547" s="1" t="s">
        <v>488</v>
      </c>
      <c r="F547" s="5">
        <v>43368</v>
      </c>
      <c r="G547" s="1" t="s">
        <v>1397</v>
      </c>
      <c r="H547" s="6">
        <v>309326</v>
      </c>
      <c r="I547" s="1" t="s">
        <v>396</v>
      </c>
      <c r="J547" s="1" t="s">
        <v>1405</v>
      </c>
      <c r="K547" s="7">
        <v>43368.690349086311</v>
      </c>
      <c r="L547" s="6">
        <v>309326</v>
      </c>
    </row>
    <row r="548" spans="1:12" hidden="1" x14ac:dyDescent="0.25">
      <c r="A548" s="4">
        <v>546</v>
      </c>
      <c r="B548" s="2" t="str">
        <f>HYPERLINK("https://my.zakupki.prom.ua/remote/dispatcher/state_purchase_view/4937458", "UA-2017-12-11-000254-c")</f>
        <v>UA-2017-12-11-000254-c</v>
      </c>
      <c r="C548" s="1" t="s">
        <v>940</v>
      </c>
      <c r="D548" s="1" t="s">
        <v>184</v>
      </c>
      <c r="E548" s="1" t="s">
        <v>390</v>
      </c>
      <c r="F548" s="5">
        <v>43080</v>
      </c>
      <c r="G548" s="7">
        <v>43096.475057870368</v>
      </c>
      <c r="H548" s="6">
        <v>230000</v>
      </c>
      <c r="I548" s="1"/>
      <c r="J548" s="1" t="s">
        <v>1406</v>
      </c>
      <c r="K548" s="7">
        <v>43107.002250613128</v>
      </c>
      <c r="L548" s="1"/>
    </row>
    <row r="549" spans="1:12" hidden="1" x14ac:dyDescent="0.25">
      <c r="A549" s="4">
        <v>547</v>
      </c>
      <c r="B549" s="2" t="str">
        <f>HYPERLINK("https://my.zakupki.prom.ua/remote/dispatcher/state_purchase_view/7881748", "UA-2018-08-02-001235-b")</f>
        <v>UA-2018-08-02-001235-b</v>
      </c>
      <c r="C549" s="1" t="s">
        <v>536</v>
      </c>
      <c r="D549" s="1" t="s">
        <v>184</v>
      </c>
      <c r="E549" s="1" t="s">
        <v>390</v>
      </c>
      <c r="F549" s="5">
        <v>43314</v>
      </c>
      <c r="G549" s="7">
        <v>43332.59684027778</v>
      </c>
      <c r="H549" s="6">
        <v>400000</v>
      </c>
      <c r="I549" s="1" t="s">
        <v>1126</v>
      </c>
      <c r="J549" s="1" t="s">
        <v>1405</v>
      </c>
      <c r="K549" s="7">
        <v>43347.710881667015</v>
      </c>
      <c r="L549" s="6">
        <v>395500</v>
      </c>
    </row>
    <row r="550" spans="1:12" hidden="1" x14ac:dyDescent="0.25">
      <c r="A550" s="4">
        <v>548</v>
      </c>
      <c r="B550" s="2" t="str">
        <f>HYPERLINK("https://my.zakupki.prom.ua/remote/dispatcher/state_purchase_view/7563048", "UA-2018-06-26-000227-a")</f>
        <v>UA-2018-06-26-000227-a</v>
      </c>
      <c r="C550" s="1" t="s">
        <v>545</v>
      </c>
      <c r="D550" s="1" t="s">
        <v>228</v>
      </c>
      <c r="E550" s="1" t="s">
        <v>488</v>
      </c>
      <c r="F550" s="5">
        <v>43277</v>
      </c>
      <c r="G550" s="1" t="s">
        <v>1397</v>
      </c>
      <c r="H550" s="6">
        <v>3300</v>
      </c>
      <c r="I550" s="1" t="s">
        <v>20</v>
      </c>
      <c r="J550" s="1" t="s">
        <v>1405</v>
      </c>
      <c r="K550" s="7">
        <v>43277.413225622848</v>
      </c>
      <c r="L550" s="6">
        <v>3300</v>
      </c>
    </row>
    <row r="551" spans="1:12" hidden="1" x14ac:dyDescent="0.25">
      <c r="A551" s="4">
        <v>549</v>
      </c>
      <c r="B551" s="2" t="str">
        <f>HYPERLINK("https://my.zakupki.prom.ua/remote/dispatcher/state_purchase_view/7766854", "UA-2018-07-19-002101-b")</f>
        <v>UA-2018-07-19-002101-b</v>
      </c>
      <c r="C551" s="1" t="s">
        <v>771</v>
      </c>
      <c r="D551" s="1" t="s">
        <v>212</v>
      </c>
      <c r="E551" s="1" t="s">
        <v>390</v>
      </c>
      <c r="F551" s="5">
        <v>43300</v>
      </c>
      <c r="G551" s="7">
        <v>43318.500694444447</v>
      </c>
      <c r="H551" s="6">
        <v>280000</v>
      </c>
      <c r="I551" s="1" t="s">
        <v>1110</v>
      </c>
      <c r="J551" s="1" t="s">
        <v>1405</v>
      </c>
      <c r="K551" s="7">
        <v>43332.430038391874</v>
      </c>
      <c r="L551" s="6">
        <v>269300</v>
      </c>
    </row>
    <row r="552" spans="1:12" hidden="1" x14ac:dyDescent="0.25">
      <c r="A552" s="4">
        <v>550</v>
      </c>
      <c r="B552" s="2" t="str">
        <f>HYPERLINK("https://my.zakupki.prom.ua/remote/dispatcher/state_purchase_view/6612072", "UA-2018-03-22-002031-b")</f>
        <v>UA-2018-03-22-002031-b</v>
      </c>
      <c r="C552" s="1" t="s">
        <v>731</v>
      </c>
      <c r="D552" s="1" t="s">
        <v>148</v>
      </c>
      <c r="E552" s="1" t="s">
        <v>470</v>
      </c>
      <c r="F552" s="5">
        <v>43181</v>
      </c>
      <c r="G552" s="1" t="s">
        <v>1398</v>
      </c>
      <c r="H552" s="6">
        <v>155000</v>
      </c>
      <c r="I552" s="1"/>
      <c r="J552" s="1" t="s">
        <v>1419</v>
      </c>
      <c r="K552" s="7">
        <v>43182.633358116283</v>
      </c>
      <c r="L552" s="1"/>
    </row>
    <row r="553" spans="1:12" hidden="1" x14ac:dyDescent="0.25">
      <c r="A553" s="4">
        <v>551</v>
      </c>
      <c r="B553" s="2" t="str">
        <f>HYPERLINK("https://my.zakupki.prom.ua/remote/dispatcher/state_purchase_view/6626140", "UA-2018-03-23-001844-b")</f>
        <v>UA-2018-03-23-001844-b</v>
      </c>
      <c r="C553" s="1" t="s">
        <v>755</v>
      </c>
      <c r="D553" s="1" t="s">
        <v>264</v>
      </c>
      <c r="E553" s="1" t="s">
        <v>470</v>
      </c>
      <c r="F553" s="5">
        <v>43182</v>
      </c>
      <c r="G553" s="7">
        <v>43194.520358796297</v>
      </c>
      <c r="H553" s="6">
        <v>38000</v>
      </c>
      <c r="I553" s="1"/>
      <c r="J553" s="1" t="s">
        <v>1406</v>
      </c>
      <c r="K553" s="7">
        <v>43200.527019061738</v>
      </c>
      <c r="L553" s="1"/>
    </row>
    <row r="554" spans="1:12" hidden="1" x14ac:dyDescent="0.25">
      <c r="A554" s="4">
        <v>552</v>
      </c>
      <c r="B554" s="2" t="str">
        <f>HYPERLINK("https://my.zakupki.prom.ua/remote/dispatcher/state_purchase_view/6836735", "UA-2018-04-16-000907-a")</f>
        <v>UA-2018-04-16-000907-a</v>
      </c>
      <c r="C554" s="1" t="s">
        <v>809</v>
      </c>
      <c r="D554" s="1" t="s">
        <v>235</v>
      </c>
      <c r="E554" s="1" t="s">
        <v>390</v>
      </c>
      <c r="F554" s="5">
        <v>43206</v>
      </c>
      <c r="G554" s="7">
        <v>43223.550243055557</v>
      </c>
      <c r="H554" s="6">
        <v>1000000</v>
      </c>
      <c r="I554" s="1" t="s">
        <v>1126</v>
      </c>
      <c r="J554" s="1" t="s">
        <v>1405</v>
      </c>
      <c r="K554" s="7">
        <v>43241.397250031805</v>
      </c>
      <c r="L554" s="6">
        <v>982758.16</v>
      </c>
    </row>
    <row r="555" spans="1:12" hidden="1" x14ac:dyDescent="0.25">
      <c r="A555" s="4">
        <v>553</v>
      </c>
      <c r="B555" s="2" t="str">
        <f>HYPERLINK("https://my.zakupki.prom.ua/remote/dispatcher/state_purchase_view/6837366", "UA-2018-04-16-001055-a")</f>
        <v>UA-2018-04-16-001055-a</v>
      </c>
      <c r="C555" s="1" t="s">
        <v>629</v>
      </c>
      <c r="D555" s="1" t="s">
        <v>170</v>
      </c>
      <c r="E555" s="1" t="s">
        <v>390</v>
      </c>
      <c r="F555" s="5">
        <v>43206</v>
      </c>
      <c r="G555" s="1" t="s">
        <v>1398</v>
      </c>
      <c r="H555" s="6">
        <v>600000</v>
      </c>
      <c r="I555" s="1"/>
      <c r="J555" s="1" t="s">
        <v>1419</v>
      </c>
      <c r="K555" s="7">
        <v>43228.485670991875</v>
      </c>
      <c r="L555" s="1"/>
    </row>
    <row r="556" spans="1:12" hidden="1" x14ac:dyDescent="0.25">
      <c r="A556" s="4">
        <v>554</v>
      </c>
      <c r="B556" s="2" t="str">
        <f>HYPERLINK("https://my.zakupki.prom.ua/remote/dispatcher/state_purchase_view/8371191", "UA-2018-09-25-002410-c")</f>
        <v>UA-2018-09-25-002410-c</v>
      </c>
      <c r="C556" s="1" t="s">
        <v>549</v>
      </c>
      <c r="D556" s="1" t="s">
        <v>165</v>
      </c>
      <c r="E556" s="1" t="s">
        <v>488</v>
      </c>
      <c r="F556" s="5">
        <v>43368</v>
      </c>
      <c r="G556" s="1" t="s">
        <v>1397</v>
      </c>
      <c r="H556" s="6">
        <v>122100</v>
      </c>
      <c r="I556" s="1" t="s">
        <v>1195</v>
      </c>
      <c r="J556" s="1" t="s">
        <v>1405</v>
      </c>
      <c r="K556" s="7">
        <v>43368.732968358243</v>
      </c>
      <c r="L556" s="6">
        <v>122100</v>
      </c>
    </row>
    <row r="557" spans="1:12" hidden="1" x14ac:dyDescent="0.25">
      <c r="A557" s="4">
        <v>555</v>
      </c>
      <c r="B557" s="2" t="str">
        <f>HYPERLINK("https://my.zakupki.prom.ua/remote/dispatcher/state_purchase_view/8807942", "UA-2018-11-08-000564-c")</f>
        <v>UA-2018-11-08-000564-c</v>
      </c>
      <c r="C557" s="1" t="s">
        <v>749</v>
      </c>
      <c r="D557" s="1" t="s">
        <v>247</v>
      </c>
      <c r="E557" s="1" t="s">
        <v>470</v>
      </c>
      <c r="F557" s="5">
        <v>43412</v>
      </c>
      <c r="G557" s="1" t="s">
        <v>1398</v>
      </c>
      <c r="H557" s="6">
        <v>3000</v>
      </c>
      <c r="I557" s="1"/>
      <c r="J557" s="1" t="s">
        <v>1406</v>
      </c>
      <c r="K557" s="7">
        <v>43425.489752969886</v>
      </c>
      <c r="L557" s="1"/>
    </row>
    <row r="558" spans="1:12" hidden="1" x14ac:dyDescent="0.25">
      <c r="A558" s="4">
        <v>556</v>
      </c>
      <c r="B558" s="2" t="str">
        <f>HYPERLINK("https://my.zakupki.prom.ua/remote/dispatcher/state_purchase_view/14925686", "UA-2020-01-29-001473-b")</f>
        <v>UA-2020-01-29-001473-b</v>
      </c>
      <c r="C558" s="1" t="s">
        <v>683</v>
      </c>
      <c r="D558" s="1" t="s">
        <v>217</v>
      </c>
      <c r="E558" s="1" t="s">
        <v>488</v>
      </c>
      <c r="F558" s="5">
        <v>43859</v>
      </c>
      <c r="G558" s="1" t="s">
        <v>1397</v>
      </c>
      <c r="H558" s="6">
        <v>108000</v>
      </c>
      <c r="I558" s="1" t="s">
        <v>1356</v>
      </c>
      <c r="J558" s="1" t="s">
        <v>1405</v>
      </c>
      <c r="K558" s="7">
        <v>43859.500100676632</v>
      </c>
      <c r="L558" s="6">
        <v>108000</v>
      </c>
    </row>
    <row r="559" spans="1:12" hidden="1" x14ac:dyDescent="0.25">
      <c r="A559" s="4">
        <v>557</v>
      </c>
      <c r="B559" s="2" t="str">
        <f>HYPERLINK("https://my.zakupki.prom.ua/remote/dispatcher/state_purchase_view/13579560", "UA-2019-11-15-000514-b")</f>
        <v>UA-2019-11-15-000514-b</v>
      </c>
      <c r="C559" s="1" t="s">
        <v>360</v>
      </c>
      <c r="D559" s="1" t="s">
        <v>37</v>
      </c>
      <c r="E559" s="1" t="s">
        <v>470</v>
      </c>
      <c r="F559" s="5">
        <v>43784</v>
      </c>
      <c r="G559" s="1" t="s">
        <v>1398</v>
      </c>
      <c r="H559" s="6">
        <v>35000</v>
      </c>
      <c r="I559" s="1" t="s">
        <v>1131</v>
      </c>
      <c r="J559" s="1" t="s">
        <v>1405</v>
      </c>
      <c r="K559" s="7">
        <v>43796.707759808982</v>
      </c>
      <c r="L559" s="6">
        <v>34800</v>
      </c>
    </row>
    <row r="560" spans="1:12" hidden="1" x14ac:dyDescent="0.25">
      <c r="A560" s="4">
        <v>558</v>
      </c>
      <c r="B560" s="2" t="str">
        <f>HYPERLINK("https://my.zakupki.prom.ua/remote/dispatcher/state_purchase_view/14143320", "UA-2019-12-18-002345-b")</f>
        <v>UA-2019-12-18-002345-b</v>
      </c>
      <c r="C560" s="1" t="s">
        <v>458</v>
      </c>
      <c r="D560" s="1" t="s">
        <v>187</v>
      </c>
      <c r="E560" s="1" t="s">
        <v>390</v>
      </c>
      <c r="F560" s="5">
        <v>43817</v>
      </c>
      <c r="G560" s="7">
        <v>43838.542407407411</v>
      </c>
      <c r="H560" s="6">
        <v>175000</v>
      </c>
      <c r="I560" s="1" t="s">
        <v>700</v>
      </c>
      <c r="J560" s="1" t="s">
        <v>1405</v>
      </c>
      <c r="K560" s="7">
        <v>43851.409980775694</v>
      </c>
      <c r="L560" s="6">
        <v>174000</v>
      </c>
    </row>
    <row r="561" spans="1:12" hidden="1" x14ac:dyDescent="0.25">
      <c r="A561" s="4">
        <v>559</v>
      </c>
      <c r="B561" s="2" t="str">
        <f>HYPERLINK("https://my.zakupki.prom.ua/remote/dispatcher/state_purchase_view/14609797", "UA-2020-01-20-000741-c")</f>
        <v>UA-2020-01-20-000741-c</v>
      </c>
      <c r="C561" s="1" t="s">
        <v>628</v>
      </c>
      <c r="D561" s="1" t="s">
        <v>170</v>
      </c>
      <c r="E561" s="1" t="s">
        <v>390</v>
      </c>
      <c r="F561" s="5">
        <v>43850</v>
      </c>
      <c r="G561" s="7">
        <v>43866.463634259257</v>
      </c>
      <c r="H561" s="6">
        <v>93000</v>
      </c>
      <c r="I561" s="1" t="s">
        <v>1313</v>
      </c>
      <c r="J561" s="1" t="s">
        <v>1405</v>
      </c>
      <c r="K561" s="7">
        <v>43879.551163588818</v>
      </c>
      <c r="L561" s="6">
        <v>88760</v>
      </c>
    </row>
    <row r="562" spans="1:12" hidden="1" x14ac:dyDescent="0.25">
      <c r="A562" s="4">
        <v>560</v>
      </c>
      <c r="B562" s="2" t="str">
        <f>HYPERLINK("https://my.zakupki.prom.ua/remote/dispatcher/state_purchase_view/14534092", "UA-2020-01-16-001287-c")</f>
        <v>UA-2020-01-16-001287-c</v>
      </c>
      <c r="C562" s="1" t="s">
        <v>923</v>
      </c>
      <c r="D562" s="1" t="s">
        <v>211</v>
      </c>
      <c r="E562" s="1" t="s">
        <v>470</v>
      </c>
      <c r="F562" s="5">
        <v>43846</v>
      </c>
      <c r="G562" s="1" t="s">
        <v>1398</v>
      </c>
      <c r="H562" s="6">
        <v>99648</v>
      </c>
      <c r="I562" s="1" t="s">
        <v>1118</v>
      </c>
      <c r="J562" s="1" t="s">
        <v>1405</v>
      </c>
      <c r="K562" s="7">
        <v>43860.740759171262</v>
      </c>
      <c r="L562" s="6">
        <v>99174.74</v>
      </c>
    </row>
    <row r="563" spans="1:12" hidden="1" x14ac:dyDescent="0.25">
      <c r="A563" s="4">
        <v>561</v>
      </c>
      <c r="B563" s="2" t="str">
        <f>HYPERLINK("https://my.zakupki.prom.ua/remote/dispatcher/state_purchase_view/14955984", "UA-2020-01-30-000570-c")</f>
        <v>UA-2020-01-30-000570-c</v>
      </c>
      <c r="C563" s="1" t="s">
        <v>850</v>
      </c>
      <c r="D563" s="1" t="s">
        <v>235</v>
      </c>
      <c r="E563" s="1" t="s">
        <v>390</v>
      </c>
      <c r="F563" s="5">
        <v>43860</v>
      </c>
      <c r="G563" s="7">
        <v>43878.532604166663</v>
      </c>
      <c r="H563" s="6">
        <v>50000</v>
      </c>
      <c r="I563" s="1" t="s">
        <v>1313</v>
      </c>
      <c r="J563" s="1" t="s">
        <v>1405</v>
      </c>
      <c r="K563" s="7">
        <v>43892.458824232359</v>
      </c>
      <c r="L563" s="6">
        <v>49677.96</v>
      </c>
    </row>
    <row r="564" spans="1:12" hidden="1" x14ac:dyDescent="0.25">
      <c r="A564" s="4">
        <v>562</v>
      </c>
      <c r="B564" s="2" t="str">
        <f>HYPERLINK("https://my.zakupki.prom.ua/remote/dispatcher/state_purchase_view/15220821", "UA-2020-02-11-002824-b")</f>
        <v>UA-2020-02-11-002824-b</v>
      </c>
      <c r="C564" s="1" t="s">
        <v>340</v>
      </c>
      <c r="D564" s="1" t="s">
        <v>30</v>
      </c>
      <c r="E564" s="1" t="s">
        <v>390</v>
      </c>
      <c r="F564" s="5">
        <v>43872</v>
      </c>
      <c r="G564" s="1" t="s">
        <v>1398</v>
      </c>
      <c r="H564" s="6">
        <v>50250</v>
      </c>
      <c r="I564" s="1"/>
      <c r="J564" s="1" t="s">
        <v>1406</v>
      </c>
      <c r="K564" s="7">
        <v>43888.602503673021</v>
      </c>
      <c r="L564" s="1"/>
    </row>
    <row r="565" spans="1:12" hidden="1" x14ac:dyDescent="0.25">
      <c r="A565" s="4">
        <v>563</v>
      </c>
      <c r="B565" s="2" t="str">
        <f>HYPERLINK("https://my.zakupki.prom.ua/remote/dispatcher/state_purchase_view/15489226", "UA-2020-02-26-001602-c")</f>
        <v>UA-2020-02-26-001602-c</v>
      </c>
      <c r="C565" s="1" t="s">
        <v>416</v>
      </c>
      <c r="D565" s="1" t="s">
        <v>105</v>
      </c>
      <c r="E565" s="1" t="s">
        <v>470</v>
      </c>
      <c r="F565" s="5">
        <v>43887</v>
      </c>
      <c r="G565" s="7">
        <v>43896.560694444444</v>
      </c>
      <c r="H565" s="6">
        <v>6930</v>
      </c>
      <c r="I565" s="1" t="s">
        <v>1329</v>
      </c>
      <c r="J565" s="1" t="s">
        <v>1405</v>
      </c>
      <c r="K565" s="7">
        <v>43906.679159213134</v>
      </c>
      <c r="L565" s="6">
        <v>6700</v>
      </c>
    </row>
    <row r="566" spans="1:12" hidden="1" x14ac:dyDescent="0.25">
      <c r="A566" s="4">
        <v>564</v>
      </c>
      <c r="B566" s="2" t="str">
        <f>HYPERLINK("https://my.zakupki.prom.ua/remote/dispatcher/state_purchase_view/15093794", "UA-2020-02-05-001017-b")</f>
        <v>UA-2020-02-05-001017-b</v>
      </c>
      <c r="C566" s="1" t="s">
        <v>819</v>
      </c>
      <c r="D566" s="1" t="s">
        <v>235</v>
      </c>
      <c r="E566" s="1" t="s">
        <v>390</v>
      </c>
      <c r="F566" s="5">
        <v>43866</v>
      </c>
      <c r="G566" s="7">
        <v>43882.617384259262</v>
      </c>
      <c r="H566" s="6">
        <v>125000</v>
      </c>
      <c r="I566" s="1" t="s">
        <v>1118</v>
      </c>
      <c r="J566" s="1" t="s">
        <v>1405</v>
      </c>
      <c r="K566" s="7">
        <v>43900.414517194273</v>
      </c>
      <c r="L566" s="6">
        <v>124107.1</v>
      </c>
    </row>
    <row r="567" spans="1:12" hidden="1" x14ac:dyDescent="0.25">
      <c r="A567" s="4">
        <v>565</v>
      </c>
      <c r="B567" s="2" t="str">
        <f>HYPERLINK("https://my.zakupki.prom.ua/remote/dispatcher/state_purchase_view/16621225", "UA-2020-05-12-001499-b")</f>
        <v>UA-2020-05-12-001499-b</v>
      </c>
      <c r="C567" s="1" t="s">
        <v>414</v>
      </c>
      <c r="D567" s="1" t="s">
        <v>56</v>
      </c>
      <c r="E567" s="1" t="s">
        <v>470</v>
      </c>
      <c r="F567" s="5">
        <v>43963</v>
      </c>
      <c r="G567" s="7">
        <v>43973.527615740742</v>
      </c>
      <c r="H567" s="6">
        <v>15000</v>
      </c>
      <c r="I567" s="1" t="s">
        <v>1328</v>
      </c>
      <c r="J567" s="1" t="s">
        <v>1405</v>
      </c>
      <c r="K567" s="7">
        <v>43979.636954836722</v>
      </c>
      <c r="L567" s="6">
        <v>6500</v>
      </c>
    </row>
    <row r="568" spans="1:12" hidden="1" x14ac:dyDescent="0.25">
      <c r="A568" s="4">
        <v>566</v>
      </c>
      <c r="B568" s="2" t="str">
        <f>HYPERLINK("https://my.zakupki.prom.ua/remote/dispatcher/state_purchase_view/16370832", "UA-2020-04-17-000805-b")</f>
        <v>UA-2020-04-17-000805-b</v>
      </c>
      <c r="C568" s="1" t="s">
        <v>621</v>
      </c>
      <c r="D568" s="1" t="s">
        <v>132</v>
      </c>
      <c r="E568" s="1" t="s">
        <v>470</v>
      </c>
      <c r="F568" s="5">
        <v>43938</v>
      </c>
      <c r="G568" s="7">
        <v>43948.469317129631</v>
      </c>
      <c r="H568" s="6">
        <v>130000</v>
      </c>
      <c r="I568" s="1" t="s">
        <v>1342</v>
      </c>
      <c r="J568" s="1" t="s">
        <v>1405</v>
      </c>
      <c r="K568" s="7">
        <v>43960.501887498693</v>
      </c>
      <c r="L568" s="6">
        <v>122000</v>
      </c>
    </row>
    <row r="569" spans="1:12" hidden="1" x14ac:dyDescent="0.25">
      <c r="A569" s="4">
        <v>567</v>
      </c>
      <c r="B569" s="2" t="str">
        <f>HYPERLINK("https://my.zakupki.prom.ua/remote/dispatcher/state_purchase_view/16121803", "UA-2020-04-06-001045-b")</f>
        <v>UA-2020-04-06-001045-b</v>
      </c>
      <c r="C569" s="1" t="s">
        <v>910</v>
      </c>
      <c r="D569" s="1" t="s">
        <v>247</v>
      </c>
      <c r="E569" s="1" t="s">
        <v>470</v>
      </c>
      <c r="F569" s="5">
        <v>43927</v>
      </c>
      <c r="G569" s="7">
        <v>43935.562048611115</v>
      </c>
      <c r="H569" s="6">
        <v>100000</v>
      </c>
      <c r="I569" s="1" t="s">
        <v>1335</v>
      </c>
      <c r="J569" s="1" t="s">
        <v>1405</v>
      </c>
      <c r="K569" s="7">
        <v>43948.533800121746</v>
      </c>
      <c r="L569" s="6">
        <v>91000</v>
      </c>
    </row>
    <row r="570" spans="1:12" hidden="1" x14ac:dyDescent="0.25">
      <c r="A570" s="4">
        <v>568</v>
      </c>
      <c r="B570" s="2" t="str">
        <f>HYPERLINK("https://my.zakupki.prom.ua/remote/dispatcher/state_purchase_view/16121905", "UA-2020-04-06-001076-b")</f>
        <v>UA-2020-04-06-001076-b</v>
      </c>
      <c r="C570" s="1" t="s">
        <v>340</v>
      </c>
      <c r="D570" s="1" t="s">
        <v>30</v>
      </c>
      <c r="E570" s="1" t="s">
        <v>390</v>
      </c>
      <c r="F570" s="5">
        <v>43927</v>
      </c>
      <c r="G570" s="1" t="s">
        <v>1398</v>
      </c>
      <c r="H570" s="6">
        <v>49750</v>
      </c>
      <c r="I570" s="1"/>
      <c r="J570" s="1" t="s">
        <v>1419</v>
      </c>
      <c r="K570" s="7">
        <v>43938.430559090542</v>
      </c>
      <c r="L570" s="1"/>
    </row>
    <row r="571" spans="1:12" hidden="1" x14ac:dyDescent="0.25">
      <c r="A571" s="4">
        <v>569</v>
      </c>
      <c r="B571" s="2" t="str">
        <f>HYPERLINK("https://my.zakupki.prom.ua/remote/dispatcher/state_purchase_view/16192645", "UA-2020-04-09-002851-b")</f>
        <v>UA-2020-04-09-002851-b</v>
      </c>
      <c r="C571" s="1" t="s">
        <v>753</v>
      </c>
      <c r="D571" s="1" t="s">
        <v>255</v>
      </c>
      <c r="E571" s="1" t="s">
        <v>390</v>
      </c>
      <c r="F571" s="5">
        <v>43930</v>
      </c>
      <c r="G571" s="7">
        <v>43948.615937499999</v>
      </c>
      <c r="H571" s="6">
        <v>177248</v>
      </c>
      <c r="I571" s="1" t="s">
        <v>1135</v>
      </c>
      <c r="J571" s="1" t="s">
        <v>1405</v>
      </c>
      <c r="K571" s="7">
        <v>43969.525596050742</v>
      </c>
      <c r="L571" s="6">
        <v>176610</v>
      </c>
    </row>
    <row r="572" spans="1:12" hidden="1" x14ac:dyDescent="0.25">
      <c r="A572" s="4">
        <v>570</v>
      </c>
      <c r="B572" s="2" t="str">
        <f>HYPERLINK("https://my.zakupki.prom.ua/remote/dispatcher/state_purchase_view/14099203", "UA-2019-12-17-000739-b")</f>
        <v>UA-2019-12-17-000739-b</v>
      </c>
      <c r="C572" s="1" t="s">
        <v>318</v>
      </c>
      <c r="D572" s="1" t="s">
        <v>220</v>
      </c>
      <c r="E572" s="1" t="s">
        <v>488</v>
      </c>
      <c r="F572" s="5">
        <v>43816</v>
      </c>
      <c r="G572" s="1" t="s">
        <v>1397</v>
      </c>
      <c r="H572" s="6">
        <v>74250</v>
      </c>
      <c r="I572" s="1" t="s">
        <v>697</v>
      </c>
      <c r="J572" s="1" t="s">
        <v>1405</v>
      </c>
      <c r="K572" s="7">
        <v>43816.417285543059</v>
      </c>
      <c r="L572" s="6">
        <v>74250</v>
      </c>
    </row>
    <row r="573" spans="1:12" hidden="1" x14ac:dyDescent="0.25">
      <c r="A573" s="4">
        <v>571</v>
      </c>
      <c r="B573" s="2" t="str">
        <f>HYPERLINK("https://my.zakupki.prom.ua/remote/dispatcher/state_purchase_view/17631567", "UA-2020-07-03-001641-a")</f>
        <v>UA-2020-07-03-001641-a</v>
      </c>
      <c r="C573" s="1" t="s">
        <v>798</v>
      </c>
      <c r="D573" s="1" t="s">
        <v>196</v>
      </c>
      <c r="E573" s="1" t="s">
        <v>470</v>
      </c>
      <c r="F573" s="5">
        <v>44015</v>
      </c>
      <c r="G573" s="1" t="s">
        <v>1398</v>
      </c>
      <c r="H573" s="6">
        <v>20000</v>
      </c>
      <c r="I573" s="1" t="s">
        <v>1170</v>
      </c>
      <c r="J573" s="1" t="s">
        <v>1405</v>
      </c>
      <c r="K573" s="7">
        <v>44029.401827590751</v>
      </c>
      <c r="L573" s="6">
        <v>19990</v>
      </c>
    </row>
    <row r="574" spans="1:12" hidden="1" x14ac:dyDescent="0.25">
      <c r="A574" s="4">
        <v>572</v>
      </c>
      <c r="B574" s="2" t="str">
        <f>HYPERLINK("https://my.zakupki.prom.ua/remote/dispatcher/state_purchase_view/20031650", "UA-2020-10-12-004280-c")</f>
        <v>UA-2020-10-12-004280-c</v>
      </c>
      <c r="C574" s="1" t="s">
        <v>625</v>
      </c>
      <c r="D574" s="1" t="s">
        <v>171</v>
      </c>
      <c r="E574" s="1" t="s">
        <v>1086</v>
      </c>
      <c r="F574" s="5">
        <v>44116</v>
      </c>
      <c r="G574" s="1" t="s">
        <v>1398</v>
      </c>
      <c r="H574" s="6">
        <v>70000</v>
      </c>
      <c r="I574" s="1" t="s">
        <v>1329</v>
      </c>
      <c r="J574" s="1" t="s">
        <v>1405</v>
      </c>
      <c r="K574" s="7">
        <v>44131.56275933014</v>
      </c>
      <c r="L574" s="6">
        <v>70000</v>
      </c>
    </row>
    <row r="575" spans="1:12" hidden="1" x14ac:dyDescent="0.25">
      <c r="A575" s="4">
        <v>573</v>
      </c>
      <c r="B575" s="2" t="str">
        <f>HYPERLINK("https://my.zakupki.prom.ua/remote/dispatcher/state_purchase_view/20622419", "UA-2020-10-30-003474-c")</f>
        <v>UA-2020-10-30-003474-c</v>
      </c>
      <c r="C575" s="1" t="s">
        <v>802</v>
      </c>
      <c r="D575" s="1" t="s">
        <v>250</v>
      </c>
      <c r="E575" s="1" t="s">
        <v>488</v>
      </c>
      <c r="F575" s="5">
        <v>44134</v>
      </c>
      <c r="G575" s="1" t="s">
        <v>1397</v>
      </c>
      <c r="H575" s="6">
        <v>530</v>
      </c>
      <c r="I575" s="1" t="s">
        <v>446</v>
      </c>
      <c r="J575" s="1" t="s">
        <v>1405</v>
      </c>
      <c r="K575" s="7">
        <v>44134.524248630696</v>
      </c>
      <c r="L575" s="6">
        <v>530</v>
      </c>
    </row>
    <row r="576" spans="1:12" hidden="1" x14ac:dyDescent="0.25">
      <c r="A576" s="4">
        <v>574</v>
      </c>
      <c r="B576" s="2" t="str">
        <f>HYPERLINK("https://my.zakupki.prom.ua/remote/dispatcher/state_purchase_view/20610641", "UA-2020-10-30-000347-c")</f>
        <v>UA-2020-10-30-000347-c</v>
      </c>
      <c r="C576" s="1" t="s">
        <v>713</v>
      </c>
      <c r="D576" s="1" t="s">
        <v>62</v>
      </c>
      <c r="E576" s="1" t="s">
        <v>488</v>
      </c>
      <c r="F576" s="5">
        <v>44134</v>
      </c>
      <c r="G576" s="1" t="s">
        <v>1397</v>
      </c>
      <c r="H576" s="6">
        <v>20250</v>
      </c>
      <c r="I576" s="1" t="s">
        <v>1230</v>
      </c>
      <c r="J576" s="1" t="s">
        <v>1405</v>
      </c>
      <c r="K576" s="7">
        <v>44134.376506464629</v>
      </c>
      <c r="L576" s="6">
        <v>20250</v>
      </c>
    </row>
    <row r="577" spans="1:12" hidden="1" x14ac:dyDescent="0.25">
      <c r="A577" s="4">
        <v>575</v>
      </c>
      <c r="B577" s="2" t="str">
        <f>HYPERLINK("https://my.zakupki.prom.ua/remote/dispatcher/state_purchase_view/19369087", "UA-2020-09-17-007714-a")</f>
        <v>UA-2020-09-17-007714-a</v>
      </c>
      <c r="C577" s="1" t="s">
        <v>272</v>
      </c>
      <c r="D577" s="1" t="s">
        <v>190</v>
      </c>
      <c r="E577" s="1" t="s">
        <v>722</v>
      </c>
      <c r="F577" s="5">
        <v>44091</v>
      </c>
      <c r="G577" s="1" t="s">
        <v>1397</v>
      </c>
      <c r="H577" s="6">
        <v>28791929.219999999</v>
      </c>
      <c r="I577" s="1" t="s">
        <v>1248</v>
      </c>
      <c r="J577" s="1" t="s">
        <v>1405</v>
      </c>
      <c r="K577" s="7">
        <v>44102.447706441264</v>
      </c>
      <c r="L577" s="6">
        <v>28791929.219999999</v>
      </c>
    </row>
    <row r="578" spans="1:12" hidden="1" x14ac:dyDescent="0.25">
      <c r="A578" s="4">
        <v>576</v>
      </c>
      <c r="B578" s="2" t="str">
        <f>HYPERLINK("https://my.zakupki.prom.ua/remote/dispatcher/state_purchase_view/20457382", "UA-2020-10-26-002208-a")</f>
        <v>UA-2020-10-26-002208-a</v>
      </c>
      <c r="C578" s="1" t="s">
        <v>921</v>
      </c>
      <c r="D578" s="1" t="s">
        <v>204</v>
      </c>
      <c r="E578" s="1" t="s">
        <v>488</v>
      </c>
      <c r="F578" s="5">
        <v>44130</v>
      </c>
      <c r="G578" s="1" t="s">
        <v>1397</v>
      </c>
      <c r="H578" s="6">
        <v>368</v>
      </c>
      <c r="I578" s="1" t="s">
        <v>510</v>
      </c>
      <c r="J578" s="1" t="s">
        <v>1405</v>
      </c>
      <c r="K578" s="7">
        <v>44130.451205368336</v>
      </c>
      <c r="L578" s="6">
        <v>368</v>
      </c>
    </row>
    <row r="579" spans="1:12" hidden="1" x14ac:dyDescent="0.25">
      <c r="A579" s="4">
        <v>577</v>
      </c>
      <c r="B579" s="2" t="str">
        <f>HYPERLINK("https://my.zakupki.prom.ua/remote/dispatcher/state_purchase_view/20672901", "UA-2020-11-02-008313-c")</f>
        <v>UA-2020-11-02-008313-c</v>
      </c>
      <c r="C579" s="1" t="s">
        <v>305</v>
      </c>
      <c r="D579" s="1" t="s">
        <v>228</v>
      </c>
      <c r="E579" s="1" t="s">
        <v>488</v>
      </c>
      <c r="F579" s="5">
        <v>44137</v>
      </c>
      <c r="G579" s="1" t="s">
        <v>1397</v>
      </c>
      <c r="H579" s="6">
        <v>300</v>
      </c>
      <c r="I579" s="1" t="s">
        <v>1391</v>
      </c>
      <c r="J579" s="1" t="s">
        <v>1405</v>
      </c>
      <c r="K579" s="7">
        <v>44137.682406790751</v>
      </c>
      <c r="L579" s="6">
        <v>300</v>
      </c>
    </row>
    <row r="580" spans="1:12" hidden="1" x14ac:dyDescent="0.25">
      <c r="A580" s="4">
        <v>578</v>
      </c>
      <c r="B580" s="2" t="str">
        <f>HYPERLINK("https://my.zakupki.prom.ua/remote/dispatcher/state_purchase_view/9403250", "UA-2018-12-18-001967-c")</f>
        <v>UA-2018-12-18-001967-c</v>
      </c>
      <c r="C580" s="1" t="s">
        <v>843</v>
      </c>
      <c r="D580" s="1" t="s">
        <v>241</v>
      </c>
      <c r="E580" s="1" t="s">
        <v>390</v>
      </c>
      <c r="F580" s="5">
        <v>43452</v>
      </c>
      <c r="G580" s="7">
        <v>43468.580428240741</v>
      </c>
      <c r="H580" s="6">
        <v>495000</v>
      </c>
      <c r="I580" s="1" t="s">
        <v>1142</v>
      </c>
      <c r="J580" s="1" t="s">
        <v>1405</v>
      </c>
      <c r="K580" s="7">
        <v>43480.617342086574</v>
      </c>
      <c r="L580" s="6">
        <v>492239.4</v>
      </c>
    </row>
    <row r="581" spans="1:12" hidden="1" x14ac:dyDescent="0.25">
      <c r="A581" s="4">
        <v>579</v>
      </c>
      <c r="B581" s="2" t="str">
        <f>HYPERLINK("https://my.zakupki.prom.ua/remote/dispatcher/state_purchase_view/4350530", "UA-2017-10-20-000831-a")</f>
        <v>UA-2017-10-20-000831-a</v>
      </c>
      <c r="C581" s="1" t="s">
        <v>841</v>
      </c>
      <c r="D581" s="1" t="s">
        <v>241</v>
      </c>
      <c r="E581" s="1" t="s">
        <v>391</v>
      </c>
      <c r="F581" s="5">
        <v>43028</v>
      </c>
      <c r="G581" s="7">
        <v>43066.532673611109</v>
      </c>
      <c r="H581" s="6">
        <v>5820000</v>
      </c>
      <c r="I581" s="1" t="s">
        <v>337</v>
      </c>
      <c r="J581" s="1" t="s">
        <v>1404</v>
      </c>
      <c r="K581" s="7">
        <v>43080.449938183498</v>
      </c>
      <c r="L581" s="6">
        <v>4298131.2</v>
      </c>
    </row>
    <row r="582" spans="1:12" hidden="1" x14ac:dyDescent="0.25">
      <c r="A582" s="4">
        <v>580</v>
      </c>
      <c r="B582" s="2" t="str">
        <f>HYPERLINK("https://my.zakupki.prom.ua/remote/dispatcher/state_purchase_view/4350530", "UA-2017-10-20-000831-a")</f>
        <v>UA-2017-10-20-000831-a</v>
      </c>
      <c r="C582" s="1" t="s">
        <v>844</v>
      </c>
      <c r="D582" s="1" t="s">
        <v>241</v>
      </c>
      <c r="E582" s="1" t="s">
        <v>391</v>
      </c>
      <c r="F582" s="5">
        <v>43028</v>
      </c>
      <c r="G582" s="7">
        <v>43066.546979166669</v>
      </c>
      <c r="H582" s="6">
        <v>5820000</v>
      </c>
      <c r="I582" s="1" t="s">
        <v>1180</v>
      </c>
      <c r="J582" s="1" t="s">
        <v>1404</v>
      </c>
      <c r="K582" s="7">
        <v>43080.45198875721</v>
      </c>
      <c r="L582" s="6">
        <v>1475460</v>
      </c>
    </row>
    <row r="583" spans="1:12" hidden="1" x14ac:dyDescent="0.25">
      <c r="A583" s="4">
        <v>581</v>
      </c>
      <c r="B583" s="2" t="str">
        <f>HYPERLINK("https://my.zakupki.prom.ua/remote/dispatcher/state_purchase_view/4601717", "UA-2017-11-14-001314-a")</f>
        <v>UA-2017-11-14-001314-a</v>
      </c>
      <c r="C583" s="1" t="s">
        <v>714</v>
      </c>
      <c r="D583" s="1" t="s">
        <v>32</v>
      </c>
      <c r="E583" s="1" t="s">
        <v>470</v>
      </c>
      <c r="F583" s="5">
        <v>43053</v>
      </c>
      <c r="G583" s="1" t="s">
        <v>1398</v>
      </c>
      <c r="H583" s="6">
        <v>76950</v>
      </c>
      <c r="I583" s="1" t="s">
        <v>1124</v>
      </c>
      <c r="J583" s="1" t="s">
        <v>1405</v>
      </c>
      <c r="K583" s="7">
        <v>43066.496761400078</v>
      </c>
      <c r="L583" s="6">
        <v>72810</v>
      </c>
    </row>
    <row r="584" spans="1:12" hidden="1" x14ac:dyDescent="0.25">
      <c r="A584" s="4">
        <v>582</v>
      </c>
      <c r="B584" s="2" t="str">
        <f>HYPERLINK("https://my.zakupki.prom.ua/remote/dispatcher/state_purchase_view/3548444", "UA-2017-07-13-002256-b")</f>
        <v>UA-2017-07-13-002256-b</v>
      </c>
      <c r="C584" s="1" t="s">
        <v>374</v>
      </c>
      <c r="D584" s="1" t="s">
        <v>124</v>
      </c>
      <c r="E584" s="1" t="s">
        <v>470</v>
      </c>
      <c r="F584" s="5">
        <v>42929</v>
      </c>
      <c r="G584" s="1" t="s">
        <v>1398</v>
      </c>
      <c r="H584" s="6">
        <v>6849</v>
      </c>
      <c r="I584" s="1"/>
      <c r="J584" s="1" t="s">
        <v>1406</v>
      </c>
      <c r="K584" s="7">
        <v>42937.460013596588</v>
      </c>
      <c r="L584" s="1"/>
    </row>
    <row r="585" spans="1:12" hidden="1" x14ac:dyDescent="0.25">
      <c r="A585" s="4">
        <v>583</v>
      </c>
      <c r="B585" s="2" t="str">
        <f>HYPERLINK("https://my.zakupki.prom.ua/remote/dispatcher/state_purchase_view/3611776", "UA-2017-07-21-001640-b")</f>
        <v>UA-2017-07-21-001640-b</v>
      </c>
      <c r="C585" s="1" t="s">
        <v>827</v>
      </c>
      <c r="D585" s="1" t="s">
        <v>246</v>
      </c>
      <c r="E585" s="1" t="s">
        <v>390</v>
      </c>
      <c r="F585" s="5">
        <v>42937</v>
      </c>
      <c r="G585" s="7">
        <v>42954.462118055555</v>
      </c>
      <c r="H585" s="6">
        <v>2889930</v>
      </c>
      <c r="I585" s="1" t="s">
        <v>1129</v>
      </c>
      <c r="J585" s="1" t="s">
        <v>1405</v>
      </c>
      <c r="K585" s="7">
        <v>42982.587527249503</v>
      </c>
      <c r="L585" s="6">
        <v>2875480</v>
      </c>
    </row>
    <row r="586" spans="1:12" hidden="1" x14ac:dyDescent="0.25">
      <c r="A586" s="4">
        <v>584</v>
      </c>
      <c r="B586" s="2" t="str">
        <f>HYPERLINK("https://my.zakupki.prom.ua/remote/dispatcher/state_purchase_view/2530610", "UA-2017-03-16-000867-b")</f>
        <v>UA-2017-03-16-000867-b</v>
      </c>
      <c r="C586" s="1" t="s">
        <v>868</v>
      </c>
      <c r="D586" s="1" t="s">
        <v>262</v>
      </c>
      <c r="E586" s="1" t="s">
        <v>470</v>
      </c>
      <c r="F586" s="5">
        <v>42810</v>
      </c>
      <c r="G586" s="1" t="s">
        <v>1398</v>
      </c>
      <c r="H586" s="6">
        <v>195000</v>
      </c>
      <c r="I586" s="1" t="s">
        <v>1135</v>
      </c>
      <c r="J586" s="1" t="s">
        <v>1405</v>
      </c>
      <c r="K586" s="7">
        <v>42822.711177449688</v>
      </c>
      <c r="L586" s="6">
        <v>193200</v>
      </c>
    </row>
    <row r="587" spans="1:12" hidden="1" x14ac:dyDescent="0.25">
      <c r="A587" s="4">
        <v>585</v>
      </c>
      <c r="B587" s="2" t="str">
        <f>HYPERLINK("https://my.zakupki.prom.ua/remote/dispatcher/state_purchase_view/2379435", "UA-2017-03-02-001508-a")</f>
        <v>UA-2017-03-02-001508-a</v>
      </c>
      <c r="C587" s="1" t="s">
        <v>647</v>
      </c>
      <c r="D587" s="1" t="s">
        <v>228</v>
      </c>
      <c r="E587" s="1" t="s">
        <v>470</v>
      </c>
      <c r="F587" s="5">
        <v>42796</v>
      </c>
      <c r="G587" s="1" t="s">
        <v>1398</v>
      </c>
      <c r="H587" s="6">
        <v>5100</v>
      </c>
      <c r="I587" s="1" t="s">
        <v>1175</v>
      </c>
      <c r="J587" s="1" t="s">
        <v>1405</v>
      </c>
      <c r="K587" s="7">
        <v>42808.704021085927</v>
      </c>
      <c r="L587" s="6">
        <v>5100</v>
      </c>
    </row>
    <row r="588" spans="1:12" hidden="1" x14ac:dyDescent="0.25">
      <c r="A588" s="4">
        <v>586</v>
      </c>
      <c r="B588" s="2" t="str">
        <f>HYPERLINK("https://my.zakupki.prom.ua/remote/dispatcher/state_purchase_view/4278949", "UA-2017-10-11-001948-a")</f>
        <v>UA-2017-10-11-001948-a</v>
      </c>
      <c r="C588" s="1" t="s">
        <v>1022</v>
      </c>
      <c r="D588" s="1" t="s">
        <v>220</v>
      </c>
      <c r="E588" s="1" t="s">
        <v>488</v>
      </c>
      <c r="F588" s="5">
        <v>43019</v>
      </c>
      <c r="G588" s="1" t="s">
        <v>1397</v>
      </c>
      <c r="H588" s="6">
        <v>13338</v>
      </c>
      <c r="I588" s="1" t="s">
        <v>1154</v>
      </c>
      <c r="J588" s="1" t="s">
        <v>1405</v>
      </c>
      <c r="K588" s="7">
        <v>43019.728178417769</v>
      </c>
      <c r="L588" s="6">
        <v>13338</v>
      </c>
    </row>
    <row r="589" spans="1:12" hidden="1" x14ac:dyDescent="0.25">
      <c r="A589" s="4">
        <v>587</v>
      </c>
      <c r="B589" s="2" t="str">
        <f>HYPERLINK("https://my.zakupki.prom.ua/remote/dispatcher/state_purchase_view/4515940", "UA-2017-11-06-002418-c")</f>
        <v>UA-2017-11-06-002418-c</v>
      </c>
      <c r="C589" s="1" t="s">
        <v>568</v>
      </c>
      <c r="D589" s="1" t="s">
        <v>41</v>
      </c>
      <c r="E589" s="1" t="s">
        <v>390</v>
      </c>
      <c r="F589" s="5">
        <v>43045</v>
      </c>
      <c r="G589" s="7">
        <v>43062.6016087963</v>
      </c>
      <c r="H589" s="6">
        <v>222700</v>
      </c>
      <c r="I589" s="1" t="s">
        <v>449</v>
      </c>
      <c r="J589" s="1" t="s">
        <v>1405</v>
      </c>
      <c r="K589" s="7">
        <v>43080.4567935081</v>
      </c>
      <c r="L589" s="6">
        <v>217046</v>
      </c>
    </row>
    <row r="590" spans="1:12" hidden="1" x14ac:dyDescent="0.25">
      <c r="A590" s="4">
        <v>588</v>
      </c>
      <c r="B590" s="2" t="str">
        <f>HYPERLINK("https://my.zakupki.prom.ua/remote/dispatcher/state_purchase_view/5079370", "UA-2017-12-18-002968-b")</f>
        <v>UA-2017-12-18-002968-b</v>
      </c>
      <c r="C590" s="1" t="s">
        <v>409</v>
      </c>
      <c r="D590" s="1" t="s">
        <v>178</v>
      </c>
      <c r="E590" s="1" t="s">
        <v>488</v>
      </c>
      <c r="F590" s="5">
        <v>43087</v>
      </c>
      <c r="G590" s="1" t="s">
        <v>1397</v>
      </c>
      <c r="H590" s="6">
        <v>89984.4</v>
      </c>
      <c r="I590" s="1" t="s">
        <v>1364</v>
      </c>
      <c r="J590" s="1" t="s">
        <v>1405</v>
      </c>
      <c r="K590" s="7">
        <v>43087.721140894988</v>
      </c>
      <c r="L590" s="6">
        <v>89984.4</v>
      </c>
    </row>
    <row r="591" spans="1:12" hidden="1" x14ac:dyDescent="0.25">
      <c r="A591" s="4">
        <v>589</v>
      </c>
      <c r="B591" s="2" t="str">
        <f>HYPERLINK("https://my.zakupki.prom.ua/remote/dispatcher/state_purchase_view/1783995", "UA-2017-01-26-001096-b")</f>
        <v>UA-2017-01-26-001096-b</v>
      </c>
      <c r="C591" s="1" t="s">
        <v>534</v>
      </c>
      <c r="D591" s="1" t="s">
        <v>75</v>
      </c>
      <c r="E591" s="1" t="s">
        <v>470</v>
      </c>
      <c r="F591" s="5">
        <v>42761</v>
      </c>
      <c r="G591" s="7">
        <v>42773.62605324074</v>
      </c>
      <c r="H591" s="6">
        <v>36604</v>
      </c>
      <c r="I591" s="1" t="s">
        <v>1304</v>
      </c>
      <c r="J591" s="1" t="s">
        <v>1405</v>
      </c>
      <c r="K591" s="7">
        <v>42780.422597716759</v>
      </c>
      <c r="L591" s="6">
        <v>34400</v>
      </c>
    </row>
    <row r="592" spans="1:12" hidden="1" x14ac:dyDescent="0.25">
      <c r="A592" s="4">
        <v>590</v>
      </c>
      <c r="B592" s="2" t="str">
        <f>HYPERLINK("https://my.zakupki.prom.ua/remote/dispatcher/state_purchase_view/737539", "UA-2016-10-26-001164-a")</f>
        <v>UA-2016-10-26-001164-a</v>
      </c>
      <c r="C592" s="1" t="s">
        <v>994</v>
      </c>
      <c r="D592" s="1" t="s">
        <v>186</v>
      </c>
      <c r="E592" s="1" t="s">
        <v>470</v>
      </c>
      <c r="F592" s="5">
        <v>42669</v>
      </c>
      <c r="G592" s="1" t="s">
        <v>1398</v>
      </c>
      <c r="H592" s="6">
        <v>1490000</v>
      </c>
      <c r="I592" s="1"/>
      <c r="J592" s="1" t="s">
        <v>1406</v>
      </c>
      <c r="K592" s="7">
        <v>42683.488661005627</v>
      </c>
      <c r="L592" s="1"/>
    </row>
    <row r="593" spans="1:12" hidden="1" x14ac:dyDescent="0.25">
      <c r="A593" s="4">
        <v>591</v>
      </c>
      <c r="B593" s="2" t="str">
        <f>HYPERLINK("https://my.zakupki.prom.ua/remote/dispatcher/state_purchase_view/683100", "UA-2016-10-17-001198-b")</f>
        <v>UA-2016-10-17-001198-b</v>
      </c>
      <c r="C593" s="1" t="s">
        <v>994</v>
      </c>
      <c r="D593" s="1" t="s">
        <v>186</v>
      </c>
      <c r="E593" s="1" t="s">
        <v>470</v>
      </c>
      <c r="F593" s="5">
        <v>42660</v>
      </c>
      <c r="G593" s="1" t="s">
        <v>1398</v>
      </c>
      <c r="H593" s="6">
        <v>1490000</v>
      </c>
      <c r="I593" s="1"/>
      <c r="J593" s="1" t="s">
        <v>1406</v>
      </c>
      <c r="K593" s="7">
        <v>42669.586082784561</v>
      </c>
      <c r="L593" s="1"/>
    </row>
    <row r="594" spans="1:12" hidden="1" x14ac:dyDescent="0.25">
      <c r="A594" s="4">
        <v>592</v>
      </c>
      <c r="B594" s="2" t="str">
        <f>HYPERLINK("https://my.zakupki.prom.ua/remote/dispatcher/state_purchase_view/3790572", "UA-2017-08-15-000186-a")</f>
        <v>UA-2017-08-15-000186-a</v>
      </c>
      <c r="C594" s="1" t="s">
        <v>937</v>
      </c>
      <c r="D594" s="1" t="s">
        <v>224</v>
      </c>
      <c r="E594" s="1" t="s">
        <v>470</v>
      </c>
      <c r="F594" s="5">
        <v>42962</v>
      </c>
      <c r="G594" s="1" t="s">
        <v>1398</v>
      </c>
      <c r="H594" s="6">
        <v>35000</v>
      </c>
      <c r="I594" s="1"/>
      <c r="J594" s="1" t="s">
        <v>1419</v>
      </c>
      <c r="K594" s="7">
        <v>42964.732482964318</v>
      </c>
      <c r="L594" s="1"/>
    </row>
    <row r="595" spans="1:12" hidden="1" x14ac:dyDescent="0.25">
      <c r="A595" s="4">
        <v>593</v>
      </c>
      <c r="B595" s="2" t="str">
        <f>HYPERLINK("https://my.zakupki.prom.ua/remote/dispatcher/state_purchase_view/3809372", "UA-2017-08-16-001299-a")</f>
        <v>UA-2017-08-16-001299-a</v>
      </c>
      <c r="C595" s="1" t="s">
        <v>656</v>
      </c>
      <c r="D595" s="1" t="s">
        <v>122</v>
      </c>
      <c r="E595" s="1" t="s">
        <v>470</v>
      </c>
      <c r="F595" s="5">
        <v>42963</v>
      </c>
      <c r="G595" s="1" t="s">
        <v>1398</v>
      </c>
      <c r="H595" s="6">
        <v>35000</v>
      </c>
      <c r="I595" s="1" t="s">
        <v>700</v>
      </c>
      <c r="J595" s="1" t="s">
        <v>1405</v>
      </c>
      <c r="K595" s="7">
        <v>42982.567895368367</v>
      </c>
      <c r="L595" s="6">
        <v>34884</v>
      </c>
    </row>
    <row r="596" spans="1:12" hidden="1" x14ac:dyDescent="0.25">
      <c r="A596" s="4">
        <v>594</v>
      </c>
      <c r="B596" s="2" t="str">
        <f>HYPERLINK("https://my.zakupki.prom.ua/remote/dispatcher/state_purchase_view/7276155", "UA-2018-05-30-001705-a")</f>
        <v>UA-2018-05-30-001705-a</v>
      </c>
      <c r="C596" s="1" t="s">
        <v>286</v>
      </c>
      <c r="D596" s="1" t="s">
        <v>226</v>
      </c>
      <c r="E596" s="1" t="s">
        <v>488</v>
      </c>
      <c r="F596" s="5">
        <v>43250</v>
      </c>
      <c r="G596" s="1" t="s">
        <v>1397</v>
      </c>
      <c r="H596" s="6">
        <v>105000</v>
      </c>
      <c r="I596" s="1"/>
      <c r="J596" s="1" t="s">
        <v>1419</v>
      </c>
      <c r="K596" s="7">
        <v>43250.614271700346</v>
      </c>
      <c r="L596" s="1"/>
    </row>
    <row r="597" spans="1:12" hidden="1" x14ac:dyDescent="0.25">
      <c r="A597" s="4">
        <v>595</v>
      </c>
      <c r="B597" s="2" t="str">
        <f>HYPERLINK("https://my.zakupki.prom.ua/remote/dispatcher/state_purchase_view/7120148", "UA-2018-05-15-000632-a")</f>
        <v>UA-2018-05-15-000632-a</v>
      </c>
      <c r="C597" s="1" t="s">
        <v>405</v>
      </c>
      <c r="D597" s="1" t="s">
        <v>178</v>
      </c>
      <c r="E597" s="1" t="s">
        <v>488</v>
      </c>
      <c r="F597" s="5">
        <v>43235</v>
      </c>
      <c r="G597" s="1" t="s">
        <v>1397</v>
      </c>
      <c r="H597" s="6">
        <v>121599.8</v>
      </c>
      <c r="I597" s="1" t="s">
        <v>1221</v>
      </c>
      <c r="J597" s="1" t="s">
        <v>1405</v>
      </c>
      <c r="K597" s="7">
        <v>43235.459572279302</v>
      </c>
      <c r="L597" s="6">
        <v>121599.8</v>
      </c>
    </row>
    <row r="598" spans="1:12" hidden="1" x14ac:dyDescent="0.25">
      <c r="A598" s="4">
        <v>596</v>
      </c>
      <c r="B598" s="2" t="str">
        <f>HYPERLINK("https://my.zakupki.prom.ua/remote/dispatcher/state_purchase_view/7339630", "UA-2018-06-05-003004-a")</f>
        <v>UA-2018-06-05-003004-a</v>
      </c>
      <c r="C598" s="1" t="s">
        <v>744</v>
      </c>
      <c r="D598" s="1" t="s">
        <v>210</v>
      </c>
      <c r="E598" s="1" t="s">
        <v>488</v>
      </c>
      <c r="F598" s="5">
        <v>43256</v>
      </c>
      <c r="G598" s="1" t="s">
        <v>1397</v>
      </c>
      <c r="H598" s="6">
        <v>50000</v>
      </c>
      <c r="I598" s="1" t="s">
        <v>1215</v>
      </c>
      <c r="J598" s="1" t="s">
        <v>1405</v>
      </c>
      <c r="K598" s="7">
        <v>43256.708559098217</v>
      </c>
      <c r="L598" s="6">
        <v>50000</v>
      </c>
    </row>
    <row r="599" spans="1:12" hidden="1" x14ac:dyDescent="0.25">
      <c r="A599" s="4">
        <v>597</v>
      </c>
      <c r="B599" s="2" t="str">
        <f>HYPERLINK("https://my.zakupki.prom.ua/remote/dispatcher/state_purchase_view/7471260", "UA-2018-06-18-001616-a")</f>
        <v>UA-2018-06-18-001616-a</v>
      </c>
      <c r="C599" s="1" t="s">
        <v>1027</v>
      </c>
      <c r="D599" s="1" t="s">
        <v>220</v>
      </c>
      <c r="E599" s="1" t="s">
        <v>488</v>
      </c>
      <c r="F599" s="5">
        <v>43269</v>
      </c>
      <c r="G599" s="1" t="s">
        <v>1397</v>
      </c>
      <c r="H599" s="6">
        <v>60520</v>
      </c>
      <c r="I599" s="1" t="s">
        <v>1233</v>
      </c>
      <c r="J599" s="1" t="s">
        <v>1405</v>
      </c>
      <c r="K599" s="7">
        <v>43269.609269985245</v>
      </c>
      <c r="L599" s="6">
        <v>60520</v>
      </c>
    </row>
    <row r="600" spans="1:12" hidden="1" x14ac:dyDescent="0.25">
      <c r="A600" s="4">
        <v>598</v>
      </c>
      <c r="B600" s="2" t="str">
        <f>HYPERLINK("https://my.zakupki.prom.ua/remote/dispatcher/state_purchase_view/8406213", "UA-2018-09-28-001724-c")</f>
        <v>UA-2018-09-28-001724-c</v>
      </c>
      <c r="C600" s="1" t="s">
        <v>743</v>
      </c>
      <c r="D600" s="1" t="s">
        <v>235</v>
      </c>
      <c r="E600" s="1" t="s">
        <v>390</v>
      </c>
      <c r="F600" s="5">
        <v>43371</v>
      </c>
      <c r="G600" s="7">
        <v>43389.463483796295</v>
      </c>
      <c r="H600" s="6">
        <v>510000</v>
      </c>
      <c r="I600" s="1" t="s">
        <v>1306</v>
      </c>
      <c r="J600" s="1" t="s">
        <v>1405</v>
      </c>
      <c r="K600" s="7">
        <v>43411.59580910403</v>
      </c>
      <c r="L600" s="6">
        <v>505000</v>
      </c>
    </row>
    <row r="601" spans="1:12" hidden="1" x14ac:dyDescent="0.25">
      <c r="A601" s="4">
        <v>599</v>
      </c>
      <c r="B601" s="2" t="str">
        <f>HYPERLINK("https://my.zakupki.prom.ua/remote/dispatcher/state_purchase_view/6672685", "UA-2018-03-28-001145-a")</f>
        <v>UA-2018-03-28-001145-a</v>
      </c>
      <c r="C601" s="1" t="s">
        <v>518</v>
      </c>
      <c r="D601" s="1" t="s">
        <v>174</v>
      </c>
      <c r="E601" s="1" t="s">
        <v>470</v>
      </c>
      <c r="F601" s="5">
        <v>43187</v>
      </c>
      <c r="G601" s="1" t="s">
        <v>1398</v>
      </c>
      <c r="H601" s="6">
        <v>70000</v>
      </c>
      <c r="I601" s="1" t="s">
        <v>1290</v>
      </c>
      <c r="J601" s="1" t="s">
        <v>1405</v>
      </c>
      <c r="K601" s="7">
        <v>43201.463607587073</v>
      </c>
      <c r="L601" s="6">
        <v>63556.44</v>
      </c>
    </row>
    <row r="602" spans="1:12" hidden="1" x14ac:dyDescent="0.25">
      <c r="A602" s="4">
        <v>600</v>
      </c>
      <c r="B602" s="2" t="str">
        <f>HYPERLINK("https://my.zakupki.prom.ua/remote/dispatcher/state_purchase_view/6961463", "UA-2018-04-26-001181-a")</f>
        <v>UA-2018-04-26-001181-a</v>
      </c>
      <c r="C602" s="1" t="s">
        <v>465</v>
      </c>
      <c r="D602" s="1" t="s">
        <v>123</v>
      </c>
      <c r="E602" s="1" t="s">
        <v>390</v>
      </c>
      <c r="F602" s="5">
        <v>43216</v>
      </c>
      <c r="G602" s="7">
        <v>43234.658645833333</v>
      </c>
      <c r="H602" s="6">
        <v>680000</v>
      </c>
      <c r="I602" s="1" t="s">
        <v>1184</v>
      </c>
      <c r="J602" s="1" t="s">
        <v>1405</v>
      </c>
      <c r="K602" s="7">
        <v>43249.399284403684</v>
      </c>
      <c r="L602" s="6">
        <v>630000</v>
      </c>
    </row>
    <row r="603" spans="1:12" hidden="1" x14ac:dyDescent="0.25">
      <c r="A603" s="4">
        <v>601</v>
      </c>
      <c r="B603" s="2" t="str">
        <f>HYPERLINK("https://my.zakupki.prom.ua/remote/dispatcher/state_purchase_view/7555417", "UA-2018-06-25-000968-a")</f>
        <v>UA-2018-06-25-000968-a</v>
      </c>
      <c r="C603" s="1" t="s">
        <v>1386</v>
      </c>
      <c r="D603" s="1" t="s">
        <v>38</v>
      </c>
      <c r="E603" s="1" t="s">
        <v>488</v>
      </c>
      <c r="F603" s="5">
        <v>43276</v>
      </c>
      <c r="G603" s="1" t="s">
        <v>1397</v>
      </c>
      <c r="H603" s="6">
        <v>27900</v>
      </c>
      <c r="I603" s="1" t="s">
        <v>642</v>
      </c>
      <c r="J603" s="1" t="s">
        <v>1405</v>
      </c>
      <c r="K603" s="7">
        <v>43276.602468608631</v>
      </c>
      <c r="L603" s="6">
        <v>27900</v>
      </c>
    </row>
    <row r="604" spans="1:12" hidden="1" x14ac:dyDescent="0.25">
      <c r="A604" s="4">
        <v>602</v>
      </c>
      <c r="B604" s="2" t="str">
        <f>HYPERLINK("https://my.zakupki.prom.ua/remote/dispatcher/state_purchase_view/9072579", "UA-2018-11-28-000523-c")</f>
        <v>UA-2018-11-28-000523-c</v>
      </c>
      <c r="C604" s="1" t="s">
        <v>589</v>
      </c>
      <c r="D604" s="1" t="s">
        <v>241</v>
      </c>
      <c r="E604" s="1" t="s">
        <v>390</v>
      </c>
      <c r="F604" s="5">
        <v>43432</v>
      </c>
      <c r="G604" s="7">
        <v>43448.580925925926</v>
      </c>
      <c r="H604" s="6">
        <v>3000000</v>
      </c>
      <c r="I604" s="1" t="s">
        <v>337</v>
      </c>
      <c r="J604" s="1" t="s">
        <v>1404</v>
      </c>
      <c r="K604" s="7">
        <v>43462.648502284595</v>
      </c>
      <c r="L604" s="6">
        <v>2487172</v>
      </c>
    </row>
    <row r="605" spans="1:12" hidden="1" x14ac:dyDescent="0.25">
      <c r="A605" s="4">
        <v>603</v>
      </c>
      <c r="B605" s="2" t="str">
        <f>HYPERLINK("https://my.zakupki.prom.ua/remote/dispatcher/state_purchase_view/9072579", "UA-2018-11-28-000523-c")</f>
        <v>UA-2018-11-28-000523-c</v>
      </c>
      <c r="C605" s="1" t="s">
        <v>592</v>
      </c>
      <c r="D605" s="1" t="s">
        <v>241</v>
      </c>
      <c r="E605" s="1" t="s">
        <v>390</v>
      </c>
      <c r="F605" s="5">
        <v>43432</v>
      </c>
      <c r="G605" s="1" t="s">
        <v>1398</v>
      </c>
      <c r="H605" s="6">
        <v>3000000</v>
      </c>
      <c r="I605" s="1"/>
      <c r="J605" s="1" t="s">
        <v>1420</v>
      </c>
      <c r="K605" s="7">
        <v>43451.704817301004</v>
      </c>
      <c r="L605" s="1"/>
    </row>
    <row r="606" spans="1:12" hidden="1" x14ac:dyDescent="0.25">
      <c r="A606" s="4">
        <v>604</v>
      </c>
      <c r="B606" s="2" t="str">
        <f>HYPERLINK("https://my.zakupki.prom.ua/remote/dispatcher/state_purchase_view/9109592", "UA-2018-11-30-000560-c")</f>
        <v>UA-2018-11-30-000560-c</v>
      </c>
      <c r="C606" s="1" t="s">
        <v>712</v>
      </c>
      <c r="D606" s="1" t="s">
        <v>62</v>
      </c>
      <c r="E606" s="1" t="s">
        <v>470</v>
      </c>
      <c r="F606" s="5">
        <v>43434</v>
      </c>
      <c r="G606" s="7">
        <v>43444.463090277779</v>
      </c>
      <c r="H606" s="6">
        <v>37451</v>
      </c>
      <c r="I606" s="1"/>
      <c r="J606" s="1" t="s">
        <v>1406</v>
      </c>
      <c r="K606" s="7">
        <v>43447.660911776758</v>
      </c>
      <c r="L606" s="1"/>
    </row>
    <row r="607" spans="1:12" hidden="1" x14ac:dyDescent="0.25">
      <c r="A607" s="4">
        <v>605</v>
      </c>
      <c r="B607" s="2" t="str">
        <f>HYPERLINK("https://my.zakupki.prom.ua/remote/dispatcher/state_purchase_view/11305485", "UA-2019-04-15-001566-a")</f>
        <v>UA-2019-04-15-001566-a</v>
      </c>
      <c r="C607" s="1" t="s">
        <v>924</v>
      </c>
      <c r="D607" s="1" t="s">
        <v>211</v>
      </c>
      <c r="E607" s="1" t="s">
        <v>470</v>
      </c>
      <c r="F607" s="5">
        <v>43570</v>
      </c>
      <c r="G607" s="1" t="s">
        <v>1398</v>
      </c>
      <c r="H607" s="6">
        <v>98557</v>
      </c>
      <c r="I607" s="1" t="s">
        <v>1135</v>
      </c>
      <c r="J607" s="1" t="s">
        <v>1405</v>
      </c>
      <c r="K607" s="7">
        <v>43588.381520031922</v>
      </c>
      <c r="L607" s="6">
        <v>98556.79</v>
      </c>
    </row>
    <row r="608" spans="1:12" hidden="1" x14ac:dyDescent="0.25">
      <c r="A608" s="4">
        <v>606</v>
      </c>
      <c r="B608" s="2" t="str">
        <f>HYPERLINK("https://my.zakupki.prom.ua/remote/dispatcher/state_purchase_view/15410699", "UA-2020-02-21-000316-b")</f>
        <v>UA-2020-02-21-000316-b</v>
      </c>
      <c r="C608" s="1" t="s">
        <v>607</v>
      </c>
      <c r="D608" s="1" t="s">
        <v>34</v>
      </c>
      <c r="E608" s="1" t="s">
        <v>470</v>
      </c>
      <c r="F608" s="5">
        <v>43882</v>
      </c>
      <c r="G608" s="1" t="s">
        <v>1398</v>
      </c>
      <c r="H608" s="6">
        <v>49935</v>
      </c>
      <c r="I608" s="1" t="s">
        <v>449</v>
      </c>
      <c r="J608" s="1" t="s">
        <v>1405</v>
      </c>
      <c r="K608" s="7">
        <v>43893.650580566748</v>
      </c>
      <c r="L608" s="6">
        <v>49935</v>
      </c>
    </row>
    <row r="609" spans="1:12" hidden="1" x14ac:dyDescent="0.25">
      <c r="A609" s="4">
        <v>607</v>
      </c>
      <c r="B609" s="2" t="str">
        <f>HYPERLINK("https://my.zakupki.prom.ua/remote/dispatcher/state_purchase_view/15682781", "UA-2020-03-10-002744-a")</f>
        <v>UA-2020-03-10-002744-a</v>
      </c>
      <c r="C609" s="1" t="s">
        <v>415</v>
      </c>
      <c r="D609" s="1" t="s">
        <v>62</v>
      </c>
      <c r="E609" s="1" t="s">
        <v>470</v>
      </c>
      <c r="F609" s="5">
        <v>43900</v>
      </c>
      <c r="G609" s="7">
        <v>43908.460810185185</v>
      </c>
      <c r="H609" s="6">
        <v>45000</v>
      </c>
      <c r="I609" s="1" t="s">
        <v>1329</v>
      </c>
      <c r="J609" s="1" t="s">
        <v>1405</v>
      </c>
      <c r="K609" s="7">
        <v>43920.51696404758</v>
      </c>
      <c r="L609" s="6">
        <v>45000</v>
      </c>
    </row>
    <row r="610" spans="1:12" hidden="1" x14ac:dyDescent="0.25">
      <c r="A610" s="4">
        <v>608</v>
      </c>
      <c r="B610" s="2" t="str">
        <f>HYPERLINK("https://my.zakupki.prom.ua/remote/dispatcher/state_purchase_view/9688860", "UA-2019-01-08-001036-c")</f>
        <v>UA-2019-01-08-001036-c</v>
      </c>
      <c r="C610" s="1" t="s">
        <v>1393</v>
      </c>
      <c r="D610" s="1" t="s">
        <v>236</v>
      </c>
      <c r="E610" s="1" t="s">
        <v>488</v>
      </c>
      <c r="F610" s="5">
        <v>43473</v>
      </c>
      <c r="G610" s="1" t="s">
        <v>1397</v>
      </c>
      <c r="H610" s="6">
        <v>198000</v>
      </c>
      <c r="I610" s="1" t="s">
        <v>1243</v>
      </c>
      <c r="J610" s="1" t="s">
        <v>1405</v>
      </c>
      <c r="K610" s="7">
        <v>43473.6791842405</v>
      </c>
      <c r="L610" s="6">
        <v>198000</v>
      </c>
    </row>
    <row r="611" spans="1:12" hidden="1" x14ac:dyDescent="0.25">
      <c r="A611" s="4">
        <v>609</v>
      </c>
      <c r="B611" s="2" t="str">
        <f>HYPERLINK("https://my.zakupki.prom.ua/remote/dispatcher/state_purchase_view/9833876", "UA-2019-01-16-001000-c")</f>
        <v>UA-2019-01-16-001000-c</v>
      </c>
      <c r="C611" s="1" t="s">
        <v>1279</v>
      </c>
      <c r="D611" s="1" t="s">
        <v>111</v>
      </c>
      <c r="E611" s="1" t="s">
        <v>470</v>
      </c>
      <c r="F611" s="5">
        <v>43481</v>
      </c>
      <c r="G611" s="1" t="s">
        <v>1398</v>
      </c>
      <c r="H611" s="6">
        <v>11100</v>
      </c>
      <c r="I611" s="1" t="s">
        <v>1331</v>
      </c>
      <c r="J611" s="1" t="s">
        <v>1405</v>
      </c>
      <c r="K611" s="7">
        <v>43495.425237014628</v>
      </c>
      <c r="L611" s="6">
        <v>11100</v>
      </c>
    </row>
    <row r="612" spans="1:12" hidden="1" x14ac:dyDescent="0.25">
      <c r="A612" s="4">
        <v>610</v>
      </c>
      <c r="B612" s="2" t="str">
        <f>HYPERLINK("https://my.zakupki.prom.ua/remote/dispatcher/state_purchase_view/9913204", "UA-2019-01-18-001045-c")</f>
        <v>UA-2019-01-18-001045-c</v>
      </c>
      <c r="C612" s="1" t="s">
        <v>474</v>
      </c>
      <c r="D612" s="1" t="s">
        <v>36</v>
      </c>
      <c r="E612" s="1" t="s">
        <v>723</v>
      </c>
      <c r="F612" s="5">
        <v>43483</v>
      </c>
      <c r="G612" s="1" t="s">
        <v>1397</v>
      </c>
      <c r="H612" s="6">
        <v>713700</v>
      </c>
      <c r="I612" s="1" t="s">
        <v>1201</v>
      </c>
      <c r="J612" s="1" t="s">
        <v>1405</v>
      </c>
      <c r="K612" s="7">
        <v>43497.521193350753</v>
      </c>
      <c r="L612" s="6">
        <v>713700</v>
      </c>
    </row>
    <row r="613" spans="1:12" hidden="1" x14ac:dyDescent="0.25">
      <c r="A613" s="4">
        <v>611</v>
      </c>
      <c r="B613" s="2" t="str">
        <f>HYPERLINK("https://my.zakupki.prom.ua/remote/dispatcher/state_purchase_view/13727054", "UA-2019-11-26-001659-b")</f>
        <v>UA-2019-11-26-001659-b</v>
      </c>
      <c r="C613" s="1" t="s">
        <v>474</v>
      </c>
      <c r="D613" s="1" t="s">
        <v>36</v>
      </c>
      <c r="E613" s="1" t="s">
        <v>723</v>
      </c>
      <c r="F613" s="5">
        <v>43795</v>
      </c>
      <c r="G613" s="1" t="s">
        <v>1397</v>
      </c>
      <c r="H613" s="6">
        <v>124998.46</v>
      </c>
      <c r="I613" s="1" t="s">
        <v>1201</v>
      </c>
      <c r="J613" s="1" t="s">
        <v>1405</v>
      </c>
      <c r="K613" s="7">
        <v>43802.637681564083</v>
      </c>
      <c r="L613" s="6">
        <v>124998.46</v>
      </c>
    </row>
    <row r="614" spans="1:12" hidden="1" x14ac:dyDescent="0.25">
      <c r="A614" s="4">
        <v>612</v>
      </c>
      <c r="B614" s="2" t="str">
        <f>HYPERLINK("https://my.zakupki.prom.ua/remote/dispatcher/state_purchase_view/13087166", "UA-2019-10-07-000198-b")</f>
        <v>UA-2019-10-07-000198-b</v>
      </c>
      <c r="C614" s="1" t="s">
        <v>493</v>
      </c>
      <c r="D614" s="1" t="s">
        <v>47</v>
      </c>
      <c r="E614" s="1" t="s">
        <v>470</v>
      </c>
      <c r="F614" s="5">
        <v>43745</v>
      </c>
      <c r="G614" s="1" t="s">
        <v>1398</v>
      </c>
      <c r="H614" s="6">
        <v>40740</v>
      </c>
      <c r="I614" s="1" t="s">
        <v>449</v>
      </c>
      <c r="J614" s="1" t="s">
        <v>1405</v>
      </c>
      <c r="K614" s="7">
        <v>43760.641787648958</v>
      </c>
      <c r="L614" s="6">
        <v>40735.08</v>
      </c>
    </row>
    <row r="615" spans="1:12" hidden="1" x14ac:dyDescent="0.25">
      <c r="A615" s="4">
        <v>613</v>
      </c>
      <c r="B615" s="2" t="str">
        <f>HYPERLINK("https://my.zakupki.prom.ua/remote/dispatcher/state_purchase_view/11998568", "UA-2019-06-21-000595-a")</f>
        <v>UA-2019-06-21-000595-a</v>
      </c>
      <c r="C615" s="1" t="s">
        <v>1283</v>
      </c>
      <c r="D615" s="1" t="s">
        <v>111</v>
      </c>
      <c r="E615" s="1" t="s">
        <v>390</v>
      </c>
      <c r="F615" s="5">
        <v>43637</v>
      </c>
      <c r="G615" s="1" t="s">
        <v>1398</v>
      </c>
      <c r="H615" s="6">
        <v>175000</v>
      </c>
      <c r="I615" s="1"/>
      <c r="J615" s="1" t="s">
        <v>1419</v>
      </c>
      <c r="K615" s="7">
        <v>43649.422991623556</v>
      </c>
      <c r="L615" s="1"/>
    </row>
    <row r="616" spans="1:12" hidden="1" x14ac:dyDescent="0.25">
      <c r="A616" s="4">
        <v>614</v>
      </c>
      <c r="B616" s="2" t="str">
        <f>HYPERLINK("https://my.zakupki.prom.ua/remote/dispatcher/state_purchase_view/11593728", "UA-2019-05-15-002404-a")</f>
        <v>UA-2019-05-15-002404-a</v>
      </c>
      <c r="C616" s="1" t="s">
        <v>529</v>
      </c>
      <c r="D616" s="1" t="s">
        <v>174</v>
      </c>
      <c r="E616" s="1" t="s">
        <v>470</v>
      </c>
      <c r="F616" s="5">
        <v>43600</v>
      </c>
      <c r="G616" s="1" t="s">
        <v>1398</v>
      </c>
      <c r="H616" s="6">
        <v>60000</v>
      </c>
      <c r="I616" s="1" t="s">
        <v>1333</v>
      </c>
      <c r="J616" s="1" t="s">
        <v>1405</v>
      </c>
      <c r="K616" s="7">
        <v>43615.406131124757</v>
      </c>
      <c r="L616" s="6">
        <v>51480</v>
      </c>
    </row>
    <row r="617" spans="1:12" hidden="1" x14ac:dyDescent="0.25">
      <c r="A617" s="4">
        <v>615</v>
      </c>
      <c r="B617" s="2" t="str">
        <f>HYPERLINK("https://my.zakupki.prom.ua/remote/dispatcher/state_purchase_view/12121265", "UA-2019-07-04-000211-c")</f>
        <v>UA-2019-07-04-000211-c</v>
      </c>
      <c r="C617" s="1" t="s">
        <v>579</v>
      </c>
      <c r="D617" s="1" t="s">
        <v>130</v>
      </c>
      <c r="E617" s="1" t="s">
        <v>470</v>
      </c>
      <c r="F617" s="5">
        <v>43650</v>
      </c>
      <c r="G617" s="1" t="s">
        <v>1398</v>
      </c>
      <c r="H617" s="6">
        <v>110000</v>
      </c>
      <c r="I617" s="1" t="s">
        <v>1331</v>
      </c>
      <c r="J617" s="1" t="s">
        <v>1405</v>
      </c>
      <c r="K617" s="7">
        <v>43662.386270192546</v>
      </c>
      <c r="L617" s="6">
        <v>110000</v>
      </c>
    </row>
    <row r="618" spans="1:12" hidden="1" x14ac:dyDescent="0.25">
      <c r="A618" s="4">
        <v>616</v>
      </c>
      <c r="B618" s="2" t="str">
        <f>HYPERLINK("https://my.zakupki.prom.ua/remote/dispatcher/state_purchase_view/16376535", "UA-2020-04-17-002064-b")</f>
        <v>UA-2020-04-17-002064-b</v>
      </c>
      <c r="C618" s="1" t="s">
        <v>456</v>
      </c>
      <c r="D618" s="1" t="s">
        <v>137</v>
      </c>
      <c r="E618" s="1" t="s">
        <v>390</v>
      </c>
      <c r="F618" s="5">
        <v>43938</v>
      </c>
      <c r="G618" s="7">
        <v>43955.608912037038</v>
      </c>
      <c r="H618" s="6">
        <v>658047</v>
      </c>
      <c r="I618" s="1" t="s">
        <v>1311</v>
      </c>
      <c r="J618" s="1" t="s">
        <v>1405</v>
      </c>
      <c r="K618" s="7">
        <v>43969.416147623226</v>
      </c>
      <c r="L618" s="6">
        <v>647773</v>
      </c>
    </row>
    <row r="619" spans="1:12" hidden="1" x14ac:dyDescent="0.25">
      <c r="A619" s="4">
        <v>617</v>
      </c>
      <c r="B619" s="2" t="str">
        <f>HYPERLINK("https://my.zakupki.prom.ua/remote/dispatcher/state_purchase_view/16335941", "UA-2020-04-16-003073-b")</f>
        <v>UA-2020-04-16-003073-b</v>
      </c>
      <c r="C619" s="1" t="s">
        <v>944</v>
      </c>
      <c r="D619" s="1" t="s">
        <v>188</v>
      </c>
      <c r="E619" s="1" t="s">
        <v>390</v>
      </c>
      <c r="F619" s="5">
        <v>43937</v>
      </c>
      <c r="G619" s="7">
        <v>43955.507916666669</v>
      </c>
      <c r="H619" s="6">
        <v>118297</v>
      </c>
      <c r="I619" s="1" t="s">
        <v>1143</v>
      </c>
      <c r="J619" s="1" t="s">
        <v>1405</v>
      </c>
      <c r="K619" s="7">
        <v>43969.477201037778</v>
      </c>
      <c r="L619" s="6">
        <v>117794.6</v>
      </c>
    </row>
    <row r="620" spans="1:12" hidden="1" x14ac:dyDescent="0.25">
      <c r="A620" s="4">
        <v>618</v>
      </c>
      <c r="B620" s="2" t="str">
        <f>HYPERLINK("https://my.zakupki.prom.ua/remote/dispatcher/state_purchase_view/17597890", "UA-2020-07-02-001293-a")</f>
        <v>UA-2020-07-02-001293-a</v>
      </c>
      <c r="C620" s="1" t="s">
        <v>726</v>
      </c>
      <c r="D620" s="1" t="s">
        <v>64</v>
      </c>
      <c r="E620" s="1" t="s">
        <v>488</v>
      </c>
      <c r="F620" s="5">
        <v>44014</v>
      </c>
      <c r="G620" s="1" t="s">
        <v>1397</v>
      </c>
      <c r="H620" s="6">
        <v>2340</v>
      </c>
      <c r="I620" s="1" t="s">
        <v>1220</v>
      </c>
      <c r="J620" s="1" t="s">
        <v>1405</v>
      </c>
      <c r="K620" s="7">
        <v>44014.424372664122</v>
      </c>
      <c r="L620" s="6">
        <v>2340</v>
      </c>
    </row>
    <row r="621" spans="1:12" hidden="1" x14ac:dyDescent="0.25">
      <c r="A621" s="4">
        <v>619</v>
      </c>
      <c r="B621" s="2" t="str">
        <f>HYPERLINK("https://my.zakupki.prom.ua/remote/dispatcher/state_purchase_view/17361644", "UA-2020-06-19-001311-c")</f>
        <v>UA-2020-06-19-001311-c</v>
      </c>
      <c r="C621" s="1" t="s">
        <v>415</v>
      </c>
      <c r="D621" s="1" t="s">
        <v>146</v>
      </c>
      <c r="E621" s="1" t="s">
        <v>470</v>
      </c>
      <c r="F621" s="5">
        <v>44001</v>
      </c>
      <c r="G621" s="1" t="s">
        <v>1398</v>
      </c>
      <c r="H621" s="6">
        <v>6250</v>
      </c>
      <c r="I621" s="1" t="s">
        <v>1307</v>
      </c>
      <c r="J621" s="1" t="s">
        <v>1405</v>
      </c>
      <c r="K621" s="7">
        <v>44019.439058083284</v>
      </c>
      <c r="L621" s="6">
        <v>6250</v>
      </c>
    </row>
    <row r="622" spans="1:12" hidden="1" x14ac:dyDescent="0.25">
      <c r="A622" s="4">
        <v>620</v>
      </c>
      <c r="B622" s="2" t="str">
        <f>HYPERLINK("https://my.zakupki.prom.ua/remote/dispatcher/state_purchase_view/17568422", "UA-2020-07-01-000793-a")</f>
        <v>UA-2020-07-01-000793-a</v>
      </c>
      <c r="C622" s="1" t="s">
        <v>464</v>
      </c>
      <c r="D622" s="1" t="s">
        <v>172</v>
      </c>
      <c r="E622" s="1" t="s">
        <v>1086</v>
      </c>
      <c r="F622" s="5">
        <v>44013</v>
      </c>
      <c r="G622" s="1" t="s">
        <v>1398</v>
      </c>
      <c r="H622" s="6">
        <v>120000</v>
      </c>
      <c r="I622" s="1" t="s">
        <v>1330</v>
      </c>
      <c r="J622" s="1" t="s">
        <v>1405</v>
      </c>
      <c r="K622" s="7">
        <v>44029.395632327221</v>
      </c>
      <c r="L622" s="6">
        <v>120000</v>
      </c>
    </row>
    <row r="623" spans="1:12" hidden="1" x14ac:dyDescent="0.25">
      <c r="A623" s="4">
        <v>621</v>
      </c>
      <c r="B623" s="2" t="str">
        <f>HYPERLINK("https://my.zakupki.prom.ua/remote/dispatcher/state_purchase_view/16467518", "UA-2020-04-24-001738-b")</f>
        <v>UA-2020-04-24-001738-b</v>
      </c>
      <c r="C623" s="1" t="s">
        <v>335</v>
      </c>
      <c r="D623" s="1" t="s">
        <v>104</v>
      </c>
      <c r="E623" s="1" t="s">
        <v>488</v>
      </c>
      <c r="F623" s="5">
        <v>43945</v>
      </c>
      <c r="G623" s="1" t="s">
        <v>1397</v>
      </c>
      <c r="H623" s="6">
        <v>27500</v>
      </c>
      <c r="I623" s="1" t="s">
        <v>709</v>
      </c>
      <c r="J623" s="1" t="s">
        <v>1405</v>
      </c>
      <c r="K623" s="7">
        <v>43945.609252980263</v>
      </c>
      <c r="L623" s="6">
        <v>27500</v>
      </c>
    </row>
    <row r="624" spans="1:12" hidden="1" x14ac:dyDescent="0.25">
      <c r="A624" s="4">
        <v>622</v>
      </c>
      <c r="B624" s="2" t="str">
        <f>HYPERLINK("https://my.zakupki.prom.ua/remote/dispatcher/state_purchase_view/18654738", "UA-2020-08-19-003689-a")</f>
        <v>UA-2020-08-19-003689-a</v>
      </c>
      <c r="C624" s="1" t="s">
        <v>453</v>
      </c>
      <c r="D624" s="1" t="s">
        <v>73</v>
      </c>
      <c r="E624" s="1" t="s">
        <v>488</v>
      </c>
      <c r="F624" s="5">
        <v>44062</v>
      </c>
      <c r="G624" s="1" t="s">
        <v>1397</v>
      </c>
      <c r="H624" s="6">
        <v>31000</v>
      </c>
      <c r="I624" s="1" t="s">
        <v>1235</v>
      </c>
      <c r="J624" s="1" t="s">
        <v>1405</v>
      </c>
      <c r="K624" s="7">
        <v>44062.50731878545</v>
      </c>
      <c r="L624" s="6">
        <v>31000</v>
      </c>
    </row>
    <row r="625" spans="1:12" hidden="1" x14ac:dyDescent="0.25">
      <c r="A625" s="4">
        <v>623</v>
      </c>
      <c r="B625" s="2" t="str">
        <f>HYPERLINK("https://my.zakupki.prom.ua/remote/dispatcher/state_purchase_view/18858578", "UA-2020-08-28-002502-b")</f>
        <v>UA-2020-08-28-002502-b</v>
      </c>
      <c r="C625" s="1" t="s">
        <v>413</v>
      </c>
      <c r="D625" s="1" t="s">
        <v>105</v>
      </c>
      <c r="E625" s="1" t="s">
        <v>488</v>
      </c>
      <c r="F625" s="5">
        <v>44071</v>
      </c>
      <c r="G625" s="1" t="s">
        <v>1397</v>
      </c>
      <c r="H625" s="6">
        <v>10288.129999999999</v>
      </c>
      <c r="I625" s="1" t="s">
        <v>1216</v>
      </c>
      <c r="J625" s="1" t="s">
        <v>1405</v>
      </c>
      <c r="K625" s="7">
        <v>44071.553575499529</v>
      </c>
      <c r="L625" s="6">
        <v>10288.129999999999</v>
      </c>
    </row>
    <row r="626" spans="1:12" hidden="1" x14ac:dyDescent="0.25">
      <c r="A626" s="4">
        <v>624</v>
      </c>
      <c r="B626" s="2" t="str">
        <f>HYPERLINK("https://my.zakupki.prom.ua/remote/dispatcher/state_purchase_view/18946304", "UA-2020-09-02-006192-b")</f>
        <v>UA-2020-09-02-006192-b</v>
      </c>
      <c r="C626" s="1" t="s">
        <v>548</v>
      </c>
      <c r="D626" s="1" t="s">
        <v>67</v>
      </c>
      <c r="E626" s="1" t="s">
        <v>470</v>
      </c>
      <c r="F626" s="5">
        <v>44076</v>
      </c>
      <c r="G626" s="7">
        <v>44088.617418981485</v>
      </c>
      <c r="H626" s="6">
        <v>44000</v>
      </c>
      <c r="I626" s="1" t="s">
        <v>1336</v>
      </c>
      <c r="J626" s="1" t="s">
        <v>1405</v>
      </c>
      <c r="K626" s="7">
        <v>44095.417294402141</v>
      </c>
      <c r="L626" s="6">
        <v>43999.98</v>
      </c>
    </row>
    <row r="627" spans="1:12" hidden="1" x14ac:dyDescent="0.25">
      <c r="A627" s="4">
        <v>625</v>
      </c>
      <c r="B627" s="2" t="str">
        <f>HYPERLINK("https://my.zakupki.prom.ua/remote/dispatcher/state_purchase_view/11211932", "UA-2019-04-08-000299-a")</f>
        <v>UA-2019-04-08-000299-a</v>
      </c>
      <c r="C627" s="1" t="s">
        <v>909</v>
      </c>
      <c r="D627" s="1" t="s">
        <v>247</v>
      </c>
      <c r="E627" s="1" t="s">
        <v>470</v>
      </c>
      <c r="F627" s="5">
        <v>43563</v>
      </c>
      <c r="G627" s="7">
        <v>43572.594143518516</v>
      </c>
      <c r="H627" s="6">
        <v>100000</v>
      </c>
      <c r="I627" s="1" t="s">
        <v>1335</v>
      </c>
      <c r="J627" s="1" t="s">
        <v>1405</v>
      </c>
      <c r="K627" s="7">
        <v>43578.387551216612</v>
      </c>
      <c r="L627" s="6">
        <v>98500</v>
      </c>
    </row>
    <row r="628" spans="1:12" hidden="1" x14ac:dyDescent="0.25">
      <c r="A628" s="4">
        <v>626</v>
      </c>
      <c r="B628" s="2" t="str">
        <f>HYPERLINK("https://my.zakupki.prom.ua/remote/dispatcher/state_purchase_view/10798601", "UA-2019-03-04-001222-a")</f>
        <v>UA-2019-03-04-001222-a</v>
      </c>
      <c r="C628" s="1" t="s">
        <v>382</v>
      </c>
      <c r="D628" s="1" t="s">
        <v>115</v>
      </c>
      <c r="E628" s="1" t="s">
        <v>470</v>
      </c>
      <c r="F628" s="5">
        <v>43528</v>
      </c>
      <c r="G628" s="7">
        <v>43538.574965277781</v>
      </c>
      <c r="H628" s="6">
        <v>11500</v>
      </c>
      <c r="I628" s="1" t="s">
        <v>1153</v>
      </c>
      <c r="J628" s="1" t="s">
        <v>1405</v>
      </c>
      <c r="K628" s="7">
        <v>43544.695732115601</v>
      </c>
      <c r="L628" s="6">
        <v>10350</v>
      </c>
    </row>
    <row r="629" spans="1:12" hidden="1" x14ac:dyDescent="0.25">
      <c r="A629" s="4">
        <v>627</v>
      </c>
      <c r="B629" s="2" t="str">
        <f>HYPERLINK("https://my.zakupki.prom.ua/remote/dispatcher/state_purchase_view/10799186", "UA-2019-03-04-001314-a")</f>
        <v>UA-2019-03-04-001314-a</v>
      </c>
      <c r="C629" s="1" t="s">
        <v>491</v>
      </c>
      <c r="D629" s="1" t="s">
        <v>47</v>
      </c>
      <c r="E629" s="1" t="s">
        <v>470</v>
      </c>
      <c r="F629" s="5">
        <v>43528</v>
      </c>
      <c r="G629" s="7">
        <v>43539.624293981484</v>
      </c>
      <c r="H629" s="6">
        <v>60000</v>
      </c>
      <c r="I629" s="1" t="s">
        <v>449</v>
      </c>
      <c r="J629" s="1" t="s">
        <v>1405</v>
      </c>
      <c r="K629" s="7">
        <v>43551.585710966436</v>
      </c>
      <c r="L629" s="6">
        <v>58260</v>
      </c>
    </row>
    <row r="630" spans="1:12" hidden="1" x14ac:dyDescent="0.25">
      <c r="A630" s="4">
        <v>628</v>
      </c>
      <c r="B630" s="2" t="str">
        <f>HYPERLINK("https://my.zakupki.prom.ua/remote/dispatcher/state_purchase_view/20914542", "UA-2020-11-10-001684-c")</f>
        <v>UA-2020-11-10-001684-c</v>
      </c>
      <c r="C630" s="1" t="s">
        <v>636</v>
      </c>
      <c r="D630" s="1" t="s">
        <v>269</v>
      </c>
      <c r="E630" s="1" t="s">
        <v>390</v>
      </c>
      <c r="F630" s="5">
        <v>44145</v>
      </c>
      <c r="G630" s="7">
        <v>44172.552106481482</v>
      </c>
      <c r="H630" s="6">
        <v>593710</v>
      </c>
      <c r="I630" s="1" t="s">
        <v>700</v>
      </c>
      <c r="J630" s="1" t="s">
        <v>1405</v>
      </c>
      <c r="K630" s="7">
        <v>44186.582981459731</v>
      </c>
      <c r="L630" s="6">
        <v>584000</v>
      </c>
    </row>
    <row r="631" spans="1:12" hidden="1" x14ac:dyDescent="0.25">
      <c r="A631" s="4">
        <v>629</v>
      </c>
      <c r="B631" s="2" t="str">
        <f>HYPERLINK("https://my.zakupki.prom.ua/remote/dispatcher/state_purchase_view/19866788", "UA-2020-10-06-007977-a")</f>
        <v>UA-2020-10-06-007977-a</v>
      </c>
      <c r="C631" s="1" t="s">
        <v>625</v>
      </c>
      <c r="D631" s="1" t="s">
        <v>171</v>
      </c>
      <c r="E631" s="1" t="s">
        <v>1086</v>
      </c>
      <c r="F631" s="5">
        <v>44110</v>
      </c>
      <c r="G631" s="1" t="s">
        <v>1398</v>
      </c>
      <c r="H631" s="6">
        <v>55000</v>
      </c>
      <c r="I631" s="1"/>
      <c r="J631" s="1" t="s">
        <v>1419</v>
      </c>
      <c r="K631" s="7">
        <v>44116.562936175083</v>
      </c>
      <c r="L631" s="1"/>
    </row>
    <row r="632" spans="1:12" hidden="1" x14ac:dyDescent="0.25">
      <c r="A632" s="4">
        <v>630</v>
      </c>
      <c r="B632" s="2" t="str">
        <f>HYPERLINK("https://my.zakupki.prom.ua/remote/dispatcher/state_purchase_view/21373119", "UA-2020-11-24-005388-c")</f>
        <v>UA-2020-11-24-005388-c</v>
      </c>
      <c r="C632" s="1" t="s">
        <v>301</v>
      </c>
      <c r="D632" s="1" t="s">
        <v>228</v>
      </c>
      <c r="E632" s="1" t="s">
        <v>488</v>
      </c>
      <c r="F632" s="5">
        <v>44159</v>
      </c>
      <c r="G632" s="1" t="s">
        <v>1397</v>
      </c>
      <c r="H632" s="6">
        <v>300</v>
      </c>
      <c r="I632" s="1" t="s">
        <v>1391</v>
      </c>
      <c r="J632" s="1" t="s">
        <v>1405</v>
      </c>
      <c r="K632" s="7">
        <v>44159.488671801664</v>
      </c>
      <c r="L632" s="6">
        <v>300</v>
      </c>
    </row>
    <row r="633" spans="1:12" hidden="1" x14ac:dyDescent="0.25">
      <c r="A633" s="4">
        <v>631</v>
      </c>
      <c r="B633" s="2" t="str">
        <f>HYPERLINK("https://my.zakupki.prom.ua/remote/dispatcher/state_purchase_view/12540744", "UA-2019-08-14-002033-a")</f>
        <v>UA-2019-08-14-002033-a</v>
      </c>
      <c r="C633" s="1" t="s">
        <v>278</v>
      </c>
      <c r="D633" s="1" t="s">
        <v>245</v>
      </c>
      <c r="E633" s="1" t="s">
        <v>390</v>
      </c>
      <c r="F633" s="5">
        <v>43691</v>
      </c>
      <c r="G633" s="7">
        <v>43707.574328703704</v>
      </c>
      <c r="H633" s="6">
        <v>270000</v>
      </c>
      <c r="I633" s="1" t="s">
        <v>1139</v>
      </c>
      <c r="J633" s="1" t="s">
        <v>1405</v>
      </c>
      <c r="K633" s="7">
        <v>43724.663221256895</v>
      </c>
      <c r="L633" s="6">
        <v>268650</v>
      </c>
    </row>
    <row r="634" spans="1:12" hidden="1" x14ac:dyDescent="0.25">
      <c r="A634" s="4">
        <v>632</v>
      </c>
      <c r="B634" s="2" t="str">
        <f>HYPERLINK("https://my.zakupki.prom.ua/remote/dispatcher/state_purchase_view/10393582", "UA-2019-02-05-002478-b")</f>
        <v>UA-2019-02-05-002478-b</v>
      </c>
      <c r="C634" s="1" t="s">
        <v>753</v>
      </c>
      <c r="D634" s="1" t="s">
        <v>255</v>
      </c>
      <c r="E634" s="1" t="s">
        <v>390</v>
      </c>
      <c r="F634" s="5">
        <v>43501</v>
      </c>
      <c r="G634" s="7">
        <v>43523.529039351852</v>
      </c>
      <c r="H634" s="6">
        <v>210000</v>
      </c>
      <c r="I634" s="1" t="s">
        <v>1135</v>
      </c>
      <c r="J634" s="1" t="s">
        <v>1405</v>
      </c>
      <c r="K634" s="7">
        <v>43535.43572018118</v>
      </c>
      <c r="L634" s="6">
        <v>208687.5</v>
      </c>
    </row>
    <row r="635" spans="1:12" hidden="1" x14ac:dyDescent="0.25">
      <c r="A635" s="4">
        <v>633</v>
      </c>
      <c r="B635" s="2" t="str">
        <f>HYPERLINK("https://my.zakupki.prom.ua/remote/dispatcher/state_purchase_view/10391121", "UA-2019-02-05-002179-b")</f>
        <v>UA-2019-02-05-002179-b</v>
      </c>
      <c r="C635" s="1" t="s">
        <v>789</v>
      </c>
      <c r="D635" s="1" t="s">
        <v>233</v>
      </c>
      <c r="E635" s="1" t="s">
        <v>390</v>
      </c>
      <c r="F635" s="5">
        <v>43501</v>
      </c>
      <c r="G635" s="7">
        <v>43517.515567129631</v>
      </c>
      <c r="H635" s="6">
        <v>364457.32</v>
      </c>
      <c r="I635" s="1" t="s">
        <v>1135</v>
      </c>
      <c r="J635" s="1" t="s">
        <v>1405</v>
      </c>
      <c r="K635" s="7">
        <v>43535.415581181885</v>
      </c>
      <c r="L635" s="6">
        <v>362633.88</v>
      </c>
    </row>
    <row r="636" spans="1:12" hidden="1" x14ac:dyDescent="0.25">
      <c r="A636" s="4">
        <v>634</v>
      </c>
      <c r="B636" s="2" t="str">
        <f>HYPERLINK("https://my.zakupki.prom.ua/remote/dispatcher/state_purchase_view/8252146", "UA-2018-09-13-002008-c")</f>
        <v>UA-2018-09-13-002008-c</v>
      </c>
      <c r="C636" s="1" t="s">
        <v>822</v>
      </c>
      <c r="D636" s="1" t="s">
        <v>246</v>
      </c>
      <c r="E636" s="1" t="s">
        <v>390</v>
      </c>
      <c r="F636" s="5">
        <v>43356</v>
      </c>
      <c r="G636" s="1" t="s">
        <v>1398</v>
      </c>
      <c r="H636" s="6">
        <v>600000</v>
      </c>
      <c r="I636" s="1"/>
      <c r="J636" s="1" t="s">
        <v>1419</v>
      </c>
      <c r="K636" s="7">
        <v>43363.656342801369</v>
      </c>
      <c r="L636" s="1"/>
    </row>
    <row r="637" spans="1:12" hidden="1" x14ac:dyDescent="0.25">
      <c r="A637" s="4">
        <v>635</v>
      </c>
      <c r="B637" s="2" t="str">
        <f>HYPERLINK("https://my.zakupki.prom.ua/remote/dispatcher/state_purchase_view/8352143", "UA-2018-09-24-001505-c")</f>
        <v>UA-2018-09-24-001505-c</v>
      </c>
      <c r="C637" s="1" t="s">
        <v>822</v>
      </c>
      <c r="D637" s="1" t="s">
        <v>246</v>
      </c>
      <c r="E637" s="1" t="s">
        <v>390</v>
      </c>
      <c r="F637" s="5">
        <v>43367</v>
      </c>
      <c r="G637" s="1" t="s">
        <v>1398</v>
      </c>
      <c r="H637" s="6">
        <v>300000</v>
      </c>
      <c r="I637" s="1"/>
      <c r="J637" s="1" t="s">
        <v>1419</v>
      </c>
      <c r="K637" s="7">
        <v>43383.397562643971</v>
      </c>
      <c r="L637" s="1"/>
    </row>
    <row r="638" spans="1:12" hidden="1" x14ac:dyDescent="0.25">
      <c r="A638" s="4">
        <v>636</v>
      </c>
      <c r="B638" s="2" t="str">
        <f>HYPERLINK("https://my.zakupki.prom.ua/remote/dispatcher/state_purchase_view/7835413", "UA-2018-07-27-000615-b")</f>
        <v>UA-2018-07-27-000615-b</v>
      </c>
      <c r="C638" s="1" t="s">
        <v>967</v>
      </c>
      <c r="D638" s="1" t="s">
        <v>50</v>
      </c>
      <c r="E638" s="1" t="s">
        <v>488</v>
      </c>
      <c r="F638" s="5">
        <v>43308</v>
      </c>
      <c r="G638" s="1" t="s">
        <v>1397</v>
      </c>
      <c r="H638" s="6">
        <v>4279.97</v>
      </c>
      <c r="I638" s="1" t="s">
        <v>1196</v>
      </c>
      <c r="J638" s="1" t="s">
        <v>1405</v>
      </c>
      <c r="K638" s="7">
        <v>43308.498828839409</v>
      </c>
      <c r="L638" s="6">
        <v>4279.97</v>
      </c>
    </row>
    <row r="639" spans="1:12" hidden="1" x14ac:dyDescent="0.25">
      <c r="A639" s="4">
        <v>637</v>
      </c>
      <c r="B639" s="2" t="str">
        <f>HYPERLINK("https://my.zakupki.prom.ua/remote/dispatcher/state_purchase_view/8045763", "UA-2018-08-21-001259-c")</f>
        <v>UA-2018-08-21-001259-c</v>
      </c>
      <c r="C639" s="1" t="s">
        <v>547</v>
      </c>
      <c r="D639" s="1" t="s">
        <v>123</v>
      </c>
      <c r="E639" s="1" t="s">
        <v>390</v>
      </c>
      <c r="F639" s="5">
        <v>43333</v>
      </c>
      <c r="G639" s="7">
        <v>43349.480381944442</v>
      </c>
      <c r="H639" s="6">
        <v>940500</v>
      </c>
      <c r="I639" s="1" t="s">
        <v>1184</v>
      </c>
      <c r="J639" s="1" t="s">
        <v>1405</v>
      </c>
      <c r="K639" s="7">
        <v>43367.721681554875</v>
      </c>
      <c r="L639" s="6">
        <v>940450</v>
      </c>
    </row>
    <row r="640" spans="1:12" hidden="1" x14ac:dyDescent="0.25">
      <c r="A640" s="4">
        <v>638</v>
      </c>
      <c r="B640" s="2" t="str">
        <f>HYPERLINK("https://my.zakupki.prom.ua/remote/dispatcher/state_purchase_view/11812874", "UA-2019-06-04-001950-b")</f>
        <v>UA-2019-06-04-001950-b</v>
      </c>
      <c r="C640" s="1" t="s">
        <v>413</v>
      </c>
      <c r="D640" s="1" t="s">
        <v>108</v>
      </c>
      <c r="E640" s="1" t="s">
        <v>470</v>
      </c>
      <c r="F640" s="5">
        <v>43620</v>
      </c>
      <c r="G640" s="1" t="s">
        <v>1398</v>
      </c>
      <c r="H640" s="6">
        <v>3312</v>
      </c>
      <c r="I640" s="1" t="s">
        <v>313</v>
      </c>
      <c r="J640" s="1" t="s">
        <v>1405</v>
      </c>
      <c r="K640" s="7">
        <v>43635.658864747653</v>
      </c>
      <c r="L640" s="6">
        <v>3312</v>
      </c>
    </row>
    <row r="641" spans="1:12" hidden="1" x14ac:dyDescent="0.25">
      <c r="A641" s="4">
        <v>639</v>
      </c>
      <c r="B641" s="2" t="str">
        <f>HYPERLINK("https://my.zakupki.prom.ua/remote/dispatcher/state_purchase_view/11299060", "UA-2019-04-15-000528-a")</f>
        <v>UA-2019-04-15-000528-a</v>
      </c>
      <c r="C641" s="1" t="s">
        <v>1051</v>
      </c>
      <c r="D641" s="1" t="s">
        <v>30</v>
      </c>
      <c r="E641" s="1" t="s">
        <v>390</v>
      </c>
      <c r="F641" s="5">
        <v>43570</v>
      </c>
      <c r="G641" s="7">
        <v>43587.646087962959</v>
      </c>
      <c r="H641" s="6">
        <v>106326</v>
      </c>
      <c r="I641" s="1" t="s">
        <v>1244</v>
      </c>
      <c r="J641" s="1" t="s">
        <v>1405</v>
      </c>
      <c r="K641" s="7">
        <v>43605.415919025916</v>
      </c>
      <c r="L641" s="6">
        <v>106276</v>
      </c>
    </row>
    <row r="642" spans="1:12" hidden="1" x14ac:dyDescent="0.25">
      <c r="A642" s="4">
        <v>640</v>
      </c>
      <c r="B642" s="2" t="str">
        <f>HYPERLINK("https://my.zakupki.prom.ua/remote/dispatcher/state_purchase_view/1204768", "UA-2016-12-15-000807-b")</f>
        <v>UA-2016-12-15-000807-b</v>
      </c>
      <c r="C642" s="1" t="s">
        <v>369</v>
      </c>
      <c r="D642" s="1" t="s">
        <v>219</v>
      </c>
      <c r="E642" s="1" t="s">
        <v>470</v>
      </c>
      <c r="F642" s="5">
        <v>42719</v>
      </c>
      <c r="G642" s="7">
        <v>42730.535613425927</v>
      </c>
      <c r="H642" s="6">
        <v>850000</v>
      </c>
      <c r="I642" s="1" t="s">
        <v>1360</v>
      </c>
      <c r="J642" s="1" t="s">
        <v>1405</v>
      </c>
      <c r="K642" s="7">
        <v>42755.572258757224</v>
      </c>
      <c r="L642" s="6">
        <v>709500</v>
      </c>
    </row>
    <row r="643" spans="1:12" hidden="1" x14ac:dyDescent="0.25">
      <c r="A643" s="4">
        <v>641</v>
      </c>
      <c r="B643" s="2" t="str">
        <f>HYPERLINK("https://my.zakupki.prom.ua/remote/dispatcher/state_purchase_view/504307", "UA-2016-09-20-001573-c")</f>
        <v>UA-2016-09-20-001573-c</v>
      </c>
      <c r="C643" s="1" t="s">
        <v>977</v>
      </c>
      <c r="D643" s="1" t="s">
        <v>240</v>
      </c>
      <c r="E643" s="1" t="s">
        <v>470</v>
      </c>
      <c r="F643" s="5">
        <v>42633</v>
      </c>
      <c r="G643" s="7">
        <v>42642.595289351855</v>
      </c>
      <c r="H643" s="6">
        <v>90000</v>
      </c>
      <c r="I643" s="1" t="s">
        <v>1186</v>
      </c>
      <c r="J643" s="1" t="s">
        <v>1405</v>
      </c>
      <c r="K643" s="7">
        <v>42650.600869490416</v>
      </c>
      <c r="L643" s="6">
        <v>75000</v>
      </c>
    </row>
    <row r="644" spans="1:12" hidden="1" x14ac:dyDescent="0.25">
      <c r="A644" s="4">
        <v>642</v>
      </c>
      <c r="B644" s="2" t="str">
        <f>HYPERLINK("https://my.zakupki.prom.ua/remote/dispatcher/state_purchase_view/748661", "UA-2016-10-28-001077-a")</f>
        <v>UA-2016-10-28-001077-a</v>
      </c>
      <c r="C644" s="1" t="s">
        <v>437</v>
      </c>
      <c r="D644" s="1" t="s">
        <v>76</v>
      </c>
      <c r="E644" s="1" t="s">
        <v>470</v>
      </c>
      <c r="F644" s="5">
        <v>42671</v>
      </c>
      <c r="G644" s="1" t="s">
        <v>1398</v>
      </c>
      <c r="H644" s="6">
        <v>4200</v>
      </c>
      <c r="I644" s="1"/>
      <c r="J644" s="1" t="s">
        <v>1406</v>
      </c>
      <c r="K644" s="7">
        <v>42681.583473219238</v>
      </c>
      <c r="L644" s="1"/>
    </row>
    <row r="645" spans="1:12" hidden="1" x14ac:dyDescent="0.25">
      <c r="A645" s="4">
        <v>643</v>
      </c>
      <c r="B645" s="2" t="str">
        <f>HYPERLINK("https://my.zakupki.prom.ua/remote/dispatcher/state_purchase_view/1763311", "UA-2017-01-25-002011-b")</f>
        <v>UA-2017-01-25-002011-b</v>
      </c>
      <c r="C645" s="1" t="s">
        <v>400</v>
      </c>
      <c r="D645" s="1" t="s">
        <v>42</v>
      </c>
      <c r="E645" s="1" t="s">
        <v>470</v>
      </c>
      <c r="F645" s="5">
        <v>42760</v>
      </c>
      <c r="G645" s="7">
        <v>42772.527256944442</v>
      </c>
      <c r="H645" s="6">
        <v>41997</v>
      </c>
      <c r="I645" s="1" t="s">
        <v>449</v>
      </c>
      <c r="J645" s="1" t="s">
        <v>1405</v>
      </c>
      <c r="K645" s="7">
        <v>42809.621749354883</v>
      </c>
      <c r="L645" s="6">
        <v>41787</v>
      </c>
    </row>
    <row r="646" spans="1:12" hidden="1" x14ac:dyDescent="0.25">
      <c r="A646" s="4">
        <v>644</v>
      </c>
      <c r="B646" s="2" t="str">
        <f>HYPERLINK("https://my.zakupki.prom.ua/remote/dispatcher/state_purchase_view/2217855", "UA-2017-02-20-001427-c")</f>
        <v>UA-2017-02-20-001427-c</v>
      </c>
      <c r="C646" s="1" t="s">
        <v>1038</v>
      </c>
      <c r="D646" s="1" t="s">
        <v>30</v>
      </c>
      <c r="E646" s="1" t="s">
        <v>470</v>
      </c>
      <c r="F646" s="5">
        <v>42786</v>
      </c>
      <c r="G646" s="1" t="s">
        <v>1398</v>
      </c>
      <c r="H646" s="6">
        <v>169200</v>
      </c>
      <c r="I646" s="1" t="s">
        <v>1211</v>
      </c>
      <c r="J646" s="1" t="s">
        <v>1405</v>
      </c>
      <c r="K646" s="7">
        <v>42797.409508866032</v>
      </c>
      <c r="L646" s="6">
        <v>169200</v>
      </c>
    </row>
    <row r="647" spans="1:12" hidden="1" x14ac:dyDescent="0.25">
      <c r="A647" s="4">
        <v>645</v>
      </c>
      <c r="B647" s="2" t="str">
        <f>HYPERLINK("https://my.zakupki.prom.ua/remote/dispatcher/state_purchase_view/2223795", "UA-2017-02-20-002216-c")</f>
        <v>UA-2017-02-20-002216-c</v>
      </c>
      <c r="C647" s="1" t="s">
        <v>605</v>
      </c>
      <c r="D647" s="1" t="s">
        <v>35</v>
      </c>
      <c r="E647" s="1" t="s">
        <v>470</v>
      </c>
      <c r="F647" s="5">
        <v>42786</v>
      </c>
      <c r="G647" s="7">
        <v>42796.505833333336</v>
      </c>
      <c r="H647" s="6">
        <v>18495</v>
      </c>
      <c r="I647" s="1" t="s">
        <v>449</v>
      </c>
      <c r="J647" s="1" t="s">
        <v>1405</v>
      </c>
      <c r="K647" s="7">
        <v>42807.540349605246</v>
      </c>
      <c r="L647" s="6">
        <v>18403.2</v>
      </c>
    </row>
    <row r="648" spans="1:12" hidden="1" x14ac:dyDescent="0.25">
      <c r="A648" s="4">
        <v>646</v>
      </c>
      <c r="B648" s="2" t="str">
        <f>HYPERLINK("https://my.zakupki.prom.ua/remote/dispatcher/state_purchase_view/1927420", "UA-2017-02-01-002411-b")</f>
        <v>UA-2017-02-01-002411-b</v>
      </c>
      <c r="C648" s="1" t="s">
        <v>747</v>
      </c>
      <c r="D648" s="1" t="s">
        <v>267</v>
      </c>
      <c r="E648" s="1" t="s">
        <v>470</v>
      </c>
      <c r="F648" s="5">
        <v>42767</v>
      </c>
      <c r="G648" s="7">
        <v>42776.651319444441</v>
      </c>
      <c r="H648" s="6">
        <v>199997</v>
      </c>
      <c r="I648" s="1" t="s">
        <v>1129</v>
      </c>
      <c r="J648" s="1" t="s">
        <v>1405</v>
      </c>
      <c r="K648" s="7">
        <v>42782.428690502289</v>
      </c>
      <c r="L648" s="6">
        <v>198997</v>
      </c>
    </row>
    <row r="649" spans="1:12" hidden="1" x14ac:dyDescent="0.25">
      <c r="A649" s="4">
        <v>647</v>
      </c>
      <c r="B649" s="2" t="str">
        <f>HYPERLINK("https://my.zakupki.prom.ua/remote/dispatcher/state_purchase_view/6627417", "UA-2018-03-23-002118-b")</f>
        <v>UA-2018-03-23-002118-b</v>
      </c>
      <c r="C649" s="1" t="s">
        <v>731</v>
      </c>
      <c r="D649" s="1" t="s">
        <v>148</v>
      </c>
      <c r="E649" s="1" t="s">
        <v>470</v>
      </c>
      <c r="F649" s="5">
        <v>43182</v>
      </c>
      <c r="G649" s="1" t="s">
        <v>1398</v>
      </c>
      <c r="H649" s="6">
        <v>199000</v>
      </c>
      <c r="I649" s="1" t="s">
        <v>1327</v>
      </c>
      <c r="J649" s="1" t="s">
        <v>1405</v>
      </c>
      <c r="K649" s="7">
        <v>43203.629912119482</v>
      </c>
      <c r="L649" s="6">
        <v>199000</v>
      </c>
    </row>
    <row r="650" spans="1:12" hidden="1" x14ac:dyDescent="0.25">
      <c r="A650" s="4">
        <v>648</v>
      </c>
      <c r="B650" s="2" t="str">
        <f>HYPERLINK("https://my.zakupki.prom.ua/remote/dispatcher/state_purchase_view/8655522", "UA-2018-10-25-000405-c")</f>
        <v>UA-2018-10-25-000405-c</v>
      </c>
      <c r="C650" s="1" t="s">
        <v>378</v>
      </c>
      <c r="D650" s="1" t="s">
        <v>133</v>
      </c>
      <c r="E650" s="1" t="s">
        <v>488</v>
      </c>
      <c r="F650" s="5">
        <v>43398</v>
      </c>
      <c r="G650" s="1" t="s">
        <v>1397</v>
      </c>
      <c r="H650" s="6">
        <v>72604.78</v>
      </c>
      <c r="I650" s="1" t="s">
        <v>1210</v>
      </c>
      <c r="J650" s="1" t="s">
        <v>1405</v>
      </c>
      <c r="K650" s="7">
        <v>43398.433441982816</v>
      </c>
      <c r="L650" s="6">
        <v>72604.78</v>
      </c>
    </row>
    <row r="651" spans="1:12" hidden="1" x14ac:dyDescent="0.25">
      <c r="A651" s="4">
        <v>649</v>
      </c>
      <c r="B651" s="2" t="str">
        <f>HYPERLINK("https://my.zakupki.prom.ua/remote/dispatcher/state_purchase_view/8406381", "UA-2018-09-28-001760-c")</f>
        <v>UA-2018-09-28-001760-c</v>
      </c>
      <c r="C651" s="1" t="s">
        <v>1280</v>
      </c>
      <c r="D651" s="1" t="s">
        <v>111</v>
      </c>
      <c r="E651" s="1" t="s">
        <v>390</v>
      </c>
      <c r="F651" s="5">
        <v>43371</v>
      </c>
      <c r="G651" s="7">
        <v>43389.572430555556</v>
      </c>
      <c r="H651" s="6">
        <v>124000</v>
      </c>
      <c r="I651" s="1" t="s">
        <v>1331</v>
      </c>
      <c r="J651" s="1" t="s">
        <v>1405</v>
      </c>
      <c r="K651" s="7">
        <v>43406.454278998193</v>
      </c>
      <c r="L651" s="6">
        <v>120000</v>
      </c>
    </row>
    <row r="652" spans="1:12" hidden="1" x14ac:dyDescent="0.25">
      <c r="A652" s="4">
        <v>650</v>
      </c>
      <c r="B652" s="2" t="str">
        <f>HYPERLINK("https://my.zakupki.prom.ua/remote/dispatcher/state_purchase_view/8414351", "UA-2018-10-01-001049-c")</f>
        <v>UA-2018-10-01-001049-c</v>
      </c>
      <c r="C652" s="1" t="s">
        <v>619</v>
      </c>
      <c r="D652" s="1" t="s">
        <v>129</v>
      </c>
      <c r="E652" s="1" t="s">
        <v>488</v>
      </c>
      <c r="F652" s="5">
        <v>43374</v>
      </c>
      <c r="G652" s="1" t="s">
        <v>1397</v>
      </c>
      <c r="H652" s="6">
        <v>130710</v>
      </c>
      <c r="I652" s="1" t="s">
        <v>1194</v>
      </c>
      <c r="J652" s="1" t="s">
        <v>1405</v>
      </c>
      <c r="K652" s="7">
        <v>43374.600192294238</v>
      </c>
      <c r="L652" s="6">
        <v>130710</v>
      </c>
    </row>
    <row r="653" spans="1:12" hidden="1" x14ac:dyDescent="0.25">
      <c r="A653" s="4">
        <v>651</v>
      </c>
      <c r="B653" s="2" t="str">
        <f>HYPERLINK("https://my.zakupki.prom.ua/remote/dispatcher/state_purchase_view/7977371", "UA-2018-08-14-000200-b")</f>
        <v>UA-2018-08-14-000200-b</v>
      </c>
      <c r="C653" s="1" t="s">
        <v>1015</v>
      </c>
      <c r="D653" s="1" t="s">
        <v>226</v>
      </c>
      <c r="E653" s="1" t="s">
        <v>488</v>
      </c>
      <c r="F653" s="5">
        <v>43326</v>
      </c>
      <c r="G653" s="1" t="s">
        <v>1397</v>
      </c>
      <c r="H653" s="6">
        <v>458694.61</v>
      </c>
      <c r="I653" s="1" t="s">
        <v>708</v>
      </c>
      <c r="J653" s="1" t="s">
        <v>1405</v>
      </c>
      <c r="K653" s="7">
        <v>43326.406121151551</v>
      </c>
      <c r="L653" s="6">
        <v>458694.61</v>
      </c>
    </row>
    <row r="654" spans="1:12" hidden="1" x14ac:dyDescent="0.25">
      <c r="A654" s="4">
        <v>652</v>
      </c>
      <c r="B654" s="2" t="str">
        <f>HYPERLINK("https://my.zakupki.prom.ua/remote/dispatcher/state_purchase_view/9832930", "UA-2019-01-16-000923-c")</f>
        <v>UA-2019-01-16-000923-c</v>
      </c>
      <c r="C654" s="1" t="s">
        <v>574</v>
      </c>
      <c r="D654" s="1" t="s">
        <v>130</v>
      </c>
      <c r="E654" s="1" t="s">
        <v>470</v>
      </c>
      <c r="F654" s="5">
        <v>43481</v>
      </c>
      <c r="G654" s="7">
        <v>43490.640810185185</v>
      </c>
      <c r="H654" s="6">
        <v>80000</v>
      </c>
      <c r="I654" s="1" t="s">
        <v>1331</v>
      </c>
      <c r="J654" s="1" t="s">
        <v>1405</v>
      </c>
      <c r="K654" s="7">
        <v>43496.571949635778</v>
      </c>
      <c r="L654" s="6">
        <v>80000</v>
      </c>
    </row>
    <row r="655" spans="1:12" hidden="1" x14ac:dyDescent="0.25">
      <c r="A655" s="4">
        <v>653</v>
      </c>
      <c r="B655" s="2" t="str">
        <f>HYPERLINK("https://my.zakupki.prom.ua/remote/dispatcher/state_purchase_view/13786717", "UA-2019-11-29-001141-b")</f>
        <v>UA-2019-11-29-001141-b</v>
      </c>
      <c r="C655" s="1" t="s">
        <v>1082</v>
      </c>
      <c r="D655" s="1" t="s">
        <v>53</v>
      </c>
      <c r="E655" s="1" t="s">
        <v>470</v>
      </c>
      <c r="F655" s="5">
        <v>43798</v>
      </c>
      <c r="G655" s="1" t="s">
        <v>1398</v>
      </c>
      <c r="H655" s="6">
        <v>3873</v>
      </c>
      <c r="I655" s="1"/>
      <c r="J655" s="1" t="s">
        <v>1419</v>
      </c>
      <c r="K655" s="7">
        <v>43803.653506674607</v>
      </c>
      <c r="L655" s="1"/>
    </row>
    <row r="656" spans="1:12" hidden="1" x14ac:dyDescent="0.25">
      <c r="A656" s="4">
        <v>654</v>
      </c>
      <c r="B656" s="2" t="str">
        <f>HYPERLINK("https://my.zakupki.prom.ua/remote/dispatcher/state_purchase_view/4266670", "UA-2017-10-10-002017-a")</f>
        <v>UA-2017-10-10-002017-a</v>
      </c>
      <c r="C656" s="1" t="s">
        <v>840</v>
      </c>
      <c r="D656" s="1" t="s">
        <v>241</v>
      </c>
      <c r="E656" s="1" t="s">
        <v>390</v>
      </c>
      <c r="F656" s="5">
        <v>43018</v>
      </c>
      <c r="G656" s="7">
        <v>43034.593449074076</v>
      </c>
      <c r="H656" s="6">
        <v>245000</v>
      </c>
      <c r="I656" s="1" t="s">
        <v>1180</v>
      </c>
      <c r="J656" s="1" t="s">
        <v>1405</v>
      </c>
      <c r="K656" s="7">
        <v>43052.452479007639</v>
      </c>
      <c r="L656" s="6">
        <v>240513</v>
      </c>
    </row>
    <row r="657" spans="1:12" hidden="1" x14ac:dyDescent="0.25">
      <c r="A657" s="4">
        <v>655</v>
      </c>
      <c r="B657" s="2" t="str">
        <f>HYPERLINK("https://my.zakupki.prom.ua/remote/dispatcher/state_purchase_view/3351601", "UA-2017-06-16-001553-b")</f>
        <v>UA-2017-06-16-001553-b</v>
      </c>
      <c r="C657" s="1" t="s">
        <v>532</v>
      </c>
      <c r="D657" s="1" t="s">
        <v>75</v>
      </c>
      <c r="E657" s="1" t="s">
        <v>470</v>
      </c>
      <c r="F657" s="5">
        <v>42902</v>
      </c>
      <c r="G657" s="7">
        <v>42912.467361111114</v>
      </c>
      <c r="H657" s="6">
        <v>4618</v>
      </c>
      <c r="I657" s="1" t="s">
        <v>1261</v>
      </c>
      <c r="J657" s="1" t="s">
        <v>1405</v>
      </c>
      <c r="K657" s="7">
        <v>42921.609126921328</v>
      </c>
      <c r="L657" s="6">
        <v>2764.2</v>
      </c>
    </row>
    <row r="658" spans="1:12" hidden="1" x14ac:dyDescent="0.25">
      <c r="A658" s="4">
        <v>656</v>
      </c>
      <c r="B658" s="2" t="str">
        <f>HYPERLINK("https://my.zakupki.prom.ua/remote/dispatcher/state_purchase_view/4163122", "UA-2017-09-28-000285-a")</f>
        <v>UA-2017-09-28-000285-a</v>
      </c>
      <c r="C658" s="1" t="s">
        <v>590</v>
      </c>
      <c r="D658" s="1" t="s">
        <v>265</v>
      </c>
      <c r="E658" s="1" t="s">
        <v>390</v>
      </c>
      <c r="F658" s="5">
        <v>43006</v>
      </c>
      <c r="G658" s="7">
        <v>43025.557280092595</v>
      </c>
      <c r="H658" s="6">
        <v>2600000</v>
      </c>
      <c r="I658" s="1" t="s">
        <v>1301</v>
      </c>
      <c r="J658" s="1" t="s">
        <v>1404</v>
      </c>
      <c r="K658" s="7">
        <v>43045.490779883934</v>
      </c>
      <c r="L658" s="6">
        <v>796000</v>
      </c>
    </row>
    <row r="659" spans="1:12" hidden="1" x14ac:dyDescent="0.25">
      <c r="A659" s="4">
        <v>657</v>
      </c>
      <c r="B659" s="2" t="str">
        <f>HYPERLINK("https://my.zakupki.prom.ua/remote/dispatcher/state_purchase_view/4163122", "UA-2017-09-28-000285-a")</f>
        <v>UA-2017-09-28-000285-a</v>
      </c>
      <c r="C659" s="1" t="s">
        <v>593</v>
      </c>
      <c r="D659" s="1" t="s">
        <v>265</v>
      </c>
      <c r="E659" s="1" t="s">
        <v>390</v>
      </c>
      <c r="F659" s="5">
        <v>43006</v>
      </c>
      <c r="G659" s="1" t="s">
        <v>1398</v>
      </c>
      <c r="H659" s="6">
        <v>2600000</v>
      </c>
      <c r="I659" s="1"/>
      <c r="J659" s="1" t="s">
        <v>1406</v>
      </c>
      <c r="K659" s="7">
        <v>43021.459210430883</v>
      </c>
      <c r="L659" s="1"/>
    </row>
    <row r="660" spans="1:12" hidden="1" x14ac:dyDescent="0.25">
      <c r="A660" s="4">
        <v>658</v>
      </c>
      <c r="B660" s="2" t="str">
        <f>HYPERLINK("https://my.zakupki.prom.ua/remote/dispatcher/state_purchase_view/6611039", "UA-2018-03-22-001884-b")</f>
        <v>UA-2018-03-22-001884-b</v>
      </c>
      <c r="C660" s="1" t="s">
        <v>1371</v>
      </c>
      <c r="D660" s="1" t="s">
        <v>126</v>
      </c>
      <c r="E660" s="1" t="s">
        <v>470</v>
      </c>
      <c r="F660" s="5">
        <v>43181</v>
      </c>
      <c r="G660" s="7">
        <v>43192.602905092594</v>
      </c>
      <c r="H660" s="6">
        <v>42000</v>
      </c>
      <c r="I660" s="1" t="s">
        <v>1157</v>
      </c>
      <c r="J660" s="1" t="s">
        <v>1405</v>
      </c>
      <c r="K660" s="7">
        <v>43201.447707614512</v>
      </c>
      <c r="L660" s="6">
        <v>30745</v>
      </c>
    </row>
    <row r="661" spans="1:12" hidden="1" x14ac:dyDescent="0.25">
      <c r="A661" s="4">
        <v>659</v>
      </c>
      <c r="B661" s="2" t="str">
        <f>HYPERLINK("https://my.zakupki.prom.ua/remote/dispatcher/state_purchase_view/6601033", "UA-2018-03-22-000393-b")</f>
        <v>UA-2018-03-22-000393-b</v>
      </c>
      <c r="C661" s="1" t="s">
        <v>836</v>
      </c>
      <c r="D661" s="1" t="s">
        <v>265</v>
      </c>
      <c r="E661" s="1" t="s">
        <v>390</v>
      </c>
      <c r="F661" s="5">
        <v>43181</v>
      </c>
      <c r="G661" s="7">
        <v>43200.532777777778</v>
      </c>
      <c r="H661" s="6">
        <v>2150000</v>
      </c>
      <c r="I661" s="1" t="s">
        <v>1338</v>
      </c>
      <c r="J661" s="1" t="s">
        <v>1405</v>
      </c>
      <c r="K661" s="7">
        <v>43213.621378885691</v>
      </c>
      <c r="L661" s="6">
        <v>2100000</v>
      </c>
    </row>
    <row r="662" spans="1:12" hidden="1" x14ac:dyDescent="0.25">
      <c r="A662" s="4">
        <v>660</v>
      </c>
      <c r="B662" s="2" t="str">
        <f>HYPERLINK("https://my.zakupki.prom.ua/remote/dispatcher/state_purchase_view/6052893", "UA-2018-02-07-001886-a")</f>
        <v>UA-2018-02-07-001886-a</v>
      </c>
      <c r="C662" s="1" t="s">
        <v>786</v>
      </c>
      <c r="D662" s="1" t="s">
        <v>200</v>
      </c>
      <c r="E662" s="1" t="s">
        <v>470</v>
      </c>
      <c r="F662" s="5">
        <v>43138</v>
      </c>
      <c r="G662" s="1" t="s">
        <v>1398</v>
      </c>
      <c r="H662" s="6">
        <v>50000</v>
      </c>
      <c r="I662" s="1" t="s">
        <v>1320</v>
      </c>
      <c r="J662" s="1" t="s">
        <v>1405</v>
      </c>
      <c r="K662" s="7">
        <v>43157.613339731004</v>
      </c>
      <c r="L662" s="6">
        <v>49480</v>
      </c>
    </row>
    <row r="663" spans="1:12" hidden="1" x14ac:dyDescent="0.25">
      <c r="A663" s="4">
        <v>661</v>
      </c>
      <c r="B663" s="2" t="str">
        <f>HYPERLINK("https://my.zakupki.prom.ua/remote/dispatcher/state_purchase_view/2879927", "UA-2017-04-20-001621-b")</f>
        <v>UA-2017-04-20-001621-b</v>
      </c>
      <c r="C663" s="1" t="s">
        <v>1284</v>
      </c>
      <c r="D663" s="1" t="s">
        <v>111</v>
      </c>
      <c r="E663" s="1" t="s">
        <v>470</v>
      </c>
      <c r="F663" s="5">
        <v>42845</v>
      </c>
      <c r="G663" s="1" t="s">
        <v>1398</v>
      </c>
      <c r="H663" s="6">
        <v>11994</v>
      </c>
      <c r="I663" s="1"/>
      <c r="J663" s="1" t="s">
        <v>1406</v>
      </c>
      <c r="K663" s="7">
        <v>42851.711552870431</v>
      </c>
      <c r="L663" s="1"/>
    </row>
    <row r="664" spans="1:12" hidden="1" x14ac:dyDescent="0.25">
      <c r="A664" s="4">
        <v>662</v>
      </c>
      <c r="B664" s="2" t="str">
        <f>HYPERLINK("https://my.zakupki.prom.ua/remote/dispatcher/state_purchase_view/7152800", "UA-2018-05-17-000744-a")</f>
        <v>UA-2018-05-17-000744-a</v>
      </c>
      <c r="C664" s="1" t="s">
        <v>864</v>
      </c>
      <c r="D664" s="1" t="s">
        <v>254</v>
      </c>
      <c r="E664" s="1" t="s">
        <v>390</v>
      </c>
      <c r="F664" s="5">
        <v>43237</v>
      </c>
      <c r="G664" s="7">
        <v>43256.493402777778</v>
      </c>
      <c r="H664" s="6">
        <v>1046000</v>
      </c>
      <c r="I664" s="1" t="s">
        <v>1135</v>
      </c>
      <c r="J664" s="1" t="s">
        <v>1405</v>
      </c>
      <c r="K664" s="7">
        <v>43276.686338105304</v>
      </c>
      <c r="L664" s="6">
        <v>1028200</v>
      </c>
    </row>
    <row r="665" spans="1:12" hidden="1" x14ac:dyDescent="0.25">
      <c r="A665" s="4">
        <v>663</v>
      </c>
      <c r="B665" s="2" t="str">
        <f>HYPERLINK("https://my.zakupki.prom.ua/remote/dispatcher/state_purchase_view/7153126", "UA-2018-05-17-000795-a")</f>
        <v>UA-2018-05-17-000795-a</v>
      </c>
      <c r="C665" s="1" t="s">
        <v>758</v>
      </c>
      <c r="D665" s="1" t="s">
        <v>233</v>
      </c>
      <c r="E665" s="1" t="s">
        <v>390</v>
      </c>
      <c r="F665" s="5">
        <v>43237</v>
      </c>
      <c r="G665" s="7">
        <v>43256.559664351851</v>
      </c>
      <c r="H665" s="6">
        <v>1886441</v>
      </c>
      <c r="I665" s="1" t="s">
        <v>1135</v>
      </c>
      <c r="J665" s="1" t="s">
        <v>1405</v>
      </c>
      <c r="K665" s="7">
        <v>43284.740105194789</v>
      </c>
      <c r="L665" s="6">
        <v>1750000</v>
      </c>
    </row>
    <row r="666" spans="1:12" hidden="1" x14ac:dyDescent="0.25">
      <c r="A666" s="4">
        <v>664</v>
      </c>
      <c r="B666" s="2" t="str">
        <f>HYPERLINK("https://my.zakupki.prom.ua/remote/dispatcher/state_purchase_view/4939263", "UA-2017-12-11-000536-c")</f>
        <v>UA-2017-12-11-000536-c</v>
      </c>
      <c r="C666" s="1" t="s">
        <v>852</v>
      </c>
      <c r="D666" s="1" t="s">
        <v>228</v>
      </c>
      <c r="E666" s="1" t="s">
        <v>470</v>
      </c>
      <c r="F666" s="5">
        <v>43080</v>
      </c>
      <c r="G666" s="1" t="s">
        <v>1398</v>
      </c>
      <c r="H666" s="6">
        <v>50000</v>
      </c>
      <c r="I666" s="1" t="s">
        <v>1320</v>
      </c>
      <c r="J666" s="1" t="s">
        <v>1405</v>
      </c>
      <c r="K666" s="7">
        <v>43090.733526641889</v>
      </c>
      <c r="L666" s="6">
        <v>49760</v>
      </c>
    </row>
    <row r="667" spans="1:12" hidden="1" x14ac:dyDescent="0.25">
      <c r="A667" s="4">
        <v>665</v>
      </c>
      <c r="B667" s="2" t="str">
        <f>HYPERLINK("https://my.zakupki.prom.ua/remote/dispatcher/state_purchase_view/4626700", "UA-2017-11-15-003398-a")</f>
        <v>UA-2017-11-15-003398-a</v>
      </c>
      <c r="C667" s="1" t="s">
        <v>1280</v>
      </c>
      <c r="D667" s="1" t="s">
        <v>111</v>
      </c>
      <c r="E667" s="1" t="s">
        <v>390</v>
      </c>
      <c r="F667" s="5">
        <v>43054</v>
      </c>
      <c r="G667" s="7">
        <v>43070.642187500001</v>
      </c>
      <c r="H667" s="6">
        <v>137025</v>
      </c>
      <c r="I667" s="1" t="s">
        <v>1258</v>
      </c>
      <c r="J667" s="1" t="s">
        <v>1405</v>
      </c>
      <c r="K667" s="7">
        <v>43081.452053445901</v>
      </c>
      <c r="L667" s="6">
        <v>135000</v>
      </c>
    </row>
    <row r="668" spans="1:12" hidden="1" x14ac:dyDescent="0.25">
      <c r="A668" s="4">
        <v>666</v>
      </c>
      <c r="B668" s="2" t="str">
        <f>HYPERLINK("https://my.zakupki.prom.ua/remote/dispatcher/state_purchase_view/3726642", "UA-2017-08-07-000516-b")</f>
        <v>UA-2017-08-07-000516-b</v>
      </c>
      <c r="C668" s="1" t="s">
        <v>1271</v>
      </c>
      <c r="D668" s="1" t="s">
        <v>119</v>
      </c>
      <c r="E668" s="1" t="s">
        <v>390</v>
      </c>
      <c r="F668" s="5">
        <v>42954</v>
      </c>
      <c r="G668" s="7">
        <v>42975.642025462963</v>
      </c>
      <c r="H668" s="6">
        <v>491500</v>
      </c>
      <c r="I668" s="1" t="s">
        <v>1170</v>
      </c>
      <c r="J668" s="1" t="s">
        <v>1405</v>
      </c>
      <c r="K668" s="7">
        <v>42989.450536997399</v>
      </c>
      <c r="L668" s="6">
        <v>349500</v>
      </c>
    </row>
    <row r="669" spans="1:12" hidden="1" x14ac:dyDescent="0.25">
      <c r="A669" s="4">
        <v>667</v>
      </c>
      <c r="B669" s="2" t="str">
        <f>HYPERLINK("https://my.zakupki.prom.ua/remote/dispatcher/state_purchase_view/3727882", "UA-2017-08-07-000740-b")</f>
        <v>UA-2017-08-07-000740-b</v>
      </c>
      <c r="C669" s="1" t="s">
        <v>763</v>
      </c>
      <c r="D669" s="1" t="s">
        <v>233</v>
      </c>
      <c r="E669" s="1" t="s">
        <v>390</v>
      </c>
      <c r="F669" s="5">
        <v>42954</v>
      </c>
      <c r="G669" s="7">
        <v>42975.527129629627</v>
      </c>
      <c r="H669" s="6">
        <v>2300000</v>
      </c>
      <c r="I669" s="1" t="s">
        <v>1135</v>
      </c>
      <c r="J669" s="1" t="s">
        <v>1405</v>
      </c>
      <c r="K669" s="7">
        <v>42992.530578251142</v>
      </c>
      <c r="L669" s="6">
        <v>2294510.2799999998</v>
      </c>
    </row>
    <row r="670" spans="1:12" hidden="1" x14ac:dyDescent="0.25">
      <c r="A670" s="4">
        <v>668</v>
      </c>
      <c r="B670" s="2" t="str">
        <f>HYPERLINK("https://my.zakupki.prom.ua/remote/dispatcher/state_purchase_view/3991939", "UA-2017-09-08-002000-c")</f>
        <v>UA-2017-09-08-002000-c</v>
      </c>
      <c r="C670" s="1" t="s">
        <v>427</v>
      </c>
      <c r="D670" s="1" t="s">
        <v>165</v>
      </c>
      <c r="E670" s="1" t="s">
        <v>390</v>
      </c>
      <c r="F670" s="5">
        <v>42986</v>
      </c>
      <c r="G670" s="1" t="s">
        <v>1398</v>
      </c>
      <c r="H670" s="6">
        <v>2741560</v>
      </c>
      <c r="I670" s="1" t="s">
        <v>1121</v>
      </c>
      <c r="J670" s="1" t="s">
        <v>1419</v>
      </c>
      <c r="K670" s="7">
        <v>43007.573723175286</v>
      </c>
      <c r="L670" s="6">
        <v>2615011</v>
      </c>
    </row>
    <row r="671" spans="1:12" hidden="1" x14ac:dyDescent="0.25">
      <c r="A671" s="4">
        <v>669</v>
      </c>
      <c r="B671" s="2" t="str">
        <f>HYPERLINK("https://my.zakupki.prom.ua/remote/dispatcher/state_purchase_view/17568957", "UA-2020-07-01-000925-a")</f>
        <v>UA-2020-07-01-000925-a</v>
      </c>
      <c r="C671" s="1" t="s">
        <v>544</v>
      </c>
      <c r="D671" s="1" t="s">
        <v>172</v>
      </c>
      <c r="E671" s="1" t="s">
        <v>1086</v>
      </c>
      <c r="F671" s="5">
        <v>44013</v>
      </c>
      <c r="G671" s="1" t="s">
        <v>1398</v>
      </c>
      <c r="H671" s="6">
        <v>65000</v>
      </c>
      <c r="I671" s="1" t="s">
        <v>1331</v>
      </c>
      <c r="J671" s="1" t="s">
        <v>1405</v>
      </c>
      <c r="K671" s="7">
        <v>44027.660031667641</v>
      </c>
      <c r="L671" s="6">
        <v>65000</v>
      </c>
    </row>
    <row r="672" spans="1:12" hidden="1" x14ac:dyDescent="0.25">
      <c r="A672" s="4">
        <v>670</v>
      </c>
      <c r="B672" s="2" t="str">
        <f>HYPERLINK("https://my.zakupki.prom.ua/remote/dispatcher/state_purchase_view/17259840", "UA-2020-06-16-001336-c")</f>
        <v>UA-2020-06-16-001336-c</v>
      </c>
      <c r="C672" s="1" t="s">
        <v>673</v>
      </c>
      <c r="D672" s="1" t="s">
        <v>111</v>
      </c>
      <c r="E672" s="1" t="s">
        <v>470</v>
      </c>
      <c r="F672" s="5">
        <v>43998</v>
      </c>
      <c r="G672" s="1" t="s">
        <v>1398</v>
      </c>
      <c r="H672" s="6">
        <v>35000</v>
      </c>
      <c r="I672" s="1" t="s">
        <v>1313</v>
      </c>
      <c r="J672" s="1" t="s">
        <v>1405</v>
      </c>
      <c r="K672" s="7">
        <v>44019.574733519134</v>
      </c>
      <c r="L672" s="6">
        <v>34992</v>
      </c>
    </row>
    <row r="673" spans="1:12" hidden="1" x14ac:dyDescent="0.25">
      <c r="A673" s="4">
        <v>671</v>
      </c>
      <c r="B673" s="2" t="str">
        <f>HYPERLINK("https://my.zakupki.prom.ua/remote/dispatcher/state_purchase_view/19102495", "UA-2020-09-08-007787-b")</f>
        <v>UA-2020-09-08-007787-b</v>
      </c>
      <c r="C673" s="1" t="s">
        <v>375</v>
      </c>
      <c r="D673" s="1" t="s">
        <v>172</v>
      </c>
      <c r="E673" s="1" t="s">
        <v>1086</v>
      </c>
      <c r="F673" s="5">
        <v>44082</v>
      </c>
      <c r="G673" s="1" t="s">
        <v>1398</v>
      </c>
      <c r="H673" s="6">
        <v>141000</v>
      </c>
      <c r="I673" s="1" t="s">
        <v>1330</v>
      </c>
      <c r="J673" s="1" t="s">
        <v>1405</v>
      </c>
      <c r="K673" s="7">
        <v>44106.755007820961</v>
      </c>
      <c r="L673" s="6">
        <v>141000</v>
      </c>
    </row>
    <row r="674" spans="1:12" hidden="1" x14ac:dyDescent="0.25">
      <c r="A674" s="4">
        <v>672</v>
      </c>
      <c r="B674" s="2" t="str">
        <f>HYPERLINK("https://my.zakupki.prom.ua/remote/dispatcher/state_purchase_view/19655592", "UA-2020-09-28-005822-a")</f>
        <v>UA-2020-09-28-005822-a</v>
      </c>
      <c r="C674" s="1" t="s">
        <v>473</v>
      </c>
      <c r="D674" s="1" t="s">
        <v>66</v>
      </c>
      <c r="E674" s="1" t="s">
        <v>470</v>
      </c>
      <c r="F674" s="5">
        <v>44102</v>
      </c>
      <c r="G674" s="1" t="s">
        <v>1398</v>
      </c>
      <c r="H674" s="6">
        <v>48000</v>
      </c>
      <c r="I674" s="1" t="s">
        <v>1262</v>
      </c>
      <c r="J674" s="1" t="s">
        <v>1405</v>
      </c>
      <c r="K674" s="7">
        <v>44117.370438809725</v>
      </c>
      <c r="L674" s="6">
        <v>47998.2</v>
      </c>
    </row>
    <row r="675" spans="1:12" hidden="1" x14ac:dyDescent="0.25">
      <c r="A675" s="4">
        <v>673</v>
      </c>
      <c r="B675" s="2" t="str">
        <f>HYPERLINK("https://my.zakupki.prom.ua/remote/dispatcher/state_purchase_view/18947652", "UA-2020-09-02-006728-b")</f>
        <v>UA-2020-09-02-006728-b</v>
      </c>
      <c r="C675" s="1" t="s">
        <v>1102</v>
      </c>
      <c r="D675" s="1" t="s">
        <v>27</v>
      </c>
      <c r="E675" s="1" t="s">
        <v>470</v>
      </c>
      <c r="F675" s="5">
        <v>44076</v>
      </c>
      <c r="G675" s="1" t="s">
        <v>1398</v>
      </c>
      <c r="H675" s="6">
        <v>11485</v>
      </c>
      <c r="I675" s="1" t="s">
        <v>1329</v>
      </c>
      <c r="J675" s="1" t="s">
        <v>1405</v>
      </c>
      <c r="K675" s="7">
        <v>44090.604662695812</v>
      </c>
      <c r="L675" s="6">
        <v>11485</v>
      </c>
    </row>
    <row r="676" spans="1:12" hidden="1" x14ac:dyDescent="0.25">
      <c r="A676" s="4">
        <v>674</v>
      </c>
      <c r="B676" s="2" t="str">
        <f>HYPERLINK("https://my.zakupki.prom.ua/remote/dispatcher/state_purchase_view/18902176", "UA-2020-09-01-001495-b")</f>
        <v>UA-2020-09-01-001495-b</v>
      </c>
      <c r="C676" s="1" t="s">
        <v>769</v>
      </c>
      <c r="D676" s="1" t="s">
        <v>235</v>
      </c>
      <c r="E676" s="1" t="s">
        <v>390</v>
      </c>
      <c r="F676" s="5">
        <v>44075</v>
      </c>
      <c r="G676" s="7">
        <v>44099.550613425927</v>
      </c>
      <c r="H676" s="6">
        <v>540000</v>
      </c>
      <c r="I676" s="1" t="s">
        <v>1118</v>
      </c>
      <c r="J676" s="1" t="s">
        <v>1405</v>
      </c>
      <c r="K676" s="7">
        <v>44113.723906524501</v>
      </c>
      <c r="L676" s="6">
        <v>536738.4</v>
      </c>
    </row>
    <row r="677" spans="1:12" hidden="1" x14ac:dyDescent="0.25">
      <c r="A677" s="4">
        <v>675</v>
      </c>
      <c r="B677" s="2" t="str">
        <f>HYPERLINK("https://my.zakupki.prom.ua/remote/dispatcher/state_purchase_view/15466752", "UA-2020-02-25-001271-c")</f>
        <v>UA-2020-02-25-001271-c</v>
      </c>
      <c r="C677" s="1" t="s">
        <v>998</v>
      </c>
      <c r="D677" s="1" t="s">
        <v>220</v>
      </c>
      <c r="E677" s="1" t="s">
        <v>488</v>
      </c>
      <c r="F677" s="5">
        <v>43886</v>
      </c>
      <c r="G677" s="1" t="s">
        <v>1397</v>
      </c>
      <c r="H677" s="6">
        <v>440000</v>
      </c>
      <c r="I677" s="1" t="s">
        <v>697</v>
      </c>
      <c r="J677" s="1" t="s">
        <v>1405</v>
      </c>
      <c r="K677" s="7">
        <v>43886.57859821376</v>
      </c>
      <c r="L677" s="6">
        <v>440000</v>
      </c>
    </row>
    <row r="678" spans="1:12" hidden="1" x14ac:dyDescent="0.25">
      <c r="A678" s="4">
        <v>676</v>
      </c>
      <c r="B678" s="2" t="str">
        <f>HYPERLINK("https://my.zakupki.prom.ua/remote/dispatcher/state_purchase_view/14100564", "UA-2019-12-17-001052-b")</f>
        <v>UA-2019-12-17-001052-b</v>
      </c>
      <c r="C678" s="1" t="s">
        <v>1019</v>
      </c>
      <c r="D678" s="1" t="s">
        <v>226</v>
      </c>
      <c r="E678" s="1" t="s">
        <v>488</v>
      </c>
      <c r="F678" s="5">
        <v>43816</v>
      </c>
      <c r="G678" s="1" t="s">
        <v>1397</v>
      </c>
      <c r="H678" s="6">
        <v>474713.8</v>
      </c>
      <c r="I678" s="1" t="s">
        <v>601</v>
      </c>
      <c r="J678" s="1" t="s">
        <v>1405</v>
      </c>
      <c r="K678" s="7">
        <v>43816.437401389412</v>
      </c>
      <c r="L678" s="6">
        <v>474713.8</v>
      </c>
    </row>
    <row r="679" spans="1:12" hidden="1" x14ac:dyDescent="0.25">
      <c r="A679" s="4">
        <v>677</v>
      </c>
      <c r="B679" s="2" t="str">
        <f>HYPERLINK("https://my.zakupki.prom.ua/remote/dispatcher/state_purchase_view/16122191", "UA-2020-04-06-001106-b")</f>
        <v>UA-2020-04-06-001106-b</v>
      </c>
      <c r="C679" s="1" t="s">
        <v>340</v>
      </c>
      <c r="D679" s="1" t="s">
        <v>30</v>
      </c>
      <c r="E679" s="1" t="s">
        <v>390</v>
      </c>
      <c r="F679" s="5">
        <v>43927</v>
      </c>
      <c r="G679" s="7">
        <v>43943.51730324074</v>
      </c>
      <c r="H679" s="6">
        <v>50250</v>
      </c>
      <c r="I679" s="1" t="s">
        <v>1244</v>
      </c>
      <c r="J679" s="1" t="s">
        <v>1405</v>
      </c>
      <c r="K679" s="7">
        <v>43955.423050125559</v>
      </c>
      <c r="L679" s="6">
        <v>50230</v>
      </c>
    </row>
    <row r="680" spans="1:12" hidden="1" x14ac:dyDescent="0.25">
      <c r="A680" s="4">
        <v>678</v>
      </c>
      <c r="B680" s="2" t="str">
        <f>HYPERLINK("https://my.zakupki.prom.ua/remote/dispatcher/state_purchase_view/13191613", "UA-2019-10-16-001569-b")</f>
        <v>UA-2019-10-16-001569-b</v>
      </c>
      <c r="C680" s="1" t="s">
        <v>412</v>
      </c>
      <c r="D680" s="1" t="s">
        <v>176</v>
      </c>
      <c r="E680" s="1" t="s">
        <v>470</v>
      </c>
      <c r="F680" s="5">
        <v>43754</v>
      </c>
      <c r="G680" s="1" t="s">
        <v>1398</v>
      </c>
      <c r="H680" s="6">
        <v>3354</v>
      </c>
      <c r="I680" s="1" t="s">
        <v>313</v>
      </c>
      <c r="J680" s="1" t="s">
        <v>1405</v>
      </c>
      <c r="K680" s="7">
        <v>43773.522731146149</v>
      </c>
      <c r="L680" s="6">
        <v>3312</v>
      </c>
    </row>
    <row r="681" spans="1:12" hidden="1" x14ac:dyDescent="0.25">
      <c r="A681" s="4">
        <v>679</v>
      </c>
      <c r="B681" s="2" t="str">
        <f>HYPERLINK("https://my.zakupki.prom.ua/remote/dispatcher/state_purchase_view/14608395", "UA-2020-01-20-000551-c")</f>
        <v>UA-2020-01-20-000551-c</v>
      </c>
      <c r="C681" s="1" t="s">
        <v>1089</v>
      </c>
      <c r="D681" s="1" t="s">
        <v>168</v>
      </c>
      <c r="E681" s="1" t="s">
        <v>390</v>
      </c>
      <c r="F681" s="5">
        <v>43850</v>
      </c>
      <c r="G681" s="7">
        <v>43866.580370370371</v>
      </c>
      <c r="H681" s="6">
        <v>610000</v>
      </c>
      <c r="I681" s="1" t="s">
        <v>1331</v>
      </c>
      <c r="J681" s="1" t="s">
        <v>1405</v>
      </c>
      <c r="K681" s="7">
        <v>43879.545680617499</v>
      </c>
      <c r="L681" s="6">
        <v>601000</v>
      </c>
    </row>
    <row r="682" spans="1:12" hidden="1" x14ac:dyDescent="0.25">
      <c r="A682" s="4">
        <v>680</v>
      </c>
      <c r="B682" s="2" t="str">
        <f>HYPERLINK("https://my.zakupki.prom.ua/remote/dispatcher/state_purchase_view/20912284", "UA-2020-11-10-001028-c")</f>
        <v>UA-2020-11-10-001028-c</v>
      </c>
      <c r="C682" s="1" t="s">
        <v>638</v>
      </c>
      <c r="D682" s="1" t="s">
        <v>191</v>
      </c>
      <c r="E682" s="1" t="s">
        <v>390</v>
      </c>
      <c r="F682" s="5">
        <v>44145</v>
      </c>
      <c r="G682" s="7">
        <v>44162.619409722225</v>
      </c>
      <c r="H682" s="6">
        <v>203100</v>
      </c>
      <c r="I682" s="1" t="s">
        <v>1340</v>
      </c>
      <c r="J682" s="1" t="s">
        <v>1405</v>
      </c>
      <c r="K682" s="7">
        <v>44176.621300422281</v>
      </c>
      <c r="L682" s="6">
        <v>200000</v>
      </c>
    </row>
    <row r="683" spans="1:12" hidden="1" x14ac:dyDescent="0.25">
      <c r="A683" s="4">
        <v>681</v>
      </c>
      <c r="B683" s="2" t="str">
        <f>HYPERLINK("https://my.zakupki.prom.ua/remote/dispatcher/state_purchase_view/21335768", "UA-2020-11-23-008356-c")</f>
        <v>UA-2020-11-23-008356-c</v>
      </c>
      <c r="C683" s="1" t="s">
        <v>651</v>
      </c>
      <c r="D683" s="1" t="s">
        <v>59</v>
      </c>
      <c r="E683" s="1" t="s">
        <v>1086</v>
      </c>
      <c r="F683" s="5">
        <v>44158</v>
      </c>
      <c r="G683" s="1" t="s">
        <v>1398</v>
      </c>
      <c r="H683" s="6">
        <v>57977</v>
      </c>
      <c r="I683" s="1"/>
      <c r="J683" s="1" t="s">
        <v>1419</v>
      </c>
      <c r="K683" s="7">
        <v>44169.460318458092</v>
      </c>
      <c r="L683" s="1"/>
    </row>
    <row r="684" spans="1:12" hidden="1" x14ac:dyDescent="0.25">
      <c r="A684" s="4">
        <v>682</v>
      </c>
      <c r="B684" s="2" t="str">
        <f>HYPERLINK("https://my.zakupki.prom.ua/remote/dispatcher/state_purchase_view/3717474", "UA-2017-08-04-000991-b")</f>
        <v>UA-2017-08-04-000991-b</v>
      </c>
      <c r="C684" s="1" t="s">
        <v>1412</v>
      </c>
      <c r="D684" s="1" t="s">
        <v>111</v>
      </c>
      <c r="E684" s="1" t="s">
        <v>390</v>
      </c>
      <c r="F684" s="5">
        <v>42951</v>
      </c>
      <c r="G684" s="7">
        <v>42968.650949074072</v>
      </c>
      <c r="H684" s="6">
        <v>2439000</v>
      </c>
      <c r="I684" s="1" t="s">
        <v>1184</v>
      </c>
      <c r="J684" s="1" t="s">
        <v>1404</v>
      </c>
      <c r="K684" s="7">
        <v>42985.618527392988</v>
      </c>
      <c r="L684" s="6">
        <v>413065</v>
      </c>
    </row>
    <row r="685" spans="1:12" hidden="1" x14ac:dyDescent="0.25">
      <c r="A685" s="4">
        <v>683</v>
      </c>
      <c r="B685" s="2" t="str">
        <f>HYPERLINK("https://my.zakupki.prom.ua/remote/dispatcher/state_purchase_view/3717474", "UA-2017-08-04-000991-b")</f>
        <v>UA-2017-08-04-000991-b</v>
      </c>
      <c r="C685" s="1" t="s">
        <v>1413</v>
      </c>
      <c r="D685" s="1" t="s">
        <v>111</v>
      </c>
      <c r="E685" s="1" t="s">
        <v>390</v>
      </c>
      <c r="F685" s="5">
        <v>42951</v>
      </c>
      <c r="G685" s="7">
        <v>42968.475451388891</v>
      </c>
      <c r="H685" s="6">
        <v>2439000</v>
      </c>
      <c r="I685" s="1" t="s">
        <v>1170</v>
      </c>
      <c r="J685" s="1" t="s">
        <v>1404</v>
      </c>
      <c r="K685" s="7">
        <v>42989.713841282115</v>
      </c>
      <c r="L685" s="6">
        <v>1909600</v>
      </c>
    </row>
    <row r="686" spans="1:12" hidden="1" x14ac:dyDescent="0.25">
      <c r="A686" s="4">
        <v>684</v>
      </c>
      <c r="B686" s="2" t="str">
        <f>HYPERLINK("https://my.zakupki.prom.ua/remote/dispatcher/state_purchase_view/3717474", "UA-2017-08-04-000991-b")</f>
        <v>UA-2017-08-04-000991-b</v>
      </c>
      <c r="C686" s="1" t="s">
        <v>1422</v>
      </c>
      <c r="D686" s="1" t="s">
        <v>111</v>
      </c>
      <c r="E686" s="1" t="s">
        <v>390</v>
      </c>
      <c r="F686" s="5">
        <v>42951</v>
      </c>
      <c r="G686" s="7">
        <v>42968.49659722222</v>
      </c>
      <c r="H686" s="6">
        <v>2439000</v>
      </c>
      <c r="I686" s="1" t="s">
        <v>1170</v>
      </c>
      <c r="J686" s="1" t="s">
        <v>1404</v>
      </c>
      <c r="K686" s="7">
        <v>42989.430603845394</v>
      </c>
      <c r="L686" s="6">
        <v>44950</v>
      </c>
    </row>
    <row r="687" spans="1:12" hidden="1" x14ac:dyDescent="0.25">
      <c r="A687" s="4">
        <v>685</v>
      </c>
      <c r="B687" s="2" t="str">
        <f>HYPERLINK("https://my.zakupki.prom.ua/remote/dispatcher/state_purchase_view/3717474", "UA-2017-08-04-000991-b")</f>
        <v>UA-2017-08-04-000991-b</v>
      </c>
      <c r="C687" s="1" t="s">
        <v>1423</v>
      </c>
      <c r="D687" s="1" t="s">
        <v>111</v>
      </c>
      <c r="E687" s="1" t="s">
        <v>390</v>
      </c>
      <c r="F687" s="5">
        <v>42951</v>
      </c>
      <c r="G687" s="7">
        <v>42968.501875000002</v>
      </c>
      <c r="H687" s="6">
        <v>2439000</v>
      </c>
      <c r="I687" s="1" t="s">
        <v>1184</v>
      </c>
      <c r="J687" s="1" t="s">
        <v>1404</v>
      </c>
      <c r="K687" s="7">
        <v>42985.6171437386</v>
      </c>
      <c r="L687" s="6">
        <v>36200</v>
      </c>
    </row>
    <row r="688" spans="1:12" hidden="1" x14ac:dyDescent="0.25">
      <c r="A688" s="4">
        <v>686</v>
      </c>
      <c r="B688" s="2" t="str">
        <f>HYPERLINK("https://my.zakupki.prom.ua/remote/dispatcher/state_purchase_view/4537346", "UA-2017-11-08-000992-c")</f>
        <v>UA-2017-11-08-000992-c</v>
      </c>
      <c r="C688" s="1" t="s">
        <v>672</v>
      </c>
      <c r="D688" s="1" t="s">
        <v>148</v>
      </c>
      <c r="E688" s="1" t="s">
        <v>390</v>
      </c>
      <c r="F688" s="5">
        <v>43047</v>
      </c>
      <c r="G688" s="7">
        <v>43063.639745370368</v>
      </c>
      <c r="H688" s="6">
        <v>254500</v>
      </c>
      <c r="I688" s="1"/>
      <c r="J688" s="1" t="s">
        <v>1406</v>
      </c>
      <c r="K688" s="7">
        <v>43077.000432156761</v>
      </c>
      <c r="L688" s="1"/>
    </row>
    <row r="689" spans="1:12" hidden="1" x14ac:dyDescent="0.25">
      <c r="A689" s="4">
        <v>687</v>
      </c>
      <c r="B689" s="2" t="str">
        <f>HYPERLINK("https://my.zakupki.prom.ua/remote/dispatcher/state_purchase_view/3487215", "UA-2017-07-06-000350-b")</f>
        <v>UA-2017-07-06-000350-b</v>
      </c>
      <c r="C689" s="1" t="s">
        <v>1390</v>
      </c>
      <c r="D689" s="1" t="s">
        <v>137</v>
      </c>
      <c r="E689" s="1" t="s">
        <v>390</v>
      </c>
      <c r="F689" s="5">
        <v>42922</v>
      </c>
      <c r="G689" s="7">
        <v>42940.561712962961</v>
      </c>
      <c r="H689" s="6">
        <v>731500</v>
      </c>
      <c r="I689" s="1"/>
      <c r="J689" s="1" t="s">
        <v>1406</v>
      </c>
      <c r="K689" s="7">
        <v>42953.00299032683</v>
      </c>
      <c r="L689" s="1"/>
    </row>
    <row r="690" spans="1:12" hidden="1" x14ac:dyDescent="0.25">
      <c r="A690" s="4">
        <v>688</v>
      </c>
      <c r="B690" s="2" t="str">
        <f>HYPERLINK("https://my.zakupki.prom.ua/remote/dispatcher/state_purchase_view/3351892", "UA-2017-06-16-001578-b")</f>
        <v>UA-2017-06-16-001578-b</v>
      </c>
      <c r="C690" s="1" t="s">
        <v>1380</v>
      </c>
      <c r="D690" s="1" t="s">
        <v>176</v>
      </c>
      <c r="E690" s="1" t="s">
        <v>470</v>
      </c>
      <c r="F690" s="5">
        <v>42902</v>
      </c>
      <c r="G690" s="7">
        <v>42913.520208333335</v>
      </c>
      <c r="H690" s="6">
        <v>23760</v>
      </c>
      <c r="I690" s="1" t="s">
        <v>1112</v>
      </c>
      <c r="J690" s="1" t="s">
        <v>1405</v>
      </c>
      <c r="K690" s="7">
        <v>42919.716933503209</v>
      </c>
      <c r="L690" s="6">
        <v>18900</v>
      </c>
    </row>
    <row r="691" spans="1:12" hidden="1" x14ac:dyDescent="0.25">
      <c r="A691" s="4">
        <v>689</v>
      </c>
      <c r="B691" s="2" t="str">
        <f>HYPERLINK("https://my.zakupki.prom.ua/remote/dispatcher/state_purchase_view/833977", "UA-2016-11-04-000999-b")</f>
        <v>UA-2016-11-04-000999-b</v>
      </c>
      <c r="C691" s="1" t="s">
        <v>16</v>
      </c>
      <c r="D691" s="1" t="s">
        <v>256</v>
      </c>
      <c r="E691" s="1" t="s">
        <v>470</v>
      </c>
      <c r="F691" s="5">
        <v>42678</v>
      </c>
      <c r="G691" s="1" t="s">
        <v>1398</v>
      </c>
      <c r="H691" s="6">
        <v>196300</v>
      </c>
      <c r="I691" s="1" t="s">
        <v>1135</v>
      </c>
      <c r="J691" s="1" t="s">
        <v>1405</v>
      </c>
      <c r="K691" s="7">
        <v>42692.652300678667</v>
      </c>
      <c r="L691" s="6">
        <v>194100</v>
      </c>
    </row>
    <row r="692" spans="1:12" hidden="1" x14ac:dyDescent="0.25">
      <c r="A692" s="4">
        <v>690</v>
      </c>
      <c r="B692" s="2" t="str">
        <f>HYPERLINK("https://my.zakupki.prom.ua/remote/dispatcher/state_purchase_view/3417512", "UA-2017-06-26-000551-b")</f>
        <v>UA-2017-06-26-000551-b</v>
      </c>
      <c r="C692" s="1" t="s">
        <v>405</v>
      </c>
      <c r="D692" s="1" t="s">
        <v>181</v>
      </c>
      <c r="E692" s="1" t="s">
        <v>470</v>
      </c>
      <c r="F692" s="5">
        <v>42912</v>
      </c>
      <c r="G692" s="1" t="s">
        <v>1398</v>
      </c>
      <c r="H692" s="6">
        <v>8224</v>
      </c>
      <c r="I692" s="1"/>
      <c r="J692" s="1" t="s">
        <v>1406</v>
      </c>
      <c r="K692" s="7">
        <v>42919.459006101875</v>
      </c>
      <c r="L692" s="1"/>
    </row>
    <row r="693" spans="1:12" hidden="1" x14ac:dyDescent="0.25">
      <c r="A693" s="4">
        <v>691</v>
      </c>
      <c r="B693" s="2" t="str">
        <f>HYPERLINK("https://my.zakupki.prom.ua/remote/dispatcher/state_purchase_view/7247210", "UA-2018-05-25-001171-a")</f>
        <v>UA-2018-05-25-001171-a</v>
      </c>
      <c r="C693" s="1" t="s">
        <v>538</v>
      </c>
      <c r="D693" s="1" t="s">
        <v>190</v>
      </c>
      <c r="E693" s="1" t="s">
        <v>722</v>
      </c>
      <c r="F693" s="5">
        <v>43245</v>
      </c>
      <c r="G693" s="1" t="s">
        <v>1397</v>
      </c>
      <c r="H693" s="6">
        <v>8656151.5999999996</v>
      </c>
      <c r="I693" s="1" t="s">
        <v>1226</v>
      </c>
      <c r="J693" s="1" t="s">
        <v>1419</v>
      </c>
      <c r="K693" s="7">
        <v>43258.7461402236</v>
      </c>
      <c r="L693" s="6">
        <v>8656151.5999999996</v>
      </c>
    </row>
    <row r="694" spans="1:12" hidden="1" x14ac:dyDescent="0.25">
      <c r="A694" s="4">
        <v>692</v>
      </c>
      <c r="B694" s="2" t="str">
        <f>HYPERLINK("https://my.zakupki.prom.ua/remote/dispatcher/state_purchase_view/7263747", "UA-2018-05-29-001649-a")</f>
        <v>UA-2018-05-29-001649-a</v>
      </c>
      <c r="C694" s="1" t="s">
        <v>941</v>
      </c>
      <c r="D694" s="1" t="s">
        <v>193</v>
      </c>
      <c r="E694" s="1" t="s">
        <v>488</v>
      </c>
      <c r="F694" s="5">
        <v>43249</v>
      </c>
      <c r="G694" s="1" t="s">
        <v>1397</v>
      </c>
      <c r="H694" s="6">
        <v>196149</v>
      </c>
      <c r="I694" s="1" t="s">
        <v>995</v>
      </c>
      <c r="J694" s="1" t="s">
        <v>1405</v>
      </c>
      <c r="K694" s="7">
        <v>43249.622585948193</v>
      </c>
      <c r="L694" s="6">
        <v>196149</v>
      </c>
    </row>
    <row r="695" spans="1:12" hidden="1" x14ac:dyDescent="0.25">
      <c r="A695" s="4">
        <v>693</v>
      </c>
      <c r="B695" s="2" t="str">
        <f>HYPERLINK("https://my.zakupki.prom.ua/remote/dispatcher/state_purchase_view/6763156", "UA-2018-04-05-001655-a")</f>
        <v>UA-2018-04-05-001655-a</v>
      </c>
      <c r="C695" s="1" t="s">
        <v>755</v>
      </c>
      <c r="D695" s="1" t="s">
        <v>264</v>
      </c>
      <c r="E695" s="1" t="s">
        <v>470</v>
      </c>
      <c r="F695" s="5">
        <v>43195</v>
      </c>
      <c r="G695" s="7">
        <v>43207.527615740742</v>
      </c>
      <c r="H695" s="6">
        <v>38000</v>
      </c>
      <c r="I695" s="1" t="s">
        <v>1346</v>
      </c>
      <c r="J695" s="1" t="s">
        <v>1405</v>
      </c>
      <c r="K695" s="7">
        <v>43216.629247163</v>
      </c>
      <c r="L695" s="6">
        <v>32300</v>
      </c>
    </row>
    <row r="696" spans="1:12" hidden="1" x14ac:dyDescent="0.25">
      <c r="A696" s="4">
        <v>694</v>
      </c>
      <c r="B696" s="2" t="str">
        <f>HYPERLINK("https://my.zakupki.prom.ua/remote/dispatcher/state_purchase_view/5238413", "UA-2017-12-28-000939-b")</f>
        <v>UA-2017-12-28-000939-b</v>
      </c>
      <c r="C696" s="1" t="s">
        <v>940</v>
      </c>
      <c r="D696" s="1" t="s">
        <v>184</v>
      </c>
      <c r="E696" s="1" t="s">
        <v>390</v>
      </c>
      <c r="F696" s="5">
        <v>43097</v>
      </c>
      <c r="G696" s="7">
        <v>43115.48578703704</v>
      </c>
      <c r="H696" s="6">
        <v>230000</v>
      </c>
      <c r="I696" s="1" t="s">
        <v>1108</v>
      </c>
      <c r="J696" s="1" t="s">
        <v>1405</v>
      </c>
      <c r="K696" s="7">
        <v>43129.732111199315</v>
      </c>
      <c r="L696" s="6">
        <v>221000</v>
      </c>
    </row>
    <row r="697" spans="1:12" hidden="1" x14ac:dyDescent="0.25">
      <c r="A697" s="4">
        <v>695</v>
      </c>
      <c r="B697" s="2" t="str">
        <f>HYPERLINK("https://my.zakupki.prom.ua/remote/dispatcher/state_purchase_view/2218213", "UA-2017-02-20-001477-c")</f>
        <v>UA-2017-02-20-001477-c</v>
      </c>
      <c r="C697" s="1" t="s">
        <v>468</v>
      </c>
      <c r="D697" s="1" t="s">
        <v>72</v>
      </c>
      <c r="E697" s="1" t="s">
        <v>470</v>
      </c>
      <c r="F697" s="5">
        <v>42786</v>
      </c>
      <c r="G697" s="7">
        <v>42794.467453703706</v>
      </c>
      <c r="H697" s="6">
        <v>25204</v>
      </c>
      <c r="I697" s="1" t="s">
        <v>1211</v>
      </c>
      <c r="J697" s="1" t="s">
        <v>1405</v>
      </c>
      <c r="K697" s="7">
        <v>42800.427695160397</v>
      </c>
      <c r="L697" s="6">
        <v>25204</v>
      </c>
    </row>
    <row r="698" spans="1:12" hidden="1" x14ac:dyDescent="0.25">
      <c r="A698" s="4">
        <v>696</v>
      </c>
      <c r="B698" s="2" t="str">
        <f>HYPERLINK("https://my.zakupki.prom.ua/remote/dispatcher/state_purchase_view/2756391", "UA-2017-04-06-000303-b")</f>
        <v>UA-2017-04-06-000303-b</v>
      </c>
      <c r="C698" s="1" t="s">
        <v>349</v>
      </c>
      <c r="D698" s="1" t="s">
        <v>33</v>
      </c>
      <c r="E698" s="1" t="s">
        <v>470</v>
      </c>
      <c r="F698" s="5">
        <v>42831</v>
      </c>
      <c r="G698" s="1" t="s">
        <v>1398</v>
      </c>
      <c r="H698" s="6">
        <v>32175</v>
      </c>
      <c r="I698" s="1" t="s">
        <v>1124</v>
      </c>
      <c r="J698" s="1" t="s">
        <v>1405</v>
      </c>
      <c r="K698" s="7">
        <v>42845.696505739848</v>
      </c>
      <c r="L698" s="6">
        <v>32140.68</v>
      </c>
    </row>
    <row r="699" spans="1:12" hidden="1" x14ac:dyDescent="0.25">
      <c r="A699" s="4">
        <v>697</v>
      </c>
      <c r="B699" s="2" t="str">
        <f>HYPERLINK("https://my.zakupki.prom.ua/remote/dispatcher/state_purchase_view/2999740", "UA-2017-05-10-000540-b")</f>
        <v>UA-2017-05-10-000540-b</v>
      </c>
      <c r="C699" s="1" t="s">
        <v>791</v>
      </c>
      <c r="D699" s="1" t="s">
        <v>233</v>
      </c>
      <c r="E699" s="1" t="s">
        <v>470</v>
      </c>
      <c r="F699" s="5">
        <v>42865</v>
      </c>
      <c r="G699" s="1" t="s">
        <v>1398</v>
      </c>
      <c r="H699" s="6">
        <v>199000</v>
      </c>
      <c r="I699" s="1" t="s">
        <v>1127</v>
      </c>
      <c r="J699" s="1" t="s">
        <v>1405</v>
      </c>
      <c r="K699" s="7">
        <v>42880.696467154332</v>
      </c>
      <c r="L699" s="6">
        <v>193128</v>
      </c>
    </row>
    <row r="700" spans="1:12" hidden="1" x14ac:dyDescent="0.25">
      <c r="A700" s="4">
        <v>698</v>
      </c>
      <c r="B700" s="2" t="str">
        <f>HYPERLINK("https://my.zakupki.prom.ua/remote/dispatcher/state_purchase_view/1426548", "UA-2017-01-06-000684-b")</f>
        <v>UA-2017-01-06-000684-b</v>
      </c>
      <c r="C700" s="1" t="s">
        <v>7</v>
      </c>
      <c r="D700" s="1" t="s">
        <v>219</v>
      </c>
      <c r="E700" s="1" t="s">
        <v>470</v>
      </c>
      <c r="F700" s="5">
        <v>42741</v>
      </c>
      <c r="G700" s="1" t="s">
        <v>1398</v>
      </c>
      <c r="H700" s="6">
        <v>1250000</v>
      </c>
      <c r="I700" s="1"/>
      <c r="J700" s="1" t="s">
        <v>1419</v>
      </c>
      <c r="K700" s="7">
        <v>42747.445361670369</v>
      </c>
      <c r="L700" s="1"/>
    </row>
    <row r="701" spans="1:12" hidden="1" x14ac:dyDescent="0.25">
      <c r="A701" s="4">
        <v>699</v>
      </c>
      <c r="B701" s="2" t="str">
        <f>HYPERLINK("https://my.zakupki.prom.ua/remote/dispatcher/state_purchase_view/1352191", "UA-2016-12-28-001701-b")</f>
        <v>UA-2016-12-28-001701-b</v>
      </c>
      <c r="C701" s="1" t="s">
        <v>487</v>
      </c>
      <c r="D701" s="1" t="s">
        <v>35</v>
      </c>
      <c r="E701" s="1" t="s">
        <v>470</v>
      </c>
      <c r="F701" s="5">
        <v>42732</v>
      </c>
      <c r="G701" s="1" t="s">
        <v>1398</v>
      </c>
      <c r="H701" s="6">
        <v>15330</v>
      </c>
      <c r="I701" s="1"/>
      <c r="J701" s="1" t="s">
        <v>1419</v>
      </c>
      <c r="K701" s="7">
        <v>42747.51901703675</v>
      </c>
      <c r="L701" s="1"/>
    </row>
    <row r="702" spans="1:12" hidden="1" x14ac:dyDescent="0.25">
      <c r="A702" s="4">
        <v>700</v>
      </c>
      <c r="B702" s="2" t="str">
        <f>HYPERLINK("https://my.zakupki.prom.ua/remote/dispatcher/state_purchase_view/6551510", "UA-2018-03-19-000906-c")</f>
        <v>UA-2018-03-19-000906-c</v>
      </c>
      <c r="C702" s="1" t="s">
        <v>558</v>
      </c>
      <c r="D702" s="1" t="s">
        <v>81</v>
      </c>
      <c r="E702" s="1" t="s">
        <v>470</v>
      </c>
      <c r="F702" s="5">
        <v>43178</v>
      </c>
      <c r="G702" s="7">
        <v>43186.49145833333</v>
      </c>
      <c r="H702" s="6">
        <v>199800</v>
      </c>
      <c r="I702" s="1" t="s">
        <v>1320</v>
      </c>
      <c r="J702" s="1" t="s">
        <v>1405</v>
      </c>
      <c r="K702" s="7">
        <v>43194.739133380957</v>
      </c>
      <c r="L702" s="6">
        <v>199700</v>
      </c>
    </row>
    <row r="703" spans="1:12" hidden="1" x14ac:dyDescent="0.25">
      <c r="A703" s="4">
        <v>701</v>
      </c>
      <c r="B703" s="2" t="str">
        <f>HYPERLINK("https://my.zakupki.prom.ua/remote/dispatcher/state_purchase_view/7128641", "UA-2018-05-15-002278-a")</f>
        <v>UA-2018-05-15-002278-a</v>
      </c>
      <c r="C703" s="1" t="s">
        <v>661</v>
      </c>
      <c r="D703" s="1" t="s">
        <v>121</v>
      </c>
      <c r="E703" s="1" t="s">
        <v>390</v>
      </c>
      <c r="F703" s="5">
        <v>43235</v>
      </c>
      <c r="G703" s="1" t="s">
        <v>1398</v>
      </c>
      <c r="H703" s="6">
        <v>2000000</v>
      </c>
      <c r="I703" s="1"/>
      <c r="J703" s="1" t="s">
        <v>1419</v>
      </c>
      <c r="K703" s="7">
        <v>43245.448096560263</v>
      </c>
      <c r="L703" s="1"/>
    </row>
    <row r="704" spans="1:12" hidden="1" x14ac:dyDescent="0.25">
      <c r="A704" s="4">
        <v>702</v>
      </c>
      <c r="B704" s="2" t="str">
        <f>HYPERLINK("https://my.zakupki.prom.ua/remote/dispatcher/state_purchase_view/8002513", "UA-2018-08-16-000172-b")</f>
        <v>UA-2018-08-16-000172-b</v>
      </c>
      <c r="C704" s="1" t="s">
        <v>714</v>
      </c>
      <c r="D704" s="1" t="s">
        <v>32</v>
      </c>
      <c r="E704" s="1" t="s">
        <v>470</v>
      </c>
      <c r="F704" s="5">
        <v>43328</v>
      </c>
      <c r="G704" s="7">
        <v>43341.567164351851</v>
      </c>
      <c r="H704" s="6">
        <v>99540</v>
      </c>
      <c r="I704" s="1" t="s">
        <v>1182</v>
      </c>
      <c r="J704" s="1" t="s">
        <v>1405</v>
      </c>
      <c r="K704" s="7">
        <v>43347.627327518603</v>
      </c>
      <c r="L704" s="6">
        <v>92400</v>
      </c>
    </row>
    <row r="705" spans="1:12" hidden="1" x14ac:dyDescent="0.25">
      <c r="A705" s="4">
        <v>703</v>
      </c>
      <c r="B705" s="2" t="str">
        <f>HYPERLINK("https://my.zakupki.prom.ua/remote/dispatcher/state_purchase_view/8143298", "UA-2018-09-03-001460-a")</f>
        <v>UA-2018-09-03-001460-a</v>
      </c>
      <c r="C705" s="1" t="s">
        <v>298</v>
      </c>
      <c r="D705" s="1" t="s">
        <v>175</v>
      </c>
      <c r="E705" s="1" t="s">
        <v>488</v>
      </c>
      <c r="F705" s="5">
        <v>43346</v>
      </c>
      <c r="G705" s="1" t="s">
        <v>1397</v>
      </c>
      <c r="H705" s="6">
        <v>5160.6000000000004</v>
      </c>
      <c r="I705" s="1" t="s">
        <v>1210</v>
      </c>
      <c r="J705" s="1" t="s">
        <v>1405</v>
      </c>
      <c r="K705" s="7">
        <v>43346.656779075129</v>
      </c>
      <c r="L705" s="6">
        <v>5160.6000000000004</v>
      </c>
    </row>
    <row r="706" spans="1:12" hidden="1" x14ac:dyDescent="0.25">
      <c r="A706" s="4">
        <v>704</v>
      </c>
      <c r="B706" s="2" t="str">
        <f>HYPERLINK("https://my.zakupki.prom.ua/remote/dispatcher/state_purchase_view/8617734", "UA-2018-10-22-002643-b")</f>
        <v>UA-2018-10-22-002643-b</v>
      </c>
      <c r="C706" s="1" t="s">
        <v>581</v>
      </c>
      <c r="D706" s="1" t="s">
        <v>198</v>
      </c>
      <c r="E706" s="1" t="s">
        <v>390</v>
      </c>
      <c r="F706" s="5">
        <v>43395</v>
      </c>
      <c r="G706" s="7">
        <v>43411.528865740744</v>
      </c>
      <c r="H706" s="6">
        <v>550000</v>
      </c>
      <c r="I706" s="1" t="s">
        <v>1333</v>
      </c>
      <c r="J706" s="1" t="s">
        <v>1404</v>
      </c>
      <c r="K706" s="7">
        <v>43424.713183671462</v>
      </c>
      <c r="L706" s="6">
        <v>142250</v>
      </c>
    </row>
    <row r="707" spans="1:12" hidden="1" x14ac:dyDescent="0.25">
      <c r="A707" s="4">
        <v>705</v>
      </c>
      <c r="B707" s="2" t="str">
        <f>HYPERLINK("https://my.zakupki.prom.ua/remote/dispatcher/state_purchase_view/8617734", "UA-2018-10-22-002643-b")</f>
        <v>UA-2018-10-22-002643-b</v>
      </c>
      <c r="C707" s="1" t="s">
        <v>583</v>
      </c>
      <c r="D707" s="1" t="s">
        <v>198</v>
      </c>
      <c r="E707" s="1" t="s">
        <v>390</v>
      </c>
      <c r="F707" s="5">
        <v>43395</v>
      </c>
      <c r="G707" s="7">
        <v>43411.547523148147</v>
      </c>
      <c r="H707" s="6">
        <v>550000</v>
      </c>
      <c r="I707" s="1" t="s">
        <v>700</v>
      </c>
      <c r="J707" s="1" t="s">
        <v>1404</v>
      </c>
      <c r="K707" s="7">
        <v>43424.707586892328</v>
      </c>
      <c r="L707" s="6">
        <v>398000</v>
      </c>
    </row>
    <row r="708" spans="1:12" hidden="1" x14ac:dyDescent="0.25">
      <c r="A708" s="4">
        <v>706</v>
      </c>
      <c r="B708" s="2" t="str">
        <f>HYPERLINK("https://my.zakupki.prom.ua/remote/dispatcher/state_purchase_view/10271304", "UA-2019-01-30-004316-b")</f>
        <v>UA-2019-01-30-004316-b</v>
      </c>
      <c r="C708" s="1" t="s">
        <v>882</v>
      </c>
      <c r="D708" s="1" t="s">
        <v>227</v>
      </c>
      <c r="E708" s="1" t="s">
        <v>488</v>
      </c>
      <c r="F708" s="5">
        <v>43495</v>
      </c>
      <c r="G708" s="1" t="s">
        <v>1397</v>
      </c>
      <c r="H708" s="6">
        <v>3600</v>
      </c>
      <c r="I708" s="1" t="s">
        <v>1240</v>
      </c>
      <c r="J708" s="1" t="s">
        <v>1405</v>
      </c>
      <c r="K708" s="7">
        <v>43495.711795602569</v>
      </c>
      <c r="L708" s="6">
        <v>3600</v>
      </c>
    </row>
    <row r="709" spans="1:12" hidden="1" x14ac:dyDescent="0.25">
      <c r="A709" s="4">
        <v>707</v>
      </c>
      <c r="B709" s="2" t="str">
        <f>HYPERLINK("https://my.zakupki.prom.ua/remote/dispatcher/state_purchase_view/12970986", "UA-2019-09-25-001011-b")</f>
        <v>UA-2019-09-25-001011-b</v>
      </c>
      <c r="C709" s="1" t="s">
        <v>362</v>
      </c>
      <c r="D709" s="1" t="s">
        <v>37</v>
      </c>
      <c r="E709" s="1" t="s">
        <v>470</v>
      </c>
      <c r="F709" s="5">
        <v>43733</v>
      </c>
      <c r="G709" s="7">
        <v>43741.612326388888</v>
      </c>
      <c r="H709" s="6">
        <v>35000</v>
      </c>
      <c r="I709" s="1" t="s">
        <v>1131</v>
      </c>
      <c r="J709" s="1" t="s">
        <v>1405</v>
      </c>
      <c r="K709" s="7">
        <v>43756.613490910466</v>
      </c>
      <c r="L709" s="6">
        <v>34800</v>
      </c>
    </row>
    <row r="710" spans="1:12" hidden="1" x14ac:dyDescent="0.25">
      <c r="A710" s="4">
        <v>708</v>
      </c>
      <c r="B710" s="2" t="str">
        <f>HYPERLINK("https://my.zakupki.prom.ua/remote/dispatcher/state_purchase_view/9414110", "UA-2018-12-18-004313-c")</f>
        <v>UA-2018-12-18-004313-c</v>
      </c>
      <c r="C710" s="1" t="s">
        <v>907</v>
      </c>
      <c r="D710" s="1" t="s">
        <v>208</v>
      </c>
      <c r="E710" s="1" t="s">
        <v>488</v>
      </c>
      <c r="F710" s="5">
        <v>43452</v>
      </c>
      <c r="G710" s="1" t="s">
        <v>1397</v>
      </c>
      <c r="H710" s="6">
        <v>93490</v>
      </c>
      <c r="I710" s="1" t="s">
        <v>1057</v>
      </c>
      <c r="J710" s="1" t="s">
        <v>1405</v>
      </c>
      <c r="K710" s="7">
        <v>43452.663635134755</v>
      </c>
      <c r="L710" s="6">
        <v>93490</v>
      </c>
    </row>
    <row r="711" spans="1:12" hidden="1" x14ac:dyDescent="0.25">
      <c r="A711" s="4">
        <v>709</v>
      </c>
      <c r="B711" s="2" t="str">
        <f>HYPERLINK("https://my.zakupki.prom.ua/remote/dispatcher/state_purchase_view/11430446", "UA-2019-04-25-000658-b")</f>
        <v>UA-2019-04-25-000658-b</v>
      </c>
      <c r="C711" s="1" t="s">
        <v>463</v>
      </c>
      <c r="D711" s="1" t="s">
        <v>172</v>
      </c>
      <c r="E711" s="1" t="s">
        <v>390</v>
      </c>
      <c r="F711" s="5">
        <v>43580</v>
      </c>
      <c r="G711" s="7">
        <v>43598.55605324074</v>
      </c>
      <c r="H711" s="6">
        <v>723000</v>
      </c>
      <c r="I711" s="1" t="s">
        <v>1303</v>
      </c>
      <c r="J711" s="1" t="s">
        <v>1405</v>
      </c>
      <c r="K711" s="7">
        <v>43615.643656596039</v>
      </c>
      <c r="L711" s="6">
        <v>722800</v>
      </c>
    </row>
    <row r="712" spans="1:12" hidden="1" x14ac:dyDescent="0.25">
      <c r="A712" s="4">
        <v>710</v>
      </c>
      <c r="B712" s="2" t="str">
        <f>HYPERLINK("https://my.zakupki.prom.ua/remote/dispatcher/state_purchase_view/12127842", "UA-2019-07-04-000462-b")</f>
        <v>UA-2019-07-04-000462-b</v>
      </c>
      <c r="C712" s="1" t="s">
        <v>613</v>
      </c>
      <c r="D712" s="1" t="s">
        <v>166</v>
      </c>
      <c r="E712" s="1" t="s">
        <v>390</v>
      </c>
      <c r="F712" s="5">
        <v>43650</v>
      </c>
      <c r="G712" s="7">
        <v>43668.578900462962</v>
      </c>
      <c r="H712" s="6">
        <v>116394</v>
      </c>
      <c r="I712" s="1" t="s">
        <v>1330</v>
      </c>
      <c r="J712" s="1" t="s">
        <v>1405</v>
      </c>
      <c r="K712" s="7">
        <v>43683.621362405014</v>
      </c>
      <c r="L712" s="6">
        <v>116390</v>
      </c>
    </row>
    <row r="713" spans="1:12" hidden="1" x14ac:dyDescent="0.25">
      <c r="A713" s="4">
        <v>711</v>
      </c>
      <c r="B713" s="2" t="str">
        <f>HYPERLINK("https://my.zakupki.prom.ua/remote/dispatcher/state_purchase_view/8037822", "UA-2018-08-20-002149-c")</f>
        <v>UA-2018-08-20-002149-c</v>
      </c>
      <c r="C713" s="1" t="s">
        <v>308</v>
      </c>
      <c r="D713" s="1" t="s">
        <v>176</v>
      </c>
      <c r="E713" s="1" t="s">
        <v>488</v>
      </c>
      <c r="F713" s="5">
        <v>43332</v>
      </c>
      <c r="G713" s="1" t="s">
        <v>1397</v>
      </c>
      <c r="H713" s="6">
        <v>30176</v>
      </c>
      <c r="I713" s="1" t="s">
        <v>1210</v>
      </c>
      <c r="J713" s="1" t="s">
        <v>1405</v>
      </c>
      <c r="K713" s="7">
        <v>43332.686803271368</v>
      </c>
      <c r="L713" s="6">
        <v>30176</v>
      </c>
    </row>
    <row r="714" spans="1:12" hidden="1" x14ac:dyDescent="0.25">
      <c r="A714" s="4">
        <v>712</v>
      </c>
      <c r="B714" s="2" t="str">
        <f>HYPERLINK("https://my.zakupki.prom.ua/remote/dispatcher/state_purchase_view/11762661", "UA-2019-05-30-000469-b")</f>
        <v>UA-2019-05-30-000469-b</v>
      </c>
      <c r="C714" s="1" t="s">
        <v>1253</v>
      </c>
      <c r="D714" s="1" t="s">
        <v>226</v>
      </c>
      <c r="E714" s="1" t="s">
        <v>488</v>
      </c>
      <c r="F714" s="5">
        <v>43615</v>
      </c>
      <c r="G714" s="1" t="s">
        <v>1397</v>
      </c>
      <c r="H714" s="6">
        <v>38500</v>
      </c>
      <c r="I714" s="1" t="s">
        <v>643</v>
      </c>
      <c r="J714" s="1" t="s">
        <v>1405</v>
      </c>
      <c r="K714" s="7">
        <v>43615.455846001576</v>
      </c>
      <c r="L714" s="6">
        <v>38500</v>
      </c>
    </row>
    <row r="715" spans="1:12" hidden="1" x14ac:dyDescent="0.25">
      <c r="A715" s="4">
        <v>713</v>
      </c>
      <c r="B715" s="2" t="str">
        <f>HYPERLINK("https://my.zakupki.prom.ua/remote/dispatcher/state_purchase_view/11331428", "UA-2019-04-17-000443-a")</f>
        <v>UA-2019-04-17-000443-a</v>
      </c>
      <c r="C715" s="1" t="s">
        <v>951</v>
      </c>
      <c r="D715" s="1" t="s">
        <v>184</v>
      </c>
      <c r="E715" s="1" t="s">
        <v>470</v>
      </c>
      <c r="F715" s="5">
        <v>43572</v>
      </c>
      <c r="G715" s="1" t="s">
        <v>1398</v>
      </c>
      <c r="H715" s="6">
        <v>28003.279999999999</v>
      </c>
      <c r="I715" s="1"/>
      <c r="J715" s="1" t="s">
        <v>1406</v>
      </c>
      <c r="K715" s="7">
        <v>43579.500350074894</v>
      </c>
      <c r="L715" s="1"/>
    </row>
    <row r="716" spans="1:12" hidden="1" x14ac:dyDescent="0.25">
      <c r="A716" s="4">
        <v>714</v>
      </c>
      <c r="B716" s="2" t="str">
        <f>HYPERLINK("https://my.zakupki.prom.ua/remote/dispatcher/state_purchase_view/11709702", "UA-2019-05-24-002594-a")</f>
        <v>UA-2019-05-24-002594-a</v>
      </c>
      <c r="C716" s="1" t="s">
        <v>1025</v>
      </c>
      <c r="D716" s="1" t="s">
        <v>220</v>
      </c>
      <c r="E716" s="1" t="s">
        <v>488</v>
      </c>
      <c r="F716" s="5">
        <v>43609</v>
      </c>
      <c r="G716" s="1" t="s">
        <v>1397</v>
      </c>
      <c r="H716" s="6">
        <v>4863.04</v>
      </c>
      <c r="I716" s="1" t="s">
        <v>1233</v>
      </c>
      <c r="J716" s="1" t="s">
        <v>1405</v>
      </c>
      <c r="K716" s="7">
        <v>43609.651371434928</v>
      </c>
      <c r="L716" s="6">
        <v>4863.04</v>
      </c>
    </row>
    <row r="717" spans="1:12" hidden="1" x14ac:dyDescent="0.25">
      <c r="A717" s="4">
        <v>715</v>
      </c>
      <c r="B717" s="2" t="str">
        <f>HYPERLINK("https://my.zakupki.prom.ua/remote/dispatcher/state_purchase_view/11538455", "UA-2019-05-10-001753-a")</f>
        <v>UA-2019-05-10-001753-a</v>
      </c>
      <c r="C717" s="1" t="s">
        <v>962</v>
      </c>
      <c r="D717" s="1" t="s">
        <v>188</v>
      </c>
      <c r="E717" s="1" t="s">
        <v>390</v>
      </c>
      <c r="F717" s="5">
        <v>43595</v>
      </c>
      <c r="G717" s="7">
        <v>43612.535300925927</v>
      </c>
      <c r="H717" s="6">
        <v>70000</v>
      </c>
      <c r="I717" s="1" t="s">
        <v>1322</v>
      </c>
      <c r="J717" s="1" t="s">
        <v>1405</v>
      </c>
      <c r="K717" s="7">
        <v>43627.621174507942</v>
      </c>
      <c r="L717" s="6">
        <v>65191.22</v>
      </c>
    </row>
    <row r="718" spans="1:12" hidden="1" x14ac:dyDescent="0.25">
      <c r="A718" s="4">
        <v>716</v>
      </c>
      <c r="B718" s="2" t="str">
        <f>HYPERLINK("https://my.zakupki.prom.ua/remote/dispatcher/state_purchase_view/13829492", "UA-2019-12-03-002051-b")</f>
        <v>UA-2019-12-03-002051-b</v>
      </c>
      <c r="C718" s="1" t="s">
        <v>966</v>
      </c>
      <c r="D718" s="1" t="s">
        <v>188</v>
      </c>
      <c r="E718" s="1" t="s">
        <v>488</v>
      </c>
      <c r="F718" s="5">
        <v>43802</v>
      </c>
      <c r="G718" s="1" t="s">
        <v>1397</v>
      </c>
      <c r="H718" s="6">
        <v>115570.26</v>
      </c>
      <c r="I718" s="1" t="s">
        <v>445</v>
      </c>
      <c r="J718" s="1" t="s">
        <v>1405</v>
      </c>
      <c r="K718" s="7">
        <v>43802.539479183324</v>
      </c>
      <c r="L718" s="6">
        <v>115570.26</v>
      </c>
    </row>
    <row r="719" spans="1:12" hidden="1" x14ac:dyDescent="0.25">
      <c r="A719" s="4">
        <v>717</v>
      </c>
      <c r="B719" s="2" t="str">
        <f>HYPERLINK("https://my.zakupki.prom.ua/remote/dispatcher/state_purchase_view/14473623", "UA-2020-01-14-001064-c")</f>
        <v>UA-2020-01-14-001064-c</v>
      </c>
      <c r="C719" s="1" t="s">
        <v>628</v>
      </c>
      <c r="D719" s="1" t="s">
        <v>170</v>
      </c>
      <c r="E719" s="1" t="s">
        <v>390</v>
      </c>
      <c r="F719" s="5">
        <v>43844</v>
      </c>
      <c r="G719" s="7">
        <v>43860.630636574075</v>
      </c>
      <c r="H719" s="6">
        <v>1000000</v>
      </c>
      <c r="I719" s="1" t="s">
        <v>1331</v>
      </c>
      <c r="J719" s="1" t="s">
        <v>1405</v>
      </c>
      <c r="K719" s="7">
        <v>43902.525837283625</v>
      </c>
      <c r="L719" s="6">
        <v>994000</v>
      </c>
    </row>
    <row r="720" spans="1:12" hidden="1" x14ac:dyDescent="0.25">
      <c r="A720" s="4">
        <v>718</v>
      </c>
      <c r="B720" s="2" t="str">
        <f>HYPERLINK("https://my.zakupki.prom.ua/remote/dispatcher/state_purchase_view/16192992", "UA-2020-04-09-002911-b")</f>
        <v>UA-2020-04-09-002911-b</v>
      </c>
      <c r="C720" s="1" t="s">
        <v>618</v>
      </c>
      <c r="D720" s="1" t="s">
        <v>166</v>
      </c>
      <c r="E720" s="1" t="s">
        <v>390</v>
      </c>
      <c r="F720" s="5">
        <v>43930</v>
      </c>
      <c r="G720" s="7">
        <v>43948.603680555556</v>
      </c>
      <c r="H720" s="6">
        <v>220000</v>
      </c>
      <c r="I720" s="1" t="s">
        <v>1330</v>
      </c>
      <c r="J720" s="1" t="s">
        <v>1405</v>
      </c>
      <c r="K720" s="7">
        <v>43963.455319275869</v>
      </c>
      <c r="L720" s="6">
        <v>219994.44</v>
      </c>
    </row>
    <row r="721" spans="1:12" hidden="1" x14ac:dyDescent="0.25">
      <c r="A721" s="4">
        <v>719</v>
      </c>
      <c r="B721" s="2" t="str">
        <f>HYPERLINK("https://my.zakupki.prom.ua/remote/dispatcher/state_purchase_view/16072226", "UA-2020-04-01-003420-b")</f>
        <v>UA-2020-04-01-003420-b</v>
      </c>
      <c r="C721" s="1" t="s">
        <v>1095</v>
      </c>
      <c r="D721" s="1" t="s">
        <v>165</v>
      </c>
      <c r="E721" s="1" t="s">
        <v>488</v>
      </c>
      <c r="F721" s="5">
        <v>43922</v>
      </c>
      <c r="G721" s="1" t="s">
        <v>1397</v>
      </c>
      <c r="H721" s="6">
        <v>22000</v>
      </c>
      <c r="I721" s="1" t="s">
        <v>429</v>
      </c>
      <c r="J721" s="1" t="s">
        <v>1405</v>
      </c>
      <c r="K721" s="7">
        <v>43922.72248367656</v>
      </c>
      <c r="L721" s="6">
        <v>22000</v>
      </c>
    </row>
    <row r="722" spans="1:12" hidden="1" x14ac:dyDescent="0.25">
      <c r="A722" s="4">
        <v>720</v>
      </c>
      <c r="B722" s="2" t="str">
        <f>HYPERLINK("https://my.zakupki.prom.ua/remote/dispatcher/state_purchase_view/16501623", "UA-2020-04-29-000562-b")</f>
        <v>UA-2020-04-29-000562-b</v>
      </c>
      <c r="C722" s="1" t="s">
        <v>1002</v>
      </c>
      <c r="D722" s="1" t="s">
        <v>220</v>
      </c>
      <c r="E722" s="1" t="s">
        <v>488</v>
      </c>
      <c r="F722" s="5">
        <v>43950</v>
      </c>
      <c r="G722" s="1" t="s">
        <v>1397</v>
      </c>
      <c r="H722" s="6">
        <v>10000</v>
      </c>
      <c r="I722" s="1" t="s">
        <v>1232</v>
      </c>
      <c r="J722" s="1" t="s">
        <v>1405</v>
      </c>
      <c r="K722" s="7">
        <v>43950.451254083426</v>
      </c>
      <c r="L722" s="6">
        <v>10000</v>
      </c>
    </row>
    <row r="723" spans="1:12" hidden="1" x14ac:dyDescent="0.25">
      <c r="A723" s="4">
        <v>721</v>
      </c>
      <c r="B723" s="2" t="str">
        <f>HYPERLINK("https://my.zakupki.prom.ua/remote/dispatcher/state_purchase_view/15241576", "UA-2020-02-12-001405-b")</f>
        <v>UA-2020-02-12-001405-b</v>
      </c>
      <c r="C723" s="1" t="s">
        <v>1080</v>
      </c>
      <c r="D723" s="1" t="s">
        <v>49</v>
      </c>
      <c r="E723" s="1" t="s">
        <v>470</v>
      </c>
      <c r="F723" s="5">
        <v>43873</v>
      </c>
      <c r="G723" s="7">
        <v>43882.661006944443</v>
      </c>
      <c r="H723" s="6">
        <v>151290</v>
      </c>
      <c r="I723" s="1" t="s">
        <v>1313</v>
      </c>
      <c r="J723" s="1" t="s">
        <v>1405</v>
      </c>
      <c r="K723" s="7">
        <v>43894.474577974586</v>
      </c>
      <c r="L723" s="6">
        <v>151195</v>
      </c>
    </row>
    <row r="724" spans="1:12" hidden="1" x14ac:dyDescent="0.25">
      <c r="A724" s="4">
        <v>722</v>
      </c>
      <c r="B724" s="2" t="str">
        <f>HYPERLINK("https://my.zakupki.prom.ua/remote/dispatcher/state_purchase_view/13191453", "UA-2019-10-16-001535-b")</f>
        <v>UA-2019-10-16-001535-b</v>
      </c>
      <c r="C724" s="1" t="s">
        <v>418</v>
      </c>
      <c r="D724" s="1" t="s">
        <v>180</v>
      </c>
      <c r="E724" s="1" t="s">
        <v>470</v>
      </c>
      <c r="F724" s="5">
        <v>43754</v>
      </c>
      <c r="G724" s="7">
        <v>43762.58221064815</v>
      </c>
      <c r="H724" s="6">
        <v>8652</v>
      </c>
      <c r="I724" s="1" t="s">
        <v>313</v>
      </c>
      <c r="J724" s="1" t="s">
        <v>1405</v>
      </c>
      <c r="K724" s="7">
        <v>43769.665311435972</v>
      </c>
      <c r="L724" s="6">
        <v>8610</v>
      </c>
    </row>
    <row r="725" spans="1:12" hidden="1" x14ac:dyDescent="0.25">
      <c r="A725" s="4">
        <v>723</v>
      </c>
      <c r="B725" s="2" t="str">
        <f>HYPERLINK("https://my.zakupki.prom.ua/remote/dispatcher/state_purchase_view/13524036", "UA-2019-11-12-000836-b")</f>
        <v>UA-2019-11-12-000836-b</v>
      </c>
      <c r="C725" s="1" t="s">
        <v>823</v>
      </c>
      <c r="D725" s="1" t="s">
        <v>246</v>
      </c>
      <c r="E725" s="1" t="s">
        <v>390</v>
      </c>
      <c r="F725" s="5">
        <v>43781</v>
      </c>
      <c r="G725" s="7">
        <v>43797.492581018516</v>
      </c>
      <c r="H725" s="6">
        <v>500000</v>
      </c>
      <c r="I725" s="1" t="s">
        <v>1129</v>
      </c>
      <c r="J725" s="1" t="s">
        <v>1405</v>
      </c>
      <c r="K725" s="7">
        <v>43812.449741748474</v>
      </c>
      <c r="L725" s="6">
        <v>497500</v>
      </c>
    </row>
    <row r="726" spans="1:12" hidden="1" x14ac:dyDescent="0.25">
      <c r="A726" s="4">
        <v>724</v>
      </c>
      <c r="B726" s="2" t="str">
        <f>HYPERLINK("https://my.zakupki.prom.ua/remote/dispatcher/state_purchase_view/13242131", "UA-2019-10-21-000959-b")</f>
        <v>UA-2019-10-21-000959-b</v>
      </c>
      <c r="C726" s="1" t="s">
        <v>556</v>
      </c>
      <c r="D726" s="1" t="s">
        <v>153</v>
      </c>
      <c r="E726" s="1" t="s">
        <v>470</v>
      </c>
      <c r="F726" s="5">
        <v>43759</v>
      </c>
      <c r="G726" s="7">
        <v>43767.6169212963</v>
      </c>
      <c r="H726" s="6">
        <v>6156</v>
      </c>
      <c r="I726" s="1" t="s">
        <v>1348</v>
      </c>
      <c r="J726" s="1" t="s">
        <v>1405</v>
      </c>
      <c r="K726" s="7">
        <v>43783.70580101719</v>
      </c>
      <c r="L726" s="6">
        <v>5845</v>
      </c>
    </row>
    <row r="727" spans="1:12" hidden="1" x14ac:dyDescent="0.25">
      <c r="A727" s="4">
        <v>725</v>
      </c>
      <c r="B727" s="2" t="str">
        <f>HYPERLINK("https://my.zakupki.prom.ua/remote/dispatcher/state_purchase_view/13356490", "UA-2019-10-29-000942-b")</f>
        <v>UA-2019-10-29-000942-b</v>
      </c>
      <c r="C727" s="1" t="s">
        <v>1061</v>
      </c>
      <c r="D727" s="1" t="s">
        <v>90</v>
      </c>
      <c r="E727" s="1" t="s">
        <v>470</v>
      </c>
      <c r="F727" s="5">
        <v>43767</v>
      </c>
      <c r="G727" s="1" t="s">
        <v>1398</v>
      </c>
      <c r="H727" s="6">
        <v>60600</v>
      </c>
      <c r="I727" s="1" t="s">
        <v>700</v>
      </c>
      <c r="J727" s="1" t="s">
        <v>1405</v>
      </c>
      <c r="K727" s="7">
        <v>43780.660238057571</v>
      </c>
      <c r="L727" s="6">
        <v>58380</v>
      </c>
    </row>
    <row r="728" spans="1:12" hidden="1" x14ac:dyDescent="0.25">
      <c r="A728" s="4">
        <v>726</v>
      </c>
      <c r="B728" s="2" t="str">
        <f>HYPERLINK("https://my.zakupki.prom.ua/remote/dispatcher/state_purchase_view/15926680", "UA-2020-03-24-001230-b")</f>
        <v>UA-2020-03-24-001230-b</v>
      </c>
      <c r="C728" s="1" t="s">
        <v>614</v>
      </c>
      <c r="D728" s="1" t="s">
        <v>166</v>
      </c>
      <c r="E728" s="1" t="s">
        <v>390</v>
      </c>
      <c r="F728" s="5">
        <v>43914</v>
      </c>
      <c r="G728" s="7">
        <v>43935.585185185184</v>
      </c>
      <c r="H728" s="6">
        <v>227710</v>
      </c>
      <c r="I728" s="1" t="s">
        <v>1330</v>
      </c>
      <c r="J728" s="1" t="s">
        <v>1405</v>
      </c>
      <c r="K728" s="7">
        <v>43948.522018498057</v>
      </c>
      <c r="L728" s="6">
        <v>227688.44</v>
      </c>
    </row>
    <row r="729" spans="1:12" hidden="1" x14ac:dyDescent="0.25">
      <c r="A729" s="4">
        <v>727</v>
      </c>
      <c r="B729" s="2" t="str">
        <f>HYPERLINK("https://my.zakupki.prom.ua/remote/dispatcher/state_purchase_view/15158440", "UA-2020-02-07-001621-a")</f>
        <v>UA-2020-02-07-001621-a</v>
      </c>
      <c r="C729" s="1" t="s">
        <v>492</v>
      </c>
      <c r="D729" s="1" t="s">
        <v>47</v>
      </c>
      <c r="E729" s="1" t="s">
        <v>470</v>
      </c>
      <c r="F729" s="5">
        <v>43868</v>
      </c>
      <c r="G729" s="7">
        <v>43878.660069444442</v>
      </c>
      <c r="H729" s="6">
        <v>49857</v>
      </c>
      <c r="I729" s="1" t="s">
        <v>449</v>
      </c>
      <c r="J729" s="1" t="s">
        <v>1405</v>
      </c>
      <c r="K729" s="7">
        <v>43886.70207029883</v>
      </c>
      <c r="L729" s="6">
        <v>49853.8</v>
      </c>
    </row>
    <row r="730" spans="1:12" hidden="1" x14ac:dyDescent="0.25">
      <c r="A730" s="4">
        <v>728</v>
      </c>
      <c r="B730" s="2" t="str">
        <f>HYPERLINK("https://my.zakupki.prom.ua/remote/dispatcher/state_purchase_view/14474130", "UA-2020-01-14-001135-c")</f>
        <v>UA-2020-01-14-001135-c</v>
      </c>
      <c r="C730" s="1" t="s">
        <v>826</v>
      </c>
      <c r="D730" s="1" t="s">
        <v>246</v>
      </c>
      <c r="E730" s="1" t="s">
        <v>390</v>
      </c>
      <c r="F730" s="5">
        <v>43844</v>
      </c>
      <c r="G730" s="7">
        <v>43865.623888888891</v>
      </c>
      <c r="H730" s="6">
        <v>3400000</v>
      </c>
      <c r="I730" s="1"/>
      <c r="J730" s="1" t="s">
        <v>1406</v>
      </c>
      <c r="K730" s="7">
        <v>43877.003320797754</v>
      </c>
      <c r="L730" s="1"/>
    </row>
    <row r="731" spans="1:12" hidden="1" x14ac:dyDescent="0.25">
      <c r="A731" s="4">
        <v>729</v>
      </c>
      <c r="B731" s="2" t="str">
        <f>HYPERLINK("https://my.zakupki.prom.ua/remote/dispatcher/state_purchase_view/15756833", "UA-2020-03-13-002621-b")</f>
        <v>UA-2020-03-13-002621-b</v>
      </c>
      <c r="C731" s="1" t="s">
        <v>381</v>
      </c>
      <c r="D731" s="1" t="s">
        <v>111</v>
      </c>
      <c r="E731" s="1" t="s">
        <v>390</v>
      </c>
      <c r="F731" s="5">
        <v>43903</v>
      </c>
      <c r="G731" s="7">
        <v>43921.480011574073</v>
      </c>
      <c r="H731" s="6">
        <v>320000</v>
      </c>
      <c r="I731" s="1"/>
      <c r="J731" s="1" t="s">
        <v>1406</v>
      </c>
      <c r="K731" s="7">
        <v>43933.00158066248</v>
      </c>
      <c r="L731" s="1"/>
    </row>
    <row r="732" spans="1:12" hidden="1" x14ac:dyDescent="0.25">
      <c r="A732" s="4">
        <v>730</v>
      </c>
      <c r="B732" s="2" t="str">
        <f>HYPERLINK("https://my.zakupki.prom.ua/remote/dispatcher/state_purchase_view/22162590", "UA-2020-12-15-002190-c")</f>
        <v>UA-2020-12-15-002190-c</v>
      </c>
      <c r="C732" s="1" t="s">
        <v>305</v>
      </c>
      <c r="D732" s="1" t="s">
        <v>228</v>
      </c>
      <c r="E732" s="1" t="s">
        <v>488</v>
      </c>
      <c r="F732" s="5">
        <v>44180</v>
      </c>
      <c r="G732" s="1" t="s">
        <v>1397</v>
      </c>
      <c r="H732" s="6">
        <v>300</v>
      </c>
      <c r="I732" s="1" t="s">
        <v>1391</v>
      </c>
      <c r="J732" s="1" t="s">
        <v>1405</v>
      </c>
      <c r="K732" s="7">
        <v>44180.416247951747</v>
      </c>
      <c r="L732" s="6">
        <v>300</v>
      </c>
    </row>
    <row r="733" spans="1:12" hidden="1" x14ac:dyDescent="0.25">
      <c r="A733" s="4">
        <v>731</v>
      </c>
      <c r="B733" s="2" t="str">
        <f>HYPERLINK("https://my.zakupki.prom.ua/remote/dispatcher/state_purchase_view/30396765", "UA-2021-10-01-001406-b")</f>
        <v>UA-2021-10-01-001406-b</v>
      </c>
      <c r="C733" s="1" t="s">
        <v>1094</v>
      </c>
      <c r="D733" s="1" t="s">
        <v>133</v>
      </c>
      <c r="E733" s="1" t="s">
        <v>390</v>
      </c>
      <c r="F733" s="5">
        <v>44470</v>
      </c>
      <c r="G733" s="1" t="s">
        <v>1398</v>
      </c>
      <c r="H733" s="6">
        <v>280000</v>
      </c>
      <c r="I733" s="1"/>
      <c r="J733" s="1" t="s">
        <v>1419</v>
      </c>
      <c r="K733" s="7">
        <v>44500.958754489999</v>
      </c>
      <c r="L733" s="1"/>
    </row>
    <row r="734" spans="1:12" x14ac:dyDescent="0.25">
      <c r="A734" s="4">
        <v>732</v>
      </c>
      <c r="B734" s="2" t="str">
        <f>HYPERLINK("https://my.zakupki.prom.ua/remote/dispatcher/state_purchase_view/30335260", "UA-2021-09-29-003538-b")</f>
        <v>UA-2021-09-29-003538-b</v>
      </c>
      <c r="C734" s="1" t="s">
        <v>942</v>
      </c>
      <c r="D734" s="1" t="s">
        <v>188</v>
      </c>
      <c r="E734" s="1" t="s">
        <v>390</v>
      </c>
      <c r="F734" s="5">
        <v>44468</v>
      </c>
      <c r="G734" s="7">
        <v>44487.605636574073</v>
      </c>
      <c r="H734" s="6">
        <v>835100</v>
      </c>
      <c r="I734" s="1" t="s">
        <v>1219</v>
      </c>
      <c r="J734" s="1" t="s">
        <v>1405</v>
      </c>
      <c r="K734" s="7">
        <v>44501.58439620112</v>
      </c>
      <c r="L734" s="6">
        <v>835099.96</v>
      </c>
    </row>
    <row r="735" spans="1:12" hidden="1" x14ac:dyDescent="0.25">
      <c r="A735" s="4">
        <v>733</v>
      </c>
      <c r="B735" s="2" t="str">
        <f>HYPERLINK("https://my.zakupki.prom.ua/remote/dispatcher/state_purchase_view/18526632", "UA-2020-08-13-005093-a")</f>
        <v>UA-2020-08-13-005093-a</v>
      </c>
      <c r="C735" s="1" t="s">
        <v>795</v>
      </c>
      <c r="D735" s="1" t="s">
        <v>255</v>
      </c>
      <c r="E735" s="1" t="s">
        <v>1086</v>
      </c>
      <c r="F735" s="5">
        <v>44056</v>
      </c>
      <c r="G735" s="1" t="s">
        <v>1398</v>
      </c>
      <c r="H735" s="6">
        <v>199000</v>
      </c>
      <c r="I735" s="1" t="s">
        <v>1118</v>
      </c>
      <c r="J735" s="1" t="s">
        <v>1405</v>
      </c>
      <c r="K735" s="7">
        <v>44076.448239982776</v>
      </c>
      <c r="L735" s="6">
        <v>197232</v>
      </c>
    </row>
    <row r="736" spans="1:12" hidden="1" x14ac:dyDescent="0.25">
      <c r="A736" s="4">
        <v>734</v>
      </c>
      <c r="B736" s="2" t="str">
        <f>HYPERLINK("https://my.zakupki.prom.ua/remote/dispatcher/state_purchase_view/18860222", "UA-2020-08-28-002931-b")</f>
        <v>UA-2020-08-28-002931-b</v>
      </c>
      <c r="C736" s="1" t="s">
        <v>554</v>
      </c>
      <c r="D736" s="1" t="s">
        <v>96</v>
      </c>
      <c r="E736" s="1" t="s">
        <v>390</v>
      </c>
      <c r="F736" s="5">
        <v>44071</v>
      </c>
      <c r="G736" s="7">
        <v>44088.473877314813</v>
      </c>
      <c r="H736" s="6">
        <v>700000</v>
      </c>
      <c r="I736" s="1" t="s">
        <v>1111</v>
      </c>
      <c r="J736" s="1" t="s">
        <v>1405</v>
      </c>
      <c r="K736" s="7">
        <v>44102.630275540854</v>
      </c>
      <c r="L736" s="6">
        <v>645000</v>
      </c>
    </row>
    <row r="737" spans="1:12" hidden="1" x14ac:dyDescent="0.25">
      <c r="A737" s="4">
        <v>735</v>
      </c>
      <c r="B737" s="2" t="str">
        <f>HYPERLINK("https://my.zakupki.prom.ua/remote/dispatcher/state_purchase_view/19051107", "UA-2020-09-07-003693-b")</f>
        <v>UA-2020-09-07-003693-b</v>
      </c>
      <c r="C737" s="1" t="s">
        <v>424</v>
      </c>
      <c r="D737" s="1" t="s">
        <v>178</v>
      </c>
      <c r="E737" s="1" t="s">
        <v>488</v>
      </c>
      <c r="F737" s="5">
        <v>44081</v>
      </c>
      <c r="G737" s="1" t="s">
        <v>1397</v>
      </c>
      <c r="H737" s="6">
        <v>7014.54</v>
      </c>
      <c r="I737" s="1" t="s">
        <v>1225</v>
      </c>
      <c r="J737" s="1" t="s">
        <v>1405</v>
      </c>
      <c r="K737" s="7">
        <v>44081.524520758379</v>
      </c>
      <c r="L737" s="6">
        <v>7014.54</v>
      </c>
    </row>
    <row r="738" spans="1:12" hidden="1" x14ac:dyDescent="0.25">
      <c r="A738" s="4">
        <v>736</v>
      </c>
      <c r="B738" s="2" t="str">
        <f>HYPERLINK("https://my.zakupki.prom.ua/remote/dispatcher/state_purchase_view/599568", "UA-2016-10-04-000749-b")</f>
        <v>UA-2016-10-04-000749-b</v>
      </c>
      <c r="C738" s="1" t="s">
        <v>671</v>
      </c>
      <c r="D738" s="1" t="s">
        <v>150</v>
      </c>
      <c r="E738" s="1" t="s">
        <v>470</v>
      </c>
      <c r="F738" s="5">
        <v>42647</v>
      </c>
      <c r="G738" s="1" t="s">
        <v>1399</v>
      </c>
      <c r="H738" s="6">
        <v>12600</v>
      </c>
      <c r="I738" s="1" t="s">
        <v>1392</v>
      </c>
      <c r="J738" s="1" t="s">
        <v>1404</v>
      </c>
      <c r="K738" s="7">
        <v>42661.591653204261</v>
      </c>
      <c r="L738" s="6">
        <v>5700</v>
      </c>
    </row>
    <row r="739" spans="1:12" hidden="1" x14ac:dyDescent="0.25">
      <c r="A739" s="4">
        <v>737</v>
      </c>
      <c r="B739" s="2" t="str">
        <f>HYPERLINK("https://my.zakupki.prom.ua/remote/dispatcher/state_purchase_view/599568", "UA-2016-10-04-000749-b")</f>
        <v>UA-2016-10-04-000749-b</v>
      </c>
      <c r="C739" s="1" t="s">
        <v>670</v>
      </c>
      <c r="D739" s="1" t="s">
        <v>150</v>
      </c>
      <c r="E739" s="1" t="s">
        <v>470</v>
      </c>
      <c r="F739" s="5">
        <v>42647</v>
      </c>
      <c r="G739" s="1" t="s">
        <v>1399</v>
      </c>
      <c r="H739" s="6">
        <v>12600</v>
      </c>
      <c r="I739" s="1" t="s">
        <v>1392</v>
      </c>
      <c r="J739" s="1" t="s">
        <v>1404</v>
      </c>
      <c r="K739" s="7">
        <v>42661.510512406727</v>
      </c>
      <c r="L739" s="6">
        <v>3555</v>
      </c>
    </row>
    <row r="740" spans="1:12" hidden="1" x14ac:dyDescent="0.25">
      <c r="A740" s="4">
        <v>738</v>
      </c>
      <c r="B740" s="2" t="str">
        <f>HYPERLINK("https://my.zakupki.prom.ua/remote/dispatcher/state_purchase_view/1109584", "UA-2016-12-06-000845-a")</f>
        <v>UA-2016-12-06-000845-a</v>
      </c>
      <c r="C740" s="1" t="s">
        <v>523</v>
      </c>
      <c r="D740" s="1" t="s">
        <v>174</v>
      </c>
      <c r="E740" s="1" t="s">
        <v>470</v>
      </c>
      <c r="F740" s="5">
        <v>42710</v>
      </c>
      <c r="G740" s="1" t="s">
        <v>1398</v>
      </c>
      <c r="H740" s="6">
        <v>14559</v>
      </c>
      <c r="I740" s="1"/>
      <c r="J740" s="1" t="s">
        <v>1419</v>
      </c>
      <c r="K740" s="7">
        <v>42713.717457188133</v>
      </c>
      <c r="L740" s="1"/>
    </row>
    <row r="741" spans="1:12" hidden="1" x14ac:dyDescent="0.25">
      <c r="A741" s="4">
        <v>739</v>
      </c>
      <c r="B741" s="2" t="str">
        <f>HYPERLINK("https://my.zakupki.prom.ua/remote/dispatcher/state_purchase_view/2706003", "UA-2017-03-31-000733-b")</f>
        <v>UA-2017-03-31-000733-b</v>
      </c>
      <c r="C741" s="1" t="s">
        <v>883</v>
      </c>
      <c r="D741" s="1" t="s">
        <v>207</v>
      </c>
      <c r="E741" s="1" t="s">
        <v>470</v>
      </c>
      <c r="F741" s="5">
        <v>42825</v>
      </c>
      <c r="G741" s="1" t="s">
        <v>1398</v>
      </c>
      <c r="H741" s="6">
        <v>45000</v>
      </c>
      <c r="I741" s="1" t="s">
        <v>1140</v>
      </c>
      <c r="J741" s="1" t="s">
        <v>1405</v>
      </c>
      <c r="K741" s="7">
        <v>42838.597212610301</v>
      </c>
      <c r="L741" s="6">
        <v>45000</v>
      </c>
    </row>
    <row r="742" spans="1:12" hidden="1" x14ac:dyDescent="0.25">
      <c r="A742" s="4">
        <v>740</v>
      </c>
      <c r="B742" s="2" t="str">
        <f>HYPERLINK("https://my.zakupki.prom.ua/remote/dispatcher/state_purchase_view/3351982", "UA-2017-06-16-001595-b")</f>
        <v>UA-2017-06-16-001595-b</v>
      </c>
      <c r="C742" s="1" t="s">
        <v>1045</v>
      </c>
      <c r="D742" s="1" t="s">
        <v>135</v>
      </c>
      <c r="E742" s="1" t="s">
        <v>470</v>
      </c>
      <c r="F742" s="5">
        <v>42902</v>
      </c>
      <c r="G742" s="1" t="s">
        <v>1398</v>
      </c>
      <c r="H742" s="6">
        <v>5500</v>
      </c>
      <c r="I742" s="1" t="s">
        <v>1185</v>
      </c>
      <c r="J742" s="1" t="s">
        <v>1405</v>
      </c>
      <c r="K742" s="7">
        <v>42921.374320484305</v>
      </c>
      <c r="L742" s="6">
        <v>5450</v>
      </c>
    </row>
    <row r="743" spans="1:12" hidden="1" x14ac:dyDescent="0.25">
      <c r="A743" s="4">
        <v>741</v>
      </c>
      <c r="B743" s="2" t="str">
        <f>HYPERLINK("https://my.zakupki.prom.ua/remote/dispatcher/state_purchase_view/3351382", "UA-2017-06-16-001507-b")</f>
        <v>UA-2017-06-16-001507-b</v>
      </c>
      <c r="C743" s="1" t="s">
        <v>477</v>
      </c>
      <c r="D743" s="1" t="s">
        <v>164</v>
      </c>
      <c r="E743" s="1" t="s">
        <v>470</v>
      </c>
      <c r="F743" s="5">
        <v>42902</v>
      </c>
      <c r="G743" s="1" t="s">
        <v>1398</v>
      </c>
      <c r="H743" s="6">
        <v>17733</v>
      </c>
      <c r="I743" s="1" t="s">
        <v>313</v>
      </c>
      <c r="J743" s="1" t="s">
        <v>1405</v>
      </c>
      <c r="K743" s="7">
        <v>42916.57220421837</v>
      </c>
      <c r="L743" s="6">
        <v>16489.240000000002</v>
      </c>
    </row>
    <row r="744" spans="1:12" hidden="1" x14ac:dyDescent="0.25">
      <c r="A744" s="4">
        <v>742</v>
      </c>
      <c r="B744" s="2" t="str">
        <f>HYPERLINK("https://my.zakupki.prom.ua/remote/dispatcher/state_purchase_view/2666467", "UA-2017-03-28-001371-b")</f>
        <v>UA-2017-03-28-001371-b</v>
      </c>
      <c r="C744" s="1" t="s">
        <v>484</v>
      </c>
      <c r="D744" s="1" t="s">
        <v>164</v>
      </c>
      <c r="E744" s="1" t="s">
        <v>470</v>
      </c>
      <c r="F744" s="5">
        <v>42822</v>
      </c>
      <c r="G744" s="7">
        <v>42831.589594907404</v>
      </c>
      <c r="H744" s="6">
        <v>12855</v>
      </c>
      <c r="I744" s="1" t="s">
        <v>969</v>
      </c>
      <c r="J744" s="1" t="s">
        <v>1405</v>
      </c>
      <c r="K744" s="7">
        <v>42838.544631526762</v>
      </c>
      <c r="L744" s="6">
        <v>12770.08</v>
      </c>
    </row>
    <row r="745" spans="1:12" hidden="1" x14ac:dyDescent="0.25">
      <c r="A745" s="4">
        <v>743</v>
      </c>
      <c r="B745" s="2" t="str">
        <f>HYPERLINK("https://my.zakupki.prom.ua/remote/dispatcher/state_purchase_view/2550142", "UA-2017-03-17-001504-b")</f>
        <v>UA-2017-03-17-001504-b</v>
      </c>
      <c r="C745" s="1" t="s">
        <v>472</v>
      </c>
      <c r="D745" s="1" t="s">
        <v>177</v>
      </c>
      <c r="E745" s="1" t="s">
        <v>470</v>
      </c>
      <c r="F745" s="5">
        <v>42811</v>
      </c>
      <c r="G745" s="7">
        <v>42821.610266203701</v>
      </c>
      <c r="H745" s="6">
        <v>7120</v>
      </c>
      <c r="I745" s="1" t="s">
        <v>1345</v>
      </c>
      <c r="J745" s="1" t="s">
        <v>1405</v>
      </c>
      <c r="K745" s="7">
        <v>42825.665890962548</v>
      </c>
      <c r="L745" s="6">
        <v>5789</v>
      </c>
    </row>
    <row r="746" spans="1:12" hidden="1" x14ac:dyDescent="0.25">
      <c r="A746" s="4">
        <v>744</v>
      </c>
      <c r="B746" s="2" t="str">
        <f>HYPERLINK("https://my.zakupki.prom.ua/remote/dispatcher/state_purchase_view/1828955", "UA-2017-01-27-002317-b")</f>
        <v>UA-2017-01-27-002317-b</v>
      </c>
      <c r="C746" s="1" t="s">
        <v>1267</v>
      </c>
      <c r="D746" s="1" t="s">
        <v>45</v>
      </c>
      <c r="E746" s="1" t="s">
        <v>390</v>
      </c>
      <c r="F746" s="5">
        <v>42762</v>
      </c>
      <c r="G746" s="7">
        <v>42780.653553240743</v>
      </c>
      <c r="H746" s="6">
        <v>493816</v>
      </c>
      <c r="I746" s="1" t="s">
        <v>449</v>
      </c>
      <c r="J746" s="1" t="s">
        <v>1405</v>
      </c>
      <c r="K746" s="7">
        <v>42797.431190502917</v>
      </c>
      <c r="L746" s="6">
        <v>486768</v>
      </c>
    </row>
    <row r="747" spans="1:12" hidden="1" x14ac:dyDescent="0.25">
      <c r="A747" s="4">
        <v>745</v>
      </c>
      <c r="B747" s="2" t="str">
        <f>HYPERLINK("https://my.zakupki.prom.ua/remote/dispatcher/state_purchase_view/1800414", "UA-2017-01-26-002557-b")</f>
        <v>UA-2017-01-26-002557-b</v>
      </c>
      <c r="C747" s="1" t="s">
        <v>13</v>
      </c>
      <c r="D747" s="1" t="s">
        <v>249</v>
      </c>
      <c r="E747" s="1" t="s">
        <v>470</v>
      </c>
      <c r="F747" s="5">
        <v>42761</v>
      </c>
      <c r="G747" s="1" t="s">
        <v>1398</v>
      </c>
      <c r="H747" s="6">
        <v>7000</v>
      </c>
      <c r="I747" s="1" t="s">
        <v>513</v>
      </c>
      <c r="J747" s="1" t="s">
        <v>1405</v>
      </c>
      <c r="K747" s="7">
        <v>42779.468447737301</v>
      </c>
      <c r="L747" s="6">
        <v>6990</v>
      </c>
    </row>
    <row r="748" spans="1:12" hidden="1" x14ac:dyDescent="0.25">
      <c r="A748" s="4">
        <v>746</v>
      </c>
      <c r="B748" s="2" t="str">
        <f>HYPERLINK("https://my.zakupki.prom.ua/remote/dispatcher/state_purchase_view/4607965", "UA-2017-11-14-002589-a")</f>
        <v>UA-2017-11-14-002589-a</v>
      </c>
      <c r="C748" s="1" t="s">
        <v>1021</v>
      </c>
      <c r="D748" s="1" t="s">
        <v>220</v>
      </c>
      <c r="E748" s="1" t="s">
        <v>488</v>
      </c>
      <c r="F748" s="5">
        <v>43053</v>
      </c>
      <c r="G748" s="1" t="s">
        <v>1397</v>
      </c>
      <c r="H748" s="6">
        <v>2898</v>
      </c>
      <c r="I748" s="1" t="s">
        <v>1167</v>
      </c>
      <c r="J748" s="1" t="s">
        <v>1405</v>
      </c>
      <c r="K748" s="7">
        <v>43053.694813040893</v>
      </c>
      <c r="L748" s="6">
        <v>2898</v>
      </c>
    </row>
    <row r="749" spans="1:12" hidden="1" x14ac:dyDescent="0.25">
      <c r="A749" s="4">
        <v>747</v>
      </c>
      <c r="B749" s="2" t="str">
        <f>HYPERLINK("https://my.zakupki.prom.ua/remote/dispatcher/state_purchase_view/4188049", "UA-2017-10-02-000952-b")</f>
        <v>UA-2017-10-02-000952-b</v>
      </c>
      <c r="C749" s="1" t="s">
        <v>861</v>
      </c>
      <c r="D749" s="1" t="s">
        <v>184</v>
      </c>
      <c r="E749" s="1" t="s">
        <v>470</v>
      </c>
      <c r="F749" s="5">
        <v>43010</v>
      </c>
      <c r="G749" s="1" t="s">
        <v>1398</v>
      </c>
      <c r="H749" s="6">
        <v>190000</v>
      </c>
      <c r="I749" s="1" t="s">
        <v>1135</v>
      </c>
      <c r="J749" s="1" t="s">
        <v>1405</v>
      </c>
      <c r="K749" s="7">
        <v>43031.654891961771</v>
      </c>
      <c r="L749" s="6">
        <v>189930</v>
      </c>
    </row>
    <row r="750" spans="1:12" hidden="1" x14ac:dyDescent="0.25">
      <c r="A750" s="4">
        <v>748</v>
      </c>
      <c r="B750" s="2" t="str">
        <f>HYPERLINK("https://my.zakupki.prom.ua/remote/dispatcher/state_purchase_view/4559185", "UA-2017-11-09-002608-c")</f>
        <v>UA-2017-11-09-002608-c</v>
      </c>
      <c r="C750" s="1" t="s">
        <v>471</v>
      </c>
      <c r="D750" s="1" t="s">
        <v>176</v>
      </c>
      <c r="E750" s="1" t="s">
        <v>470</v>
      </c>
      <c r="F750" s="5">
        <v>43048</v>
      </c>
      <c r="G750" s="1" t="s">
        <v>1398</v>
      </c>
      <c r="H750" s="6">
        <v>19120</v>
      </c>
      <c r="I750" s="1"/>
      <c r="J750" s="1" t="s">
        <v>1419</v>
      </c>
      <c r="K750" s="7">
        <v>43066.488186148286</v>
      </c>
      <c r="L750" s="1"/>
    </row>
    <row r="751" spans="1:12" hidden="1" x14ac:dyDescent="0.25">
      <c r="A751" s="4">
        <v>749</v>
      </c>
      <c r="B751" s="2" t="str">
        <f>HYPERLINK("https://my.zakupki.prom.ua/remote/dispatcher/state_purchase_view/5988603", "UA-2018-02-05-000314-b")</f>
        <v>UA-2018-02-05-000314-b</v>
      </c>
      <c r="C751" s="1" t="s">
        <v>746</v>
      </c>
      <c r="D751" s="1" t="s">
        <v>265</v>
      </c>
      <c r="E751" s="1" t="s">
        <v>722</v>
      </c>
      <c r="F751" s="5">
        <v>43136</v>
      </c>
      <c r="G751" s="1" t="s">
        <v>1397</v>
      </c>
      <c r="H751" s="6">
        <v>412000</v>
      </c>
      <c r="I751" s="1" t="s">
        <v>1174</v>
      </c>
      <c r="J751" s="1" t="s">
        <v>1405</v>
      </c>
      <c r="K751" s="7">
        <v>43157.717503219756</v>
      </c>
      <c r="L751" s="6">
        <v>412000</v>
      </c>
    </row>
    <row r="752" spans="1:12" hidden="1" x14ac:dyDescent="0.25">
      <c r="A752" s="4">
        <v>750</v>
      </c>
      <c r="B752" s="2" t="str">
        <f>HYPERLINK("https://my.zakupki.prom.ua/remote/dispatcher/state_purchase_view/6373722", "UA-2018-03-01-000105-c")</f>
        <v>UA-2018-03-01-000105-c</v>
      </c>
      <c r="C752" s="1" t="s">
        <v>893</v>
      </c>
      <c r="D752" s="1" t="s">
        <v>245</v>
      </c>
      <c r="E752" s="1" t="s">
        <v>470</v>
      </c>
      <c r="F752" s="5">
        <v>43160</v>
      </c>
      <c r="G752" s="1" t="s">
        <v>1398</v>
      </c>
      <c r="H752" s="6">
        <v>70000</v>
      </c>
      <c r="I752" s="1" t="s">
        <v>1340</v>
      </c>
      <c r="J752" s="1" t="s">
        <v>1405</v>
      </c>
      <c r="K752" s="7">
        <v>43174.631729313995</v>
      </c>
      <c r="L752" s="6">
        <v>69700</v>
      </c>
    </row>
    <row r="753" spans="1:12" hidden="1" x14ac:dyDescent="0.25">
      <c r="A753" s="4">
        <v>751</v>
      </c>
      <c r="B753" s="2" t="str">
        <f>HYPERLINK("https://my.zakupki.prom.ua/remote/dispatcher/state_purchase_view/6384646", "UA-2018-03-01-001770-c")</f>
        <v>UA-2018-03-01-001770-c</v>
      </c>
      <c r="C753" s="1" t="s">
        <v>563</v>
      </c>
      <c r="D753" s="1" t="s">
        <v>239</v>
      </c>
      <c r="E753" s="1" t="s">
        <v>488</v>
      </c>
      <c r="F753" s="5">
        <v>43160</v>
      </c>
      <c r="G753" s="1" t="s">
        <v>1397</v>
      </c>
      <c r="H753" s="6">
        <v>50000</v>
      </c>
      <c r="I753" s="1" t="s">
        <v>1191</v>
      </c>
      <c r="J753" s="1" t="s">
        <v>1405</v>
      </c>
      <c r="K753" s="7">
        <v>43160.66841061852</v>
      </c>
      <c r="L753" s="6">
        <v>50000</v>
      </c>
    </row>
    <row r="754" spans="1:12" hidden="1" x14ac:dyDescent="0.25">
      <c r="A754" s="4">
        <v>752</v>
      </c>
      <c r="B754" s="2" t="str">
        <f>HYPERLINK("https://my.zakupki.prom.ua/remote/dispatcher/state_purchase_view/6487424", "UA-2018-03-13-001962-c")</f>
        <v>UA-2018-03-13-001962-c</v>
      </c>
      <c r="C754" s="1" t="s">
        <v>619</v>
      </c>
      <c r="D754" s="1" t="s">
        <v>129</v>
      </c>
      <c r="E754" s="1" t="s">
        <v>390</v>
      </c>
      <c r="F754" s="5">
        <v>43172</v>
      </c>
      <c r="G754" s="1" t="s">
        <v>1398</v>
      </c>
      <c r="H754" s="6">
        <v>268980</v>
      </c>
      <c r="I754" s="1"/>
      <c r="J754" s="1" t="s">
        <v>1419</v>
      </c>
      <c r="K754" s="7">
        <v>43227.600341405952</v>
      </c>
      <c r="L754" s="1"/>
    </row>
    <row r="755" spans="1:12" hidden="1" x14ac:dyDescent="0.25">
      <c r="A755" s="4">
        <v>753</v>
      </c>
      <c r="B755" s="2" t="str">
        <f>HYPERLINK("https://my.zakupki.prom.ua/remote/dispatcher/state_purchase_view/7791716", "UA-2018-07-23-001641-b")</f>
        <v>UA-2018-07-23-001641-b</v>
      </c>
      <c r="C755" s="1" t="s">
        <v>650</v>
      </c>
      <c r="D755" s="1" t="s">
        <v>153</v>
      </c>
      <c r="E755" s="1" t="s">
        <v>488</v>
      </c>
      <c r="F755" s="5">
        <v>43304</v>
      </c>
      <c r="G755" s="1" t="s">
        <v>1397</v>
      </c>
      <c r="H755" s="6">
        <v>51311.92</v>
      </c>
      <c r="I755" s="1" t="s">
        <v>1382</v>
      </c>
      <c r="J755" s="1" t="s">
        <v>1405</v>
      </c>
      <c r="K755" s="7">
        <v>43304.71763060127</v>
      </c>
      <c r="L755" s="6">
        <v>51311.92</v>
      </c>
    </row>
    <row r="756" spans="1:12" hidden="1" x14ac:dyDescent="0.25">
      <c r="A756" s="4">
        <v>754</v>
      </c>
      <c r="B756" s="2" t="str">
        <f>HYPERLINK("https://my.zakupki.prom.ua/remote/dispatcher/state_purchase_view/7846508", "UA-2018-07-30-000598-b")</f>
        <v>UA-2018-07-30-000598-b</v>
      </c>
      <c r="C756" s="1" t="s">
        <v>344</v>
      </c>
      <c r="D756" s="1" t="s">
        <v>30</v>
      </c>
      <c r="E756" s="1" t="s">
        <v>390</v>
      </c>
      <c r="F756" s="5">
        <v>43311</v>
      </c>
      <c r="G756" s="7">
        <v>43327.507708333331</v>
      </c>
      <c r="H756" s="6">
        <v>230000</v>
      </c>
      <c r="I756" s="1" t="s">
        <v>1244</v>
      </c>
      <c r="J756" s="1" t="s">
        <v>1405</v>
      </c>
      <c r="K756" s="7">
        <v>43339.698422764908</v>
      </c>
      <c r="L756" s="6">
        <v>229750</v>
      </c>
    </row>
    <row r="757" spans="1:12" hidden="1" x14ac:dyDescent="0.25">
      <c r="A757" s="4">
        <v>755</v>
      </c>
      <c r="B757" s="2" t="str">
        <f>HYPERLINK("https://my.zakupki.prom.ua/remote/dispatcher/state_purchase_view/8302848", "UA-2018-09-19-000706-c")</f>
        <v>UA-2018-09-19-000706-c</v>
      </c>
      <c r="C757" s="1" t="s">
        <v>550</v>
      </c>
      <c r="D757" s="1" t="s">
        <v>165</v>
      </c>
      <c r="E757" s="1" t="s">
        <v>391</v>
      </c>
      <c r="F757" s="5">
        <v>43362</v>
      </c>
      <c r="G757" s="7">
        <v>43402.52983796296</v>
      </c>
      <c r="H757" s="6">
        <v>175358</v>
      </c>
      <c r="I757" s="1" t="s">
        <v>1114</v>
      </c>
      <c r="J757" s="1" t="s">
        <v>1405</v>
      </c>
      <c r="K757" s="7">
        <v>43418.380997831839</v>
      </c>
      <c r="L757" s="6">
        <v>174795.6</v>
      </c>
    </row>
    <row r="758" spans="1:12" hidden="1" x14ac:dyDescent="0.25">
      <c r="A758" s="4">
        <v>756</v>
      </c>
      <c r="B758" s="2" t="str">
        <f>HYPERLINK("https://my.zakupki.prom.ua/remote/dispatcher/state_purchase_view/8406477", "UA-2018-09-28-001777-c")</f>
        <v>UA-2018-09-28-001777-c</v>
      </c>
      <c r="C758" s="1" t="s">
        <v>596</v>
      </c>
      <c r="D758" s="1" t="s">
        <v>111</v>
      </c>
      <c r="E758" s="1" t="s">
        <v>390</v>
      </c>
      <c r="F758" s="5">
        <v>43371</v>
      </c>
      <c r="G758" s="7">
        <v>43389.471215277779</v>
      </c>
      <c r="H758" s="6">
        <v>123650</v>
      </c>
      <c r="I758" s="1" t="s">
        <v>1331</v>
      </c>
      <c r="J758" s="1" t="s">
        <v>1405</v>
      </c>
      <c r="K758" s="7">
        <v>43409.62949478189</v>
      </c>
      <c r="L758" s="6">
        <v>120500</v>
      </c>
    </row>
    <row r="759" spans="1:12" hidden="1" x14ac:dyDescent="0.25">
      <c r="A759" s="4">
        <v>757</v>
      </c>
      <c r="B759" s="2" t="str">
        <f>HYPERLINK("https://my.zakupki.prom.ua/remote/dispatcher/state_purchase_view/4489121", "UA-2017-11-02-002961-a")</f>
        <v>UA-2017-11-02-002961-a</v>
      </c>
      <c r="C759" s="1" t="s">
        <v>1266</v>
      </c>
      <c r="D759" s="1" t="s">
        <v>45</v>
      </c>
      <c r="E759" s="1" t="s">
        <v>390</v>
      </c>
      <c r="F759" s="5">
        <v>43041</v>
      </c>
      <c r="G759" s="7">
        <v>43059.552557870367</v>
      </c>
      <c r="H759" s="6">
        <v>365430</v>
      </c>
      <c r="I759" s="1" t="s">
        <v>449</v>
      </c>
      <c r="J759" s="1" t="s">
        <v>1405</v>
      </c>
      <c r="K759" s="7">
        <v>43077.65737575513</v>
      </c>
      <c r="L759" s="6">
        <v>357500</v>
      </c>
    </row>
    <row r="760" spans="1:12" hidden="1" x14ac:dyDescent="0.25">
      <c r="A760" s="4">
        <v>758</v>
      </c>
      <c r="B760" s="2" t="str">
        <f>HYPERLINK("https://my.zakupki.prom.ua/remote/dispatcher/state_purchase_view/4475136", "UA-2017-11-01-003133-a")</f>
        <v>UA-2017-11-01-003133-a</v>
      </c>
      <c r="C760" s="1" t="s">
        <v>940</v>
      </c>
      <c r="D760" s="1" t="s">
        <v>185</v>
      </c>
      <c r="E760" s="1" t="s">
        <v>390</v>
      </c>
      <c r="F760" s="5">
        <v>43040</v>
      </c>
      <c r="G760" s="7">
        <v>43056.660405092596</v>
      </c>
      <c r="H760" s="6">
        <v>900000</v>
      </c>
      <c r="I760" s="1" t="s">
        <v>1108</v>
      </c>
      <c r="J760" s="1" t="s">
        <v>1405</v>
      </c>
      <c r="K760" s="7">
        <v>43073.384367998231</v>
      </c>
      <c r="L760" s="6">
        <v>850000</v>
      </c>
    </row>
    <row r="761" spans="1:12" hidden="1" x14ac:dyDescent="0.25">
      <c r="A761" s="4">
        <v>759</v>
      </c>
      <c r="B761" s="2" t="str">
        <f>HYPERLINK("https://my.zakupki.prom.ua/remote/dispatcher/state_purchase_view/6972305", "UA-2018-04-27-000450-a")</f>
        <v>UA-2018-04-27-000450-a</v>
      </c>
      <c r="C761" s="1" t="s">
        <v>359</v>
      </c>
      <c r="D761" s="1" t="s">
        <v>37</v>
      </c>
      <c r="E761" s="1" t="s">
        <v>488</v>
      </c>
      <c r="F761" s="5">
        <v>43217</v>
      </c>
      <c r="G761" s="1" t="s">
        <v>1397</v>
      </c>
      <c r="H761" s="6">
        <v>102945</v>
      </c>
      <c r="I761" s="1" t="s">
        <v>642</v>
      </c>
      <c r="J761" s="1" t="s">
        <v>1405</v>
      </c>
      <c r="K761" s="7">
        <v>43217.462343849373</v>
      </c>
      <c r="L761" s="6">
        <v>102945</v>
      </c>
    </row>
    <row r="762" spans="1:12" hidden="1" x14ac:dyDescent="0.25">
      <c r="A762" s="4">
        <v>760</v>
      </c>
      <c r="B762" s="2" t="str">
        <f>HYPERLINK("https://my.zakupki.prom.ua/remote/dispatcher/state_purchase_view/8011852", "UA-2018-08-16-002428-b")</f>
        <v>UA-2018-08-16-002428-b</v>
      </c>
      <c r="C762" s="1" t="s">
        <v>606</v>
      </c>
      <c r="D762" s="1" t="s">
        <v>34</v>
      </c>
      <c r="E762" s="1" t="s">
        <v>470</v>
      </c>
      <c r="F762" s="5">
        <v>43328</v>
      </c>
      <c r="G762" s="1" t="s">
        <v>1398</v>
      </c>
      <c r="H762" s="6">
        <v>18100</v>
      </c>
      <c r="I762" s="1" t="s">
        <v>449</v>
      </c>
      <c r="J762" s="1" t="s">
        <v>1405</v>
      </c>
      <c r="K762" s="7">
        <v>43343.389796308933</v>
      </c>
      <c r="L762" s="6">
        <v>18100</v>
      </c>
    </row>
    <row r="763" spans="1:12" hidden="1" x14ac:dyDescent="0.25">
      <c r="A763" s="4">
        <v>761</v>
      </c>
      <c r="B763" s="2" t="str">
        <f>HYPERLINK("https://my.zakupki.prom.ua/remote/dispatcher/state_purchase_view/9064389", "UA-2018-11-27-002744-c")</f>
        <v>UA-2018-11-27-002744-c</v>
      </c>
      <c r="C763" s="1" t="s">
        <v>672</v>
      </c>
      <c r="D763" s="1" t="s">
        <v>148</v>
      </c>
      <c r="E763" s="1" t="s">
        <v>470</v>
      </c>
      <c r="F763" s="5">
        <v>43431</v>
      </c>
      <c r="G763" s="7">
        <v>43439.626770833333</v>
      </c>
      <c r="H763" s="6">
        <v>32800</v>
      </c>
      <c r="I763" s="1" t="s">
        <v>1336</v>
      </c>
      <c r="J763" s="1" t="s">
        <v>1405</v>
      </c>
      <c r="K763" s="7">
        <v>43455.355750644143</v>
      </c>
      <c r="L763" s="6">
        <v>32800</v>
      </c>
    </row>
    <row r="764" spans="1:12" hidden="1" x14ac:dyDescent="0.25">
      <c r="A764" s="4">
        <v>762</v>
      </c>
      <c r="B764" s="2" t="str">
        <f>HYPERLINK("https://my.zakupki.prom.ua/remote/dispatcher/state_purchase_view/9309107", "UA-2018-12-12-002597-c")</f>
        <v>UA-2018-12-12-002597-c</v>
      </c>
      <c r="C764" s="1" t="s">
        <v>387</v>
      </c>
      <c r="D764" s="1" t="s">
        <v>259</v>
      </c>
      <c r="E764" s="1" t="s">
        <v>470</v>
      </c>
      <c r="F764" s="5">
        <v>43446</v>
      </c>
      <c r="G764" s="7">
        <v>43455.621168981481</v>
      </c>
      <c r="H764" s="6">
        <v>183954</v>
      </c>
      <c r="I764" s="1" t="s">
        <v>1308</v>
      </c>
      <c r="J764" s="1" t="s">
        <v>1405</v>
      </c>
      <c r="K764" s="7">
        <v>43475.416872165471</v>
      </c>
      <c r="L764" s="6">
        <v>145500</v>
      </c>
    </row>
    <row r="765" spans="1:12" hidden="1" x14ac:dyDescent="0.25">
      <c r="A765" s="4">
        <v>763</v>
      </c>
      <c r="B765" s="2" t="str">
        <f>HYPERLINK("https://my.zakupki.prom.ua/remote/dispatcher/state_purchase_view/4445715", "UA-2017-10-30-001400-a")</f>
        <v>UA-2017-10-30-001400-a</v>
      </c>
      <c r="C765" s="1" t="s">
        <v>483</v>
      </c>
      <c r="D765" s="1" t="s">
        <v>164</v>
      </c>
      <c r="E765" s="1" t="s">
        <v>470</v>
      </c>
      <c r="F765" s="5">
        <v>43038</v>
      </c>
      <c r="G765" s="7">
        <v>43047.566250000003</v>
      </c>
      <c r="H765" s="6">
        <v>154103</v>
      </c>
      <c r="I765" s="1" t="s">
        <v>313</v>
      </c>
      <c r="J765" s="1" t="s">
        <v>1405</v>
      </c>
      <c r="K765" s="7">
        <v>43056.6367620616</v>
      </c>
      <c r="L765" s="6">
        <v>122530</v>
      </c>
    </row>
    <row r="766" spans="1:12" hidden="1" x14ac:dyDescent="0.25">
      <c r="A766" s="4">
        <v>764</v>
      </c>
      <c r="B766" s="2" t="str">
        <f>HYPERLINK("https://my.zakupki.prom.ua/remote/dispatcher/state_purchase_view/6553034", "UA-2018-03-19-001225-c")</f>
        <v>UA-2018-03-19-001225-c</v>
      </c>
      <c r="C766" s="1" t="s">
        <v>852</v>
      </c>
      <c r="D766" s="1" t="s">
        <v>228</v>
      </c>
      <c r="E766" s="1" t="s">
        <v>470</v>
      </c>
      <c r="F766" s="5">
        <v>43178</v>
      </c>
      <c r="G766" s="1" t="s">
        <v>1398</v>
      </c>
      <c r="H766" s="6">
        <v>39000</v>
      </c>
      <c r="I766" s="1" t="s">
        <v>1320</v>
      </c>
      <c r="J766" s="1" t="s">
        <v>1405</v>
      </c>
      <c r="K766" s="7">
        <v>43194.737957651181</v>
      </c>
      <c r="L766" s="6">
        <v>38700</v>
      </c>
    </row>
    <row r="767" spans="1:12" hidden="1" x14ac:dyDescent="0.25">
      <c r="A767" s="4">
        <v>765</v>
      </c>
      <c r="B767" s="2" t="str">
        <f>HYPERLINK("https://my.zakupki.prom.ua/remote/dispatcher/state_purchase_view/7555209", "UA-2018-06-25-000923-a")</f>
        <v>UA-2018-06-25-000923-a</v>
      </c>
      <c r="C767" s="1" t="s">
        <v>359</v>
      </c>
      <c r="D767" s="1" t="s">
        <v>37</v>
      </c>
      <c r="E767" s="1" t="s">
        <v>488</v>
      </c>
      <c r="F767" s="5">
        <v>43276</v>
      </c>
      <c r="G767" s="1" t="s">
        <v>1397</v>
      </c>
      <c r="H767" s="6">
        <v>12600</v>
      </c>
      <c r="I767" s="1" t="s">
        <v>642</v>
      </c>
      <c r="J767" s="1" t="s">
        <v>1405</v>
      </c>
      <c r="K767" s="7">
        <v>43276.596980326409</v>
      </c>
      <c r="L767" s="6">
        <v>12600</v>
      </c>
    </row>
    <row r="768" spans="1:12" hidden="1" x14ac:dyDescent="0.25">
      <c r="A768" s="4">
        <v>766</v>
      </c>
      <c r="B768" s="2" t="str">
        <f>HYPERLINK("https://my.zakupki.prom.ua/remote/dispatcher/state_purchase_view/13221958", "UA-2019-10-18-000800-b")</f>
        <v>UA-2019-10-18-000800-b</v>
      </c>
      <c r="C768" s="1" t="s">
        <v>342</v>
      </c>
      <c r="D768" s="1" t="s">
        <v>30</v>
      </c>
      <c r="E768" s="1" t="s">
        <v>390</v>
      </c>
      <c r="F768" s="5">
        <v>43756</v>
      </c>
      <c r="G768" s="7">
        <v>43773.664837962962</v>
      </c>
      <c r="H768" s="6">
        <v>115560</v>
      </c>
      <c r="I768" s="1" t="s">
        <v>1314</v>
      </c>
      <c r="J768" s="1" t="s">
        <v>1405</v>
      </c>
      <c r="K768" s="7">
        <v>43787.377014285164</v>
      </c>
      <c r="L768" s="6">
        <v>113440</v>
      </c>
    </row>
    <row r="769" spans="1:12" hidden="1" x14ac:dyDescent="0.25">
      <c r="A769" s="4">
        <v>767</v>
      </c>
      <c r="B769" s="2" t="str">
        <f>HYPERLINK("https://my.zakupki.prom.ua/remote/dispatcher/state_purchase_view/10994829", "UA-2019-03-20-000745-a")</f>
        <v>UA-2019-03-20-000745-a</v>
      </c>
      <c r="C769" s="1" t="s">
        <v>1065</v>
      </c>
      <c r="D769" s="1" t="s">
        <v>90</v>
      </c>
      <c r="E769" s="1" t="s">
        <v>470</v>
      </c>
      <c r="F769" s="5">
        <v>43544</v>
      </c>
      <c r="G769" s="1" t="s">
        <v>1398</v>
      </c>
      <c r="H769" s="6">
        <v>55200</v>
      </c>
      <c r="I769" s="1" t="s">
        <v>1333</v>
      </c>
      <c r="J769" s="1" t="s">
        <v>1405</v>
      </c>
      <c r="K769" s="7">
        <v>43558.446583287543</v>
      </c>
      <c r="L769" s="6">
        <v>54000</v>
      </c>
    </row>
    <row r="770" spans="1:12" hidden="1" x14ac:dyDescent="0.25">
      <c r="A770" s="4">
        <v>768</v>
      </c>
      <c r="B770" s="2" t="str">
        <f>HYPERLINK("https://my.zakupki.prom.ua/remote/dispatcher/state_purchase_view/13057533", "UA-2019-10-03-000399-b")</f>
        <v>UA-2019-10-03-000399-b</v>
      </c>
      <c r="C770" s="1" t="s">
        <v>960</v>
      </c>
      <c r="D770" s="1" t="s">
        <v>188</v>
      </c>
      <c r="E770" s="1" t="s">
        <v>390</v>
      </c>
      <c r="F770" s="5">
        <v>43741</v>
      </c>
      <c r="G770" s="7">
        <v>43761.495787037034</v>
      </c>
      <c r="H770" s="6">
        <v>370000</v>
      </c>
      <c r="I770" s="1" t="s">
        <v>1322</v>
      </c>
      <c r="J770" s="1" t="s">
        <v>1405</v>
      </c>
      <c r="K770" s="7">
        <v>43773.527562690404</v>
      </c>
      <c r="L770" s="6">
        <v>330000</v>
      </c>
    </row>
    <row r="771" spans="1:12" hidden="1" x14ac:dyDescent="0.25">
      <c r="A771" s="4">
        <v>769</v>
      </c>
      <c r="B771" s="2" t="str">
        <f>HYPERLINK("https://my.zakupki.prom.ua/remote/dispatcher/state_purchase_view/13191712", "UA-2019-10-16-001599-b")</f>
        <v>UA-2019-10-16-001599-b</v>
      </c>
      <c r="C771" s="1" t="s">
        <v>418</v>
      </c>
      <c r="D771" s="1" t="s">
        <v>62</v>
      </c>
      <c r="E771" s="1" t="s">
        <v>470</v>
      </c>
      <c r="F771" s="5">
        <v>43754</v>
      </c>
      <c r="G771" s="7">
        <v>43762.646284722221</v>
      </c>
      <c r="H771" s="6">
        <v>3240</v>
      </c>
      <c r="I771" s="1" t="s">
        <v>313</v>
      </c>
      <c r="J771" s="1" t="s">
        <v>1405</v>
      </c>
      <c r="K771" s="7">
        <v>43774.441829324736</v>
      </c>
      <c r="L771" s="6">
        <v>3194.88</v>
      </c>
    </row>
    <row r="772" spans="1:12" hidden="1" x14ac:dyDescent="0.25">
      <c r="A772" s="4">
        <v>770</v>
      </c>
      <c r="B772" s="2" t="str">
        <f>HYPERLINK("https://my.zakupki.prom.ua/remote/dispatcher/state_purchase_view/10390398", "UA-2019-02-05-002059-b")</f>
        <v>UA-2019-02-05-002059-b</v>
      </c>
      <c r="C772" s="1" t="s">
        <v>756</v>
      </c>
      <c r="D772" s="1" t="s">
        <v>233</v>
      </c>
      <c r="E772" s="1" t="s">
        <v>390</v>
      </c>
      <c r="F772" s="5">
        <v>43501</v>
      </c>
      <c r="G772" s="7">
        <v>43517.580520833333</v>
      </c>
      <c r="H772" s="6">
        <v>1521275.6</v>
      </c>
      <c r="I772" s="1" t="s">
        <v>1135</v>
      </c>
      <c r="J772" s="1" t="s">
        <v>1405</v>
      </c>
      <c r="K772" s="7">
        <v>43535.421753024413</v>
      </c>
      <c r="L772" s="6">
        <v>1513554.51</v>
      </c>
    </row>
    <row r="773" spans="1:12" hidden="1" x14ac:dyDescent="0.25">
      <c r="A773" s="4">
        <v>771</v>
      </c>
      <c r="B773" s="2" t="str">
        <f>HYPERLINK("https://my.zakupki.prom.ua/remote/dispatcher/state_purchase_view/12656910", "UA-2019-08-28-000595-a")</f>
        <v>UA-2019-08-28-000595-a</v>
      </c>
      <c r="C773" s="1" t="s">
        <v>833</v>
      </c>
      <c r="D773" s="1" t="s">
        <v>217</v>
      </c>
      <c r="E773" s="1" t="s">
        <v>390</v>
      </c>
      <c r="F773" s="5">
        <v>43705</v>
      </c>
      <c r="G773" s="1" t="s">
        <v>1398</v>
      </c>
      <c r="H773" s="6">
        <v>45000</v>
      </c>
      <c r="I773" s="1"/>
      <c r="J773" s="1" t="s">
        <v>1406</v>
      </c>
      <c r="K773" s="7">
        <v>43720.501812113347</v>
      </c>
      <c r="L773" s="1"/>
    </row>
    <row r="774" spans="1:12" hidden="1" x14ac:dyDescent="0.25">
      <c r="A774" s="4">
        <v>772</v>
      </c>
      <c r="B774" s="2" t="str">
        <f>HYPERLINK("https://my.zakupki.prom.ua/remote/dispatcher/state_purchase_view/11861705", "UA-2019-06-07-001385-b")</f>
        <v>UA-2019-06-07-001385-b</v>
      </c>
      <c r="C774" s="1" t="s">
        <v>276</v>
      </c>
      <c r="D774" s="1" t="s">
        <v>219</v>
      </c>
      <c r="E774" s="1" t="s">
        <v>470</v>
      </c>
      <c r="F774" s="5">
        <v>43623</v>
      </c>
      <c r="G774" s="7">
        <v>43634.554467592592</v>
      </c>
      <c r="H774" s="6">
        <v>45900</v>
      </c>
      <c r="I774" s="1" t="s">
        <v>1113</v>
      </c>
      <c r="J774" s="1" t="s">
        <v>1405</v>
      </c>
      <c r="K774" s="7">
        <v>43648.645728071737</v>
      </c>
      <c r="L774" s="6">
        <v>42000</v>
      </c>
    </row>
    <row r="775" spans="1:12" hidden="1" x14ac:dyDescent="0.25">
      <c r="A775" s="4">
        <v>773</v>
      </c>
      <c r="B775" s="2" t="str">
        <f>HYPERLINK("https://my.zakupki.prom.ua/remote/dispatcher/state_purchase_view/11719465", "UA-2019-05-27-000920-a")</f>
        <v>UA-2019-05-27-000920-a</v>
      </c>
      <c r="C775" s="1" t="s">
        <v>938</v>
      </c>
      <c r="D775" s="1" t="s">
        <v>184</v>
      </c>
      <c r="E775" s="1" t="s">
        <v>470</v>
      </c>
      <c r="F775" s="5">
        <v>43612</v>
      </c>
      <c r="G775" s="1" t="s">
        <v>1398</v>
      </c>
      <c r="H775" s="6">
        <v>84047</v>
      </c>
      <c r="I775" s="1" t="s">
        <v>1126</v>
      </c>
      <c r="J775" s="1" t="s">
        <v>1405</v>
      </c>
      <c r="K775" s="7">
        <v>43627.611281371333</v>
      </c>
      <c r="L775" s="6">
        <v>84046.68</v>
      </c>
    </row>
    <row r="776" spans="1:12" hidden="1" x14ac:dyDescent="0.25">
      <c r="A776" s="4">
        <v>774</v>
      </c>
      <c r="B776" s="2" t="str">
        <f>HYPERLINK("https://my.zakupki.prom.ua/remote/dispatcher/state_purchase_view/10903954", "UA-2019-03-13-002401-a")</f>
        <v>UA-2019-03-13-002401-a</v>
      </c>
      <c r="C776" s="1" t="s">
        <v>838</v>
      </c>
      <c r="D776" s="1" t="s">
        <v>241</v>
      </c>
      <c r="E776" s="1" t="s">
        <v>390</v>
      </c>
      <c r="F776" s="5">
        <v>43537</v>
      </c>
      <c r="G776" s="7">
        <v>43553.528865740744</v>
      </c>
      <c r="H776" s="6">
        <v>1800000</v>
      </c>
      <c r="I776" s="1" t="s">
        <v>1148</v>
      </c>
      <c r="J776" s="1" t="s">
        <v>1405</v>
      </c>
      <c r="K776" s="7">
        <v>43592.444802674319</v>
      </c>
      <c r="L776" s="6">
        <v>1780000</v>
      </c>
    </row>
    <row r="777" spans="1:12" hidden="1" x14ac:dyDescent="0.25">
      <c r="A777" s="4">
        <v>775</v>
      </c>
      <c r="B777" s="2" t="str">
        <f>HYPERLINK("https://my.zakupki.prom.ua/remote/dispatcher/state_purchase_view/10940353", "UA-2019-03-15-001379-a")</f>
        <v>UA-2019-03-15-001379-a</v>
      </c>
      <c r="C777" s="1" t="s">
        <v>862</v>
      </c>
      <c r="D777" s="1" t="s">
        <v>255</v>
      </c>
      <c r="E777" s="1" t="s">
        <v>390</v>
      </c>
      <c r="F777" s="5">
        <v>43539</v>
      </c>
      <c r="G777" s="7">
        <v>43556.51054398148</v>
      </c>
      <c r="H777" s="6">
        <v>316159</v>
      </c>
      <c r="I777" s="1" t="s">
        <v>1135</v>
      </c>
      <c r="J777" s="1" t="s">
        <v>1405</v>
      </c>
      <c r="K777" s="7">
        <v>43570.552769563736</v>
      </c>
      <c r="L777" s="6">
        <v>315732</v>
      </c>
    </row>
    <row r="778" spans="1:12" hidden="1" x14ac:dyDescent="0.25">
      <c r="A778" s="4">
        <v>776</v>
      </c>
      <c r="B778" s="2" t="str">
        <f>HYPERLINK("https://my.zakupki.prom.ua/remote/dispatcher/state_purchase_view/11315160", "UA-2019-04-16-000663-a")</f>
        <v>UA-2019-04-16-000663-a</v>
      </c>
      <c r="C778" s="1" t="s">
        <v>817</v>
      </c>
      <c r="D778" s="1" t="s">
        <v>205</v>
      </c>
      <c r="E778" s="1" t="s">
        <v>470</v>
      </c>
      <c r="F778" s="5">
        <v>43571</v>
      </c>
      <c r="G778" s="1" t="s">
        <v>1398</v>
      </c>
      <c r="H778" s="6">
        <v>49990</v>
      </c>
      <c r="I778" s="1" t="s">
        <v>449</v>
      </c>
      <c r="J778" s="1" t="s">
        <v>1405</v>
      </c>
      <c r="K778" s="7">
        <v>43581.391413027086</v>
      </c>
      <c r="L778" s="6">
        <v>49990</v>
      </c>
    </row>
    <row r="779" spans="1:12" hidden="1" x14ac:dyDescent="0.25">
      <c r="A779" s="4">
        <v>777</v>
      </c>
      <c r="B779" s="2" t="str">
        <f>HYPERLINK("https://my.zakupki.prom.ua/remote/dispatcher/state_purchase_view/12167209", "UA-2019-07-09-000168-b")</f>
        <v>UA-2019-07-09-000168-b</v>
      </c>
      <c r="C779" s="1" t="s">
        <v>348</v>
      </c>
      <c r="D779" s="1" t="s">
        <v>147</v>
      </c>
      <c r="E779" s="1" t="s">
        <v>470</v>
      </c>
      <c r="F779" s="5">
        <v>43655</v>
      </c>
      <c r="G779" s="1" t="s">
        <v>1398</v>
      </c>
      <c r="H779" s="6">
        <v>9600</v>
      </c>
      <c r="I779" s="1" t="s">
        <v>1330</v>
      </c>
      <c r="J779" s="1" t="s">
        <v>1405</v>
      </c>
      <c r="K779" s="7">
        <v>43669.416157533124</v>
      </c>
      <c r="L779" s="6">
        <v>9600</v>
      </c>
    </row>
    <row r="780" spans="1:12" hidden="1" x14ac:dyDescent="0.25">
      <c r="A780" s="4">
        <v>778</v>
      </c>
      <c r="B780" s="2" t="str">
        <f>HYPERLINK("https://my.zakupki.prom.ua/remote/dispatcher/state_purchase_view/10052280", "UA-2019-01-23-001258-b")</f>
        <v>UA-2019-01-23-001258-b</v>
      </c>
      <c r="C780" s="1" t="s">
        <v>914</v>
      </c>
      <c r="D780" s="1" t="s">
        <v>214</v>
      </c>
      <c r="E780" s="1" t="s">
        <v>723</v>
      </c>
      <c r="F780" s="5">
        <v>43488</v>
      </c>
      <c r="G780" s="1" t="s">
        <v>1397</v>
      </c>
      <c r="H780" s="6">
        <v>349174</v>
      </c>
      <c r="I780" s="1" t="s">
        <v>510</v>
      </c>
      <c r="J780" s="1" t="s">
        <v>1405</v>
      </c>
      <c r="K780" s="7">
        <v>43496.505348122999</v>
      </c>
      <c r="L780" s="6">
        <v>349174</v>
      </c>
    </row>
    <row r="781" spans="1:12" hidden="1" x14ac:dyDescent="0.25">
      <c r="A781" s="4">
        <v>779</v>
      </c>
      <c r="B781" s="2" t="str">
        <f>HYPERLINK("https://my.zakupki.prom.ua/remote/dispatcher/state_purchase_view/17572690", "UA-2020-07-01-001876-a")</f>
        <v>UA-2020-07-01-001876-a</v>
      </c>
      <c r="C781" s="1" t="s">
        <v>820</v>
      </c>
      <c r="D781" s="1" t="s">
        <v>235</v>
      </c>
      <c r="E781" s="1" t="s">
        <v>390</v>
      </c>
      <c r="F781" s="5">
        <v>44013</v>
      </c>
      <c r="G781" s="7">
        <v>44032.641331018516</v>
      </c>
      <c r="H781" s="6">
        <v>124108</v>
      </c>
      <c r="I781" s="1" t="s">
        <v>1118</v>
      </c>
      <c r="J781" s="1" t="s">
        <v>1405</v>
      </c>
      <c r="K781" s="7">
        <v>44046.378553253184</v>
      </c>
      <c r="L781" s="6">
        <v>122797.89</v>
      </c>
    </row>
    <row r="782" spans="1:12" hidden="1" x14ac:dyDescent="0.25">
      <c r="A782" s="4">
        <v>780</v>
      </c>
      <c r="B782" s="2" t="str">
        <f>HYPERLINK("https://my.zakupki.prom.ua/remote/dispatcher/state_purchase_view/13579257", "UA-2019-11-15-000474-b")</f>
        <v>UA-2019-11-15-000474-b</v>
      </c>
      <c r="C782" s="1" t="s">
        <v>608</v>
      </c>
      <c r="D782" s="1" t="s">
        <v>34</v>
      </c>
      <c r="E782" s="1" t="s">
        <v>470</v>
      </c>
      <c r="F782" s="5">
        <v>43784</v>
      </c>
      <c r="G782" s="1" t="s">
        <v>1398</v>
      </c>
      <c r="H782" s="6">
        <v>17560</v>
      </c>
      <c r="I782" s="1" t="s">
        <v>449</v>
      </c>
      <c r="J782" s="1" t="s">
        <v>1405</v>
      </c>
      <c r="K782" s="7">
        <v>43797.598971142499</v>
      </c>
      <c r="L782" s="6">
        <v>17560</v>
      </c>
    </row>
    <row r="783" spans="1:12" hidden="1" x14ac:dyDescent="0.25">
      <c r="A783" s="4">
        <v>781</v>
      </c>
      <c r="B783" s="2" t="str">
        <f>HYPERLINK("https://my.zakupki.prom.ua/remote/dispatcher/state_purchase_view/15387729", "UA-2020-02-20-000685-b")</f>
        <v>UA-2020-02-20-000685-b</v>
      </c>
      <c r="C783" s="1" t="s">
        <v>896</v>
      </c>
      <c r="D783" s="1" t="s">
        <v>245</v>
      </c>
      <c r="E783" s="1" t="s">
        <v>470</v>
      </c>
      <c r="F783" s="5">
        <v>43881</v>
      </c>
      <c r="G783" s="1" t="s">
        <v>1398</v>
      </c>
      <c r="H783" s="6">
        <v>100000</v>
      </c>
      <c r="I783" s="1" t="s">
        <v>1341</v>
      </c>
      <c r="J783" s="1" t="s">
        <v>1405</v>
      </c>
      <c r="K783" s="7">
        <v>43894.447768812555</v>
      </c>
      <c r="L783" s="6">
        <v>99990</v>
      </c>
    </row>
    <row r="784" spans="1:12" hidden="1" x14ac:dyDescent="0.25">
      <c r="A784" s="4">
        <v>782</v>
      </c>
      <c r="B784" s="2" t="str">
        <f>HYPERLINK("https://my.zakupki.prom.ua/remote/dispatcher/state_purchase_view/16697516", "UA-2020-05-15-003733-b")</f>
        <v>UA-2020-05-15-003733-b</v>
      </c>
      <c r="C784" s="1" t="s">
        <v>454</v>
      </c>
      <c r="D784" s="1" t="s">
        <v>73</v>
      </c>
      <c r="E784" s="1" t="s">
        <v>488</v>
      </c>
      <c r="F784" s="5">
        <v>43966</v>
      </c>
      <c r="G784" s="1" t="s">
        <v>1397</v>
      </c>
      <c r="H784" s="6">
        <v>3200</v>
      </c>
      <c r="I784" s="1" t="s">
        <v>1235</v>
      </c>
      <c r="J784" s="1" t="s">
        <v>1405</v>
      </c>
      <c r="K784" s="7">
        <v>43966.614611144621</v>
      </c>
      <c r="L784" s="6">
        <v>3200</v>
      </c>
    </row>
    <row r="785" spans="1:12" hidden="1" x14ac:dyDescent="0.25">
      <c r="A785" s="4">
        <v>783</v>
      </c>
      <c r="B785" s="2" t="str">
        <f>HYPERLINK("https://my.zakupki.prom.ua/remote/dispatcher/state_purchase_view/15775582", "UA-2020-03-16-001283-b")</f>
        <v>UA-2020-03-16-001283-b</v>
      </c>
      <c r="C785" s="1" t="s">
        <v>527</v>
      </c>
      <c r="D785" s="1" t="s">
        <v>174</v>
      </c>
      <c r="E785" s="1" t="s">
        <v>470</v>
      </c>
      <c r="F785" s="5">
        <v>43906</v>
      </c>
      <c r="G785" s="1" t="s">
        <v>1398</v>
      </c>
      <c r="H785" s="6">
        <v>101700</v>
      </c>
      <c r="I785" s="1" t="s">
        <v>1330</v>
      </c>
      <c r="J785" s="1" t="s">
        <v>1405</v>
      </c>
      <c r="K785" s="7">
        <v>43916.584817437026</v>
      </c>
      <c r="L785" s="6">
        <v>101700</v>
      </c>
    </row>
    <row r="786" spans="1:12" hidden="1" x14ac:dyDescent="0.25">
      <c r="A786" s="4">
        <v>784</v>
      </c>
      <c r="B786" s="2" t="str">
        <f>HYPERLINK("https://my.zakupki.prom.ua/remote/dispatcher/state_purchase_view/16077815", "UA-2020-04-02-000684-b")</f>
        <v>UA-2020-04-02-000684-b</v>
      </c>
      <c r="C786" s="1" t="s">
        <v>961</v>
      </c>
      <c r="D786" s="1" t="s">
        <v>188</v>
      </c>
      <c r="E786" s="1" t="s">
        <v>390</v>
      </c>
      <c r="F786" s="5">
        <v>43923</v>
      </c>
      <c r="G786" s="7">
        <v>43942.564004629632</v>
      </c>
      <c r="H786" s="6">
        <v>199998</v>
      </c>
      <c r="I786" s="1" t="s">
        <v>1322</v>
      </c>
      <c r="J786" s="1" t="s">
        <v>1405</v>
      </c>
      <c r="K786" s="7">
        <v>43955.597088463415</v>
      </c>
      <c r="L786" s="6">
        <v>199996</v>
      </c>
    </row>
    <row r="787" spans="1:12" hidden="1" x14ac:dyDescent="0.25">
      <c r="A787" s="4">
        <v>785</v>
      </c>
      <c r="B787" s="2" t="str">
        <f>HYPERLINK("https://my.zakupki.prom.ua/remote/dispatcher/state_purchase_view/14036781", "UA-2019-12-13-000537-b")</f>
        <v>UA-2019-12-13-000537-b</v>
      </c>
      <c r="C787" s="1" t="s">
        <v>772</v>
      </c>
      <c r="D787" s="1" t="s">
        <v>262</v>
      </c>
      <c r="E787" s="1" t="s">
        <v>390</v>
      </c>
      <c r="F787" s="5">
        <v>43812</v>
      </c>
      <c r="G787" s="7">
        <v>43832.603275462963</v>
      </c>
      <c r="H787" s="6">
        <v>690200</v>
      </c>
      <c r="I787" s="1" t="s">
        <v>1287</v>
      </c>
      <c r="J787" s="1" t="s">
        <v>1405</v>
      </c>
      <c r="K787" s="7">
        <v>43844.394344284316</v>
      </c>
      <c r="L787" s="6">
        <v>678000</v>
      </c>
    </row>
    <row r="788" spans="1:12" hidden="1" x14ac:dyDescent="0.25">
      <c r="A788" s="4">
        <v>786</v>
      </c>
      <c r="B788" s="2" t="str">
        <f>HYPERLINK("https://my.zakupki.prom.ua/remote/dispatcher/state_purchase_view/18145750", "UA-2020-07-27-007615-c")</f>
        <v>UA-2020-07-27-007615-c</v>
      </c>
      <c r="C788" s="1" t="s">
        <v>737</v>
      </c>
      <c r="D788" s="1" t="s">
        <v>165</v>
      </c>
      <c r="E788" s="1" t="s">
        <v>1086</v>
      </c>
      <c r="F788" s="5">
        <v>44039</v>
      </c>
      <c r="G788" s="7">
        <v>44049.622569444444</v>
      </c>
      <c r="H788" s="6">
        <v>100000</v>
      </c>
      <c r="I788" s="1" t="s">
        <v>1184</v>
      </c>
      <c r="J788" s="1" t="s">
        <v>1405</v>
      </c>
      <c r="K788" s="7">
        <v>44068.696601227872</v>
      </c>
      <c r="L788" s="6">
        <v>96000</v>
      </c>
    </row>
    <row r="789" spans="1:12" hidden="1" x14ac:dyDescent="0.25">
      <c r="A789" s="4">
        <v>1</v>
      </c>
      <c r="B789" s="2" t="str">
        <f>HYPERLINK("https://my.zakupki.prom.ua/remote/dispatcher/state_purchase_view/19799797", "UA-2020-10-02-009542-a")</f>
        <v>UA-2020-10-02-009542-a</v>
      </c>
      <c r="C789" s="1" t="s">
        <v>1276</v>
      </c>
      <c r="D789" s="1" t="s">
        <v>130</v>
      </c>
      <c r="E789" s="1" t="s">
        <v>1086</v>
      </c>
      <c r="F789" s="5">
        <v>44106</v>
      </c>
      <c r="G789" s="1" t="s">
        <v>1398</v>
      </c>
      <c r="H789" s="6">
        <v>198000</v>
      </c>
      <c r="I789" s="1" t="s">
        <v>1151</v>
      </c>
      <c r="J789" s="1" t="s">
        <v>1405</v>
      </c>
      <c r="K789" s="7">
        <v>44123.420547290727</v>
      </c>
      <c r="L789" s="6">
        <v>198000</v>
      </c>
    </row>
    <row r="790" spans="1:12" hidden="1" x14ac:dyDescent="0.25">
      <c r="A790" s="4">
        <v>2</v>
      </c>
      <c r="B790" s="2" t="str">
        <f>HYPERLINK("https://my.zakupki.prom.ua/remote/dispatcher/state_purchase_view/18903992", "UA-2020-09-01-002036-b")</f>
        <v>UA-2020-09-01-002036-b</v>
      </c>
      <c r="C790" s="1" t="s">
        <v>761</v>
      </c>
      <c r="D790" s="1" t="s">
        <v>233</v>
      </c>
      <c r="E790" s="1" t="s">
        <v>390</v>
      </c>
      <c r="F790" s="5">
        <v>44075</v>
      </c>
      <c r="G790" s="7">
        <v>44092.500914351855</v>
      </c>
      <c r="H790" s="6">
        <v>230000</v>
      </c>
      <c r="I790" s="1" t="s">
        <v>1118</v>
      </c>
      <c r="J790" s="1" t="s">
        <v>1405</v>
      </c>
      <c r="K790" s="7">
        <v>44113.697757478723</v>
      </c>
      <c r="L790" s="6">
        <v>226173.39</v>
      </c>
    </row>
    <row r="791" spans="1:12" hidden="1" x14ac:dyDescent="0.25">
      <c r="A791" s="4">
        <v>3</v>
      </c>
      <c r="B791" s="2" t="str">
        <f>HYPERLINK("https://my.zakupki.prom.ua/remote/dispatcher/state_purchase_view/18663625", "UA-2020-08-19-006179-a")</f>
        <v>UA-2020-08-19-006179-a</v>
      </c>
      <c r="C791" s="1" t="s">
        <v>368</v>
      </c>
      <c r="D791" s="1" t="s">
        <v>253</v>
      </c>
      <c r="E791" s="1" t="s">
        <v>488</v>
      </c>
      <c r="F791" s="5">
        <v>44062</v>
      </c>
      <c r="G791" s="1" t="s">
        <v>1397</v>
      </c>
      <c r="H791" s="6">
        <v>820.8</v>
      </c>
      <c r="I791" s="1" t="s">
        <v>430</v>
      </c>
      <c r="J791" s="1" t="s">
        <v>1405</v>
      </c>
      <c r="K791" s="7">
        <v>44062.62765488647</v>
      </c>
      <c r="L791" s="6">
        <v>820.8</v>
      </c>
    </row>
    <row r="792" spans="1:12" hidden="1" x14ac:dyDescent="0.25">
      <c r="A792" s="4">
        <v>4</v>
      </c>
      <c r="B792" s="2" t="str">
        <f>HYPERLINK("https://my.zakupki.prom.ua/remote/dispatcher/state_purchase_view/24289954", "UA-2021-02-23-003119-b")</f>
        <v>UA-2021-02-23-003119-b</v>
      </c>
      <c r="C792" s="1" t="s">
        <v>564</v>
      </c>
      <c r="D792" s="1" t="s">
        <v>165</v>
      </c>
      <c r="E792" s="1" t="s">
        <v>470</v>
      </c>
      <c r="F792" s="5">
        <v>44250</v>
      </c>
      <c r="G792" s="1" t="s">
        <v>1398</v>
      </c>
      <c r="H792" s="6">
        <v>47480</v>
      </c>
      <c r="I792" s="1" t="s">
        <v>1336</v>
      </c>
      <c r="J792" s="1" t="s">
        <v>1405</v>
      </c>
      <c r="K792" s="7">
        <v>44265.409764352131</v>
      </c>
      <c r="L792" s="6">
        <v>47480</v>
      </c>
    </row>
    <row r="793" spans="1:12" hidden="1" x14ac:dyDescent="0.25">
      <c r="A793" s="4">
        <v>5</v>
      </c>
      <c r="B793" s="2" t="str">
        <f>HYPERLINK("https://my.zakupki.prom.ua/remote/dispatcher/state_purchase_view/24198314", "UA-2021-02-19-005674-b")</f>
        <v>UA-2021-02-19-005674-b</v>
      </c>
      <c r="C793" s="1" t="s">
        <v>801</v>
      </c>
      <c r="D793" s="1" t="s">
        <v>252</v>
      </c>
      <c r="E793" s="1" t="s">
        <v>488</v>
      </c>
      <c r="F793" s="5">
        <v>44246</v>
      </c>
      <c r="G793" s="1" t="s">
        <v>1397</v>
      </c>
      <c r="H793" s="6">
        <v>530</v>
      </c>
      <c r="I793" s="1" t="s">
        <v>446</v>
      </c>
      <c r="J793" s="1" t="s">
        <v>1405</v>
      </c>
      <c r="K793" s="7">
        <v>44246.501334740147</v>
      </c>
      <c r="L793" s="6">
        <v>530</v>
      </c>
    </row>
    <row r="794" spans="1:12" x14ac:dyDescent="0.25">
      <c r="A794" s="4">
        <v>6</v>
      </c>
      <c r="B794" s="2" t="str">
        <f>HYPERLINK("https://my.zakupki.prom.ua/remote/dispatcher/state_purchase_view/23061400", "UA-2021-01-19-004907-a")</f>
        <v>UA-2021-01-19-004907-a</v>
      </c>
      <c r="C794" s="1" t="s">
        <v>359</v>
      </c>
      <c r="D794" s="1" t="s">
        <v>37</v>
      </c>
      <c r="E794" s="1" t="s">
        <v>390</v>
      </c>
      <c r="F794" s="5">
        <v>44215</v>
      </c>
      <c r="G794" s="7">
        <v>44235.59101851852</v>
      </c>
      <c r="H794" s="6">
        <v>473647</v>
      </c>
      <c r="I794" s="1" t="s">
        <v>1143</v>
      </c>
      <c r="J794" s="1" t="s">
        <v>1405</v>
      </c>
      <c r="K794" s="7">
        <v>44246.56988623082</v>
      </c>
      <c r="L794" s="6">
        <v>466550</v>
      </c>
    </row>
    <row r="795" spans="1:12" hidden="1" x14ac:dyDescent="0.25">
      <c r="A795" s="4">
        <v>7</v>
      </c>
      <c r="B795" s="2" t="str">
        <f>HYPERLINK("https://my.zakupki.prom.ua/remote/dispatcher/state_purchase_view/21372364", "UA-2020-11-24-005144-c")</f>
        <v>UA-2020-11-24-005144-c</v>
      </c>
      <c r="C795" s="1" t="s">
        <v>813</v>
      </c>
      <c r="D795" s="1" t="s">
        <v>229</v>
      </c>
      <c r="E795" s="1" t="s">
        <v>488</v>
      </c>
      <c r="F795" s="5">
        <v>44159</v>
      </c>
      <c r="G795" s="1" t="s">
        <v>1397</v>
      </c>
      <c r="H795" s="6">
        <v>166</v>
      </c>
      <c r="I795" s="1" t="s">
        <v>1241</v>
      </c>
      <c r="J795" s="1" t="s">
        <v>1405</v>
      </c>
      <c r="K795" s="7">
        <v>44159.484507541769</v>
      </c>
      <c r="L795" s="6">
        <v>166</v>
      </c>
    </row>
    <row r="796" spans="1:12" hidden="1" x14ac:dyDescent="0.25">
      <c r="A796" s="4">
        <v>8</v>
      </c>
      <c r="B796" s="2" t="str">
        <f>HYPERLINK("https://my.zakupki.prom.ua/remote/dispatcher/state_purchase_view/27473778", "UA-2021-06-15-002125-b")</f>
        <v>UA-2021-06-15-002125-b</v>
      </c>
      <c r="C796" s="1" t="s">
        <v>480</v>
      </c>
      <c r="D796" s="1" t="s">
        <v>155</v>
      </c>
      <c r="E796" s="1" t="s">
        <v>470</v>
      </c>
      <c r="F796" s="5">
        <v>44362</v>
      </c>
      <c r="G796" s="7">
        <v>44377.514687499999</v>
      </c>
      <c r="H796" s="6">
        <v>3600</v>
      </c>
      <c r="I796" s="1" t="s">
        <v>1147</v>
      </c>
      <c r="J796" s="1" t="s">
        <v>1405</v>
      </c>
      <c r="K796" s="7">
        <v>44382.472475605275</v>
      </c>
      <c r="L796" s="6">
        <v>3528</v>
      </c>
    </row>
    <row r="797" spans="1:12" hidden="1" x14ac:dyDescent="0.25">
      <c r="A797" s="4">
        <v>9</v>
      </c>
      <c r="B797" s="2" t="str">
        <f>HYPERLINK("https://my.zakupki.prom.ua/remote/dispatcher/state_purchase_view/26986105", "UA-2021-05-28-005322-b")</f>
        <v>UA-2021-05-28-005322-b</v>
      </c>
      <c r="C797" s="1" t="s">
        <v>413</v>
      </c>
      <c r="D797" s="1" t="s">
        <v>87</v>
      </c>
      <c r="E797" s="1" t="s">
        <v>488</v>
      </c>
      <c r="F797" s="5">
        <v>44344</v>
      </c>
      <c r="G797" s="1" t="s">
        <v>1397</v>
      </c>
      <c r="H797" s="6">
        <v>730</v>
      </c>
      <c r="I797" s="1" t="s">
        <v>711</v>
      </c>
      <c r="J797" s="1" t="s">
        <v>1405</v>
      </c>
      <c r="K797" s="7">
        <v>44344.511144388496</v>
      </c>
      <c r="L797" s="6">
        <v>730</v>
      </c>
    </row>
    <row r="798" spans="1:12" hidden="1" x14ac:dyDescent="0.25">
      <c r="A798" s="4">
        <v>10</v>
      </c>
      <c r="B798" s="2" t="str">
        <f>HYPERLINK("https://my.zakupki.prom.ua/remote/dispatcher/state_purchase_view/26309359", "UA-2021-05-05-002907-c")</f>
        <v>UA-2021-05-05-002907-c</v>
      </c>
      <c r="C798" s="1" t="s">
        <v>385</v>
      </c>
      <c r="D798" s="1" t="s">
        <v>99</v>
      </c>
      <c r="E798" s="1" t="s">
        <v>488</v>
      </c>
      <c r="F798" s="5">
        <v>44321</v>
      </c>
      <c r="G798" s="1" t="s">
        <v>1397</v>
      </c>
      <c r="H798" s="6">
        <v>2912.46</v>
      </c>
      <c r="I798" s="1" t="s">
        <v>571</v>
      </c>
      <c r="J798" s="1" t="s">
        <v>1405</v>
      </c>
      <c r="K798" s="7">
        <v>44321.515649132954</v>
      </c>
      <c r="L798" s="6">
        <v>2912.46</v>
      </c>
    </row>
    <row r="799" spans="1:12" hidden="1" x14ac:dyDescent="0.25">
      <c r="A799" s="4">
        <v>11</v>
      </c>
      <c r="B799" s="2" t="str">
        <f>HYPERLINK("https://my.zakupki.prom.ua/remote/dispatcher/state_purchase_view/26325484", "UA-2021-05-05-007301-c")</f>
        <v>UA-2021-05-05-007301-c</v>
      </c>
      <c r="C799" s="1" t="s">
        <v>740</v>
      </c>
      <c r="D799" s="1" t="s">
        <v>78</v>
      </c>
      <c r="E799" s="1" t="s">
        <v>1086</v>
      </c>
      <c r="F799" s="5">
        <v>44321</v>
      </c>
      <c r="G799" s="1" t="s">
        <v>1398</v>
      </c>
      <c r="H799" s="6">
        <v>135000</v>
      </c>
      <c r="I799" s="1"/>
      <c r="J799" s="1" t="s">
        <v>1406</v>
      </c>
      <c r="K799" s="7">
        <v>44342.002298521482</v>
      </c>
      <c r="L799" s="1"/>
    </row>
    <row r="800" spans="1:12" hidden="1" x14ac:dyDescent="0.25">
      <c r="A800" s="4">
        <v>12</v>
      </c>
      <c r="B800" s="2" t="str">
        <f>HYPERLINK("https://my.zakupki.prom.ua/remote/dispatcher/state_purchase_view/29135477", "UA-2021-08-18-009894-a")</f>
        <v>UA-2021-08-18-009894-a</v>
      </c>
      <c r="C800" s="1" t="s">
        <v>920</v>
      </c>
      <c r="D800" s="1" t="s">
        <v>243</v>
      </c>
      <c r="E800" s="1" t="s">
        <v>488</v>
      </c>
      <c r="F800" s="5">
        <v>44426</v>
      </c>
      <c r="G800" s="1" t="s">
        <v>1397</v>
      </c>
      <c r="H800" s="6">
        <v>1008</v>
      </c>
      <c r="I800" s="1" t="s">
        <v>1200</v>
      </c>
      <c r="J800" s="1" t="s">
        <v>1405</v>
      </c>
      <c r="K800" s="7">
        <v>44426.633407966663</v>
      </c>
      <c r="L800" s="6">
        <v>1008</v>
      </c>
    </row>
    <row r="801" spans="1:12" hidden="1" x14ac:dyDescent="0.25">
      <c r="A801" s="4">
        <v>13</v>
      </c>
      <c r="B801" s="2" t="str">
        <f>HYPERLINK("https://my.zakupki.prom.ua/remote/dispatcher/state_purchase_view/28722155", "UA-2021-08-04-000632-b")</f>
        <v>UA-2021-08-04-000632-b</v>
      </c>
      <c r="C801" s="1" t="s">
        <v>928</v>
      </c>
      <c r="D801" s="1" t="s">
        <v>228</v>
      </c>
      <c r="E801" s="1" t="s">
        <v>488</v>
      </c>
      <c r="F801" s="5">
        <v>44412</v>
      </c>
      <c r="G801" s="1" t="s">
        <v>1397</v>
      </c>
      <c r="H801" s="6">
        <v>8700</v>
      </c>
      <c r="I801" s="1" t="s">
        <v>1242</v>
      </c>
      <c r="J801" s="1" t="s">
        <v>1405</v>
      </c>
      <c r="K801" s="7">
        <v>44412.38806004051</v>
      </c>
      <c r="L801" s="6">
        <v>8700</v>
      </c>
    </row>
    <row r="802" spans="1:12" hidden="1" x14ac:dyDescent="0.25">
      <c r="A802" s="4">
        <v>14</v>
      </c>
      <c r="B802" s="2" t="str">
        <f>HYPERLINK("https://my.zakupki.prom.ua/remote/dispatcher/state_purchase_view/29906572", "UA-2021-09-16-000955-b")</f>
        <v>UA-2021-09-16-000955-b</v>
      </c>
      <c r="C802" s="1" t="s">
        <v>526</v>
      </c>
      <c r="D802" s="1" t="s">
        <v>86</v>
      </c>
      <c r="E802" s="1" t="s">
        <v>470</v>
      </c>
      <c r="F802" s="5">
        <v>44455</v>
      </c>
      <c r="G802" s="1" t="s">
        <v>1398</v>
      </c>
      <c r="H802" s="6">
        <v>5554</v>
      </c>
      <c r="I802" s="1" t="s">
        <v>1326</v>
      </c>
      <c r="J802" s="1" t="s">
        <v>1405</v>
      </c>
      <c r="K802" s="7">
        <v>44469.407739771355</v>
      </c>
      <c r="L802" s="6">
        <v>5554</v>
      </c>
    </row>
    <row r="803" spans="1:12" hidden="1" x14ac:dyDescent="0.25">
      <c r="A803" s="4">
        <v>15</v>
      </c>
      <c r="B803" s="2" t="str">
        <f>HYPERLINK("https://my.zakupki.prom.ua/remote/dispatcher/state_purchase_view/30889387", "UA-2021-10-20-000447-b")</f>
        <v>UA-2021-10-20-000447-b</v>
      </c>
      <c r="C803" s="1" t="s">
        <v>308</v>
      </c>
      <c r="D803" s="1" t="s">
        <v>176</v>
      </c>
      <c r="E803" s="1" t="s">
        <v>470</v>
      </c>
      <c r="F803" s="5">
        <v>44489</v>
      </c>
      <c r="G803" s="1" t="s">
        <v>1398</v>
      </c>
      <c r="H803" s="6">
        <v>5882</v>
      </c>
      <c r="I803" s="1" t="s">
        <v>1171</v>
      </c>
      <c r="J803" s="1" t="s">
        <v>1405</v>
      </c>
      <c r="K803" s="7">
        <v>44503.376014025373</v>
      </c>
      <c r="L803" s="6">
        <v>5881.2</v>
      </c>
    </row>
    <row r="804" spans="1:12" hidden="1" x14ac:dyDescent="0.25">
      <c r="A804" s="4">
        <v>16</v>
      </c>
      <c r="B804" s="2" t="str">
        <f>HYPERLINK("https://my.zakupki.prom.ua/remote/dispatcher/state_purchase_view/30397658", "UA-2021-10-01-001647-b")</f>
        <v>UA-2021-10-01-001647-b</v>
      </c>
      <c r="C804" s="1" t="s">
        <v>1063</v>
      </c>
      <c r="D804" s="1" t="s">
        <v>90</v>
      </c>
      <c r="E804" s="1" t="s">
        <v>722</v>
      </c>
      <c r="F804" s="5">
        <v>44470</v>
      </c>
      <c r="G804" s="1" t="s">
        <v>1397</v>
      </c>
      <c r="H804" s="6">
        <v>155530</v>
      </c>
      <c r="I804" s="1" t="s">
        <v>338</v>
      </c>
      <c r="J804" s="1" t="s">
        <v>1405</v>
      </c>
      <c r="K804" s="7">
        <v>44481.417020633678</v>
      </c>
      <c r="L804" s="6">
        <v>155530</v>
      </c>
    </row>
    <row r="805" spans="1:12" hidden="1" x14ac:dyDescent="0.25">
      <c r="A805" s="4">
        <v>17</v>
      </c>
      <c r="B805" s="2" t="str">
        <f>HYPERLINK("https://my.zakupki.prom.ua/remote/dispatcher/state_purchase_view/31151041", "UA-2021-10-27-000746-a")</f>
        <v>UA-2021-10-27-000746-a</v>
      </c>
      <c r="C805" s="1" t="s">
        <v>812</v>
      </c>
      <c r="D805" s="1" t="s">
        <v>229</v>
      </c>
      <c r="E805" s="1" t="s">
        <v>488</v>
      </c>
      <c r="F805" s="5">
        <v>44496</v>
      </c>
      <c r="G805" s="1" t="s">
        <v>1397</v>
      </c>
      <c r="H805" s="6">
        <v>166</v>
      </c>
      <c r="I805" s="1" t="s">
        <v>1241</v>
      </c>
      <c r="J805" s="1" t="s">
        <v>1405</v>
      </c>
      <c r="K805" s="7">
        <v>44496.39307553324</v>
      </c>
      <c r="L805" s="6">
        <v>166</v>
      </c>
    </row>
    <row r="806" spans="1:12" hidden="1" x14ac:dyDescent="0.25">
      <c r="A806" s="4">
        <v>18</v>
      </c>
      <c r="B806" s="2" t="str">
        <f>HYPERLINK("https://my.zakupki.prom.ua/remote/dispatcher/state_purchase_view/32986238", "UA-2021-12-13-008784-c")</f>
        <v>UA-2021-12-13-008784-c</v>
      </c>
      <c r="C806" s="1" t="s">
        <v>916</v>
      </c>
      <c r="D806" s="1" t="s">
        <v>221</v>
      </c>
      <c r="E806" s="1" t="s">
        <v>488</v>
      </c>
      <c r="F806" s="5">
        <v>44543</v>
      </c>
      <c r="G806" s="1" t="s">
        <v>1397</v>
      </c>
      <c r="H806" s="6">
        <v>7000</v>
      </c>
      <c r="I806" s="1" t="s">
        <v>1049</v>
      </c>
      <c r="J806" s="1" t="s">
        <v>1405</v>
      </c>
      <c r="K806" s="7">
        <v>44543.633383672175</v>
      </c>
      <c r="L806" s="6">
        <v>7000</v>
      </c>
    </row>
    <row r="807" spans="1:12" hidden="1" x14ac:dyDescent="0.25">
      <c r="A807" s="4">
        <v>19</v>
      </c>
      <c r="B807" s="2" t="str">
        <f>HYPERLINK("https://my.zakupki.prom.ua/remote/dispatcher/state_purchase_view/33572365", "UA-2021-12-22-016065-c")</f>
        <v>UA-2021-12-22-016065-c</v>
      </c>
      <c r="C807" s="1" t="s">
        <v>1060</v>
      </c>
      <c r="D807" s="1" t="s">
        <v>137</v>
      </c>
      <c r="E807" s="1" t="s">
        <v>488</v>
      </c>
      <c r="F807" s="5">
        <v>44552</v>
      </c>
      <c r="G807" s="1" t="s">
        <v>1397</v>
      </c>
      <c r="H807" s="6">
        <v>49085.19</v>
      </c>
      <c r="I807" s="1" t="s">
        <v>658</v>
      </c>
      <c r="J807" s="1" t="s">
        <v>1405</v>
      </c>
      <c r="K807" s="7">
        <v>44552.677708323012</v>
      </c>
      <c r="L807" s="6">
        <v>49085.19</v>
      </c>
    </row>
    <row r="808" spans="1:12" hidden="1" x14ac:dyDescent="0.25">
      <c r="A808" s="4">
        <v>20</v>
      </c>
      <c r="B808" s="2" t="str">
        <f>HYPERLINK("https://my.zakupki.prom.ua/remote/dispatcher/state_purchase_view/30164227", "UA-2021-09-23-007170-b")</f>
        <v>UA-2021-09-23-007170-b</v>
      </c>
      <c r="C808" s="1" t="s">
        <v>321</v>
      </c>
      <c r="D808" s="1" t="s">
        <v>220</v>
      </c>
      <c r="E808" s="1" t="s">
        <v>488</v>
      </c>
      <c r="F808" s="5">
        <v>44462</v>
      </c>
      <c r="G808" s="1" t="s">
        <v>1397</v>
      </c>
      <c r="H808" s="6">
        <v>211736.84</v>
      </c>
      <c r="I808" s="1" t="s">
        <v>1232</v>
      </c>
      <c r="J808" s="1" t="s">
        <v>1405</v>
      </c>
      <c r="K808" s="7">
        <v>44462.581930902175</v>
      </c>
      <c r="L808" s="6">
        <v>211736.84</v>
      </c>
    </row>
    <row r="809" spans="1:12" x14ac:dyDescent="0.25">
      <c r="A809" s="4">
        <v>21</v>
      </c>
      <c r="B809" s="2" t="str">
        <f>HYPERLINK("https://my.zakupki.prom.ua/remote/dispatcher/state_purchase_view/31538247", "UA-2021-11-08-011967-b")</f>
        <v>UA-2021-11-08-011967-b</v>
      </c>
      <c r="C809" s="1" t="s">
        <v>573</v>
      </c>
      <c r="D809" s="1" t="s">
        <v>130</v>
      </c>
      <c r="E809" s="1" t="s">
        <v>390</v>
      </c>
      <c r="F809" s="5">
        <v>44508</v>
      </c>
      <c r="G809" s="7">
        <v>44525.49324074074</v>
      </c>
      <c r="H809" s="6">
        <v>299200</v>
      </c>
      <c r="I809" s="1" t="s">
        <v>1302</v>
      </c>
      <c r="J809" s="1" t="s">
        <v>1405</v>
      </c>
      <c r="K809" s="7">
        <v>44547.679936404689</v>
      </c>
      <c r="L809" s="6">
        <v>272986</v>
      </c>
    </row>
    <row r="810" spans="1:12" hidden="1" x14ac:dyDescent="0.25">
      <c r="A810" s="4">
        <v>22</v>
      </c>
      <c r="B810" s="2" t="str">
        <f>HYPERLINK("https://my.zakupki.prom.ua/remote/dispatcher/state_purchase_view/31115696", "UA-2021-10-26-004608-b")</f>
        <v>UA-2021-10-26-004608-b</v>
      </c>
      <c r="C810" s="1" t="s">
        <v>1383</v>
      </c>
      <c r="D810" s="1" t="s">
        <v>109</v>
      </c>
      <c r="E810" s="1" t="s">
        <v>1086</v>
      </c>
      <c r="F810" s="5">
        <v>44495</v>
      </c>
      <c r="G810" s="1" t="s">
        <v>1398</v>
      </c>
      <c r="H810" s="6">
        <v>56288</v>
      </c>
      <c r="I810" s="1" t="s">
        <v>449</v>
      </c>
      <c r="J810" s="1" t="s">
        <v>1405</v>
      </c>
      <c r="K810" s="7">
        <v>44512.620501091646</v>
      </c>
      <c r="L810" s="6">
        <v>56278.2</v>
      </c>
    </row>
    <row r="811" spans="1:12" hidden="1" x14ac:dyDescent="0.25">
      <c r="A811" s="4">
        <v>23</v>
      </c>
      <c r="B811" s="2" t="str">
        <f>HYPERLINK("https://my.zakupki.prom.ua/remote/dispatcher/state_purchase_view/21590160", "UA-2020-12-01-001479-b")</f>
        <v>UA-2020-12-01-001479-b</v>
      </c>
      <c r="C811" s="1" t="s">
        <v>1278</v>
      </c>
      <c r="D811" s="1" t="s">
        <v>111</v>
      </c>
      <c r="E811" s="1" t="s">
        <v>470</v>
      </c>
      <c r="F811" s="5">
        <v>44166</v>
      </c>
      <c r="G811" s="1" t="s">
        <v>1398</v>
      </c>
      <c r="H811" s="6">
        <v>24000</v>
      </c>
      <c r="I811" s="1" t="s">
        <v>1151</v>
      </c>
      <c r="J811" s="1" t="s">
        <v>1405</v>
      </c>
      <c r="K811" s="7">
        <v>44180.524310481866</v>
      </c>
      <c r="L811" s="6">
        <v>22000</v>
      </c>
    </row>
    <row r="812" spans="1:12" hidden="1" x14ac:dyDescent="0.25">
      <c r="A812" s="4">
        <v>24</v>
      </c>
      <c r="B812" s="2" t="str">
        <f>HYPERLINK("https://my.zakupki.prom.ua/remote/dispatcher/state_purchase_view/21618987", "UA-2020-12-01-009000-b")</f>
        <v>UA-2020-12-01-009000-b</v>
      </c>
      <c r="C812" s="1" t="s">
        <v>474</v>
      </c>
      <c r="D812" s="1" t="s">
        <v>36</v>
      </c>
      <c r="E812" s="1" t="s">
        <v>390</v>
      </c>
      <c r="F812" s="5">
        <v>44166</v>
      </c>
      <c r="G812" s="1" t="s">
        <v>1398</v>
      </c>
      <c r="H812" s="6">
        <v>2000000</v>
      </c>
      <c r="I812" s="1"/>
      <c r="J812" s="1" t="s">
        <v>1406</v>
      </c>
      <c r="K812" s="7">
        <v>44182.657347532571</v>
      </c>
      <c r="L812" s="1"/>
    </row>
    <row r="813" spans="1:12" x14ac:dyDescent="0.25">
      <c r="A813" s="4">
        <v>25</v>
      </c>
      <c r="B813" s="2" t="str">
        <f>HYPERLINK("https://my.zakupki.prom.ua/remote/dispatcher/state_purchase_view/23050828", "UA-2021-01-19-002517-a")</f>
        <v>UA-2021-01-19-002517-a</v>
      </c>
      <c r="C813" s="1" t="s">
        <v>1077</v>
      </c>
      <c r="D813" s="1" t="s">
        <v>30</v>
      </c>
      <c r="E813" s="1" t="s">
        <v>390</v>
      </c>
      <c r="F813" s="5">
        <v>44215</v>
      </c>
      <c r="G813" s="7">
        <v>44235.462951388887</v>
      </c>
      <c r="H813" s="6">
        <v>652680</v>
      </c>
      <c r="I813" s="1" t="s">
        <v>1314</v>
      </c>
      <c r="J813" s="1" t="s">
        <v>1404</v>
      </c>
      <c r="K813" s="7">
        <v>44249.426771377046</v>
      </c>
      <c r="L813" s="6">
        <v>535000</v>
      </c>
    </row>
    <row r="814" spans="1:12" x14ac:dyDescent="0.25">
      <c r="A814" s="4">
        <v>26</v>
      </c>
      <c r="B814" s="2" t="str">
        <f>HYPERLINK("https://my.zakupki.prom.ua/remote/dispatcher/state_purchase_view/23050828", "UA-2021-01-19-002517-a")</f>
        <v>UA-2021-01-19-002517-a</v>
      </c>
      <c r="C814" s="1" t="s">
        <v>1039</v>
      </c>
      <c r="D814" s="1" t="s">
        <v>30</v>
      </c>
      <c r="E814" s="1" t="s">
        <v>390</v>
      </c>
      <c r="F814" s="5">
        <v>44215</v>
      </c>
      <c r="G814" s="7">
        <v>44235.490347222221</v>
      </c>
      <c r="H814" s="6">
        <v>652680</v>
      </c>
      <c r="I814" s="1" t="s">
        <v>1314</v>
      </c>
      <c r="J814" s="1" t="s">
        <v>1404</v>
      </c>
      <c r="K814" s="7">
        <v>44249.543972190309</v>
      </c>
      <c r="L814" s="6">
        <v>112220</v>
      </c>
    </row>
    <row r="815" spans="1:12" hidden="1" x14ac:dyDescent="0.25">
      <c r="A815" s="4">
        <v>27</v>
      </c>
      <c r="B815" s="2" t="str">
        <f>HYPERLINK("https://my.zakupki.prom.ua/remote/dispatcher/state_purchase_view/23835809", "UA-2021-02-09-012927-a")</f>
        <v>UA-2021-02-09-012927-a</v>
      </c>
      <c r="C815" s="1" t="s">
        <v>491</v>
      </c>
      <c r="D815" s="1" t="s">
        <v>47</v>
      </c>
      <c r="E815" s="1" t="s">
        <v>1086</v>
      </c>
      <c r="F815" s="5">
        <v>44236</v>
      </c>
      <c r="G815" s="1" t="s">
        <v>1398</v>
      </c>
      <c r="H815" s="6">
        <v>85159</v>
      </c>
      <c r="I815" s="1"/>
      <c r="J815" s="1" t="s">
        <v>1406</v>
      </c>
      <c r="K815" s="7">
        <v>44251.000888569455</v>
      </c>
      <c r="L815" s="1"/>
    </row>
    <row r="816" spans="1:12" hidden="1" x14ac:dyDescent="0.25">
      <c r="A816" s="4">
        <v>28</v>
      </c>
      <c r="B816" s="2" t="str">
        <f>HYPERLINK("https://my.zakupki.prom.ua/remote/dispatcher/state_purchase_view/24663677", "UA-2021-03-05-005985-c")</f>
        <v>UA-2021-03-05-005985-c</v>
      </c>
      <c r="C816" s="1" t="s">
        <v>422</v>
      </c>
      <c r="D816" s="1" t="s">
        <v>62</v>
      </c>
      <c r="E816" s="1" t="s">
        <v>1086</v>
      </c>
      <c r="F816" s="5">
        <v>44260</v>
      </c>
      <c r="G816" s="7">
        <v>44274.489444444444</v>
      </c>
      <c r="H816" s="6">
        <v>130500</v>
      </c>
      <c r="I816" s="1"/>
      <c r="J816" s="1" t="s">
        <v>1406</v>
      </c>
      <c r="K816" s="7">
        <v>44280.0029676903</v>
      </c>
      <c r="L816" s="1"/>
    </row>
    <row r="817" spans="1:12" hidden="1" x14ac:dyDescent="0.25">
      <c r="A817" s="4">
        <v>29</v>
      </c>
      <c r="B817" s="2" t="str">
        <f>HYPERLINK("https://my.zakupki.prom.ua/remote/dispatcher/state_purchase_view/25515345", "UA-2021-04-05-001542-c")</f>
        <v>UA-2021-04-05-001542-c</v>
      </c>
      <c r="C817" s="1" t="s">
        <v>887</v>
      </c>
      <c r="D817" s="1" t="s">
        <v>204</v>
      </c>
      <c r="E817" s="1" t="s">
        <v>470</v>
      </c>
      <c r="F817" s="5">
        <v>44291</v>
      </c>
      <c r="G817" s="7">
        <v>44301.607314814813</v>
      </c>
      <c r="H817" s="6">
        <v>5750</v>
      </c>
      <c r="I817" s="1" t="s">
        <v>1152</v>
      </c>
      <c r="J817" s="1" t="s">
        <v>1405</v>
      </c>
      <c r="K817" s="7">
        <v>44312.499180158156</v>
      </c>
      <c r="L817" s="6">
        <v>2190</v>
      </c>
    </row>
    <row r="818" spans="1:12" hidden="1" x14ac:dyDescent="0.25">
      <c r="A818" s="4">
        <v>30</v>
      </c>
      <c r="B818" s="2" t="str">
        <f>HYPERLINK("https://my.zakupki.prom.ua/remote/dispatcher/state_purchase_view/27401925", "UA-2021-06-11-006224-b")</f>
        <v>UA-2021-06-11-006224-b</v>
      </c>
      <c r="C818" s="1" t="s">
        <v>735</v>
      </c>
      <c r="D818" s="1" t="s">
        <v>204</v>
      </c>
      <c r="E818" s="1" t="s">
        <v>488</v>
      </c>
      <c r="F818" s="5">
        <v>44358</v>
      </c>
      <c r="G818" s="1" t="s">
        <v>1397</v>
      </c>
      <c r="H818" s="6">
        <v>2152.61</v>
      </c>
      <c r="I818" s="1" t="s">
        <v>703</v>
      </c>
      <c r="J818" s="1" t="s">
        <v>1405</v>
      </c>
      <c r="K818" s="7">
        <v>44358.521748901774</v>
      </c>
      <c r="L818" s="6">
        <v>2152.61</v>
      </c>
    </row>
    <row r="819" spans="1:12" hidden="1" x14ac:dyDescent="0.25">
      <c r="A819" s="4">
        <v>31</v>
      </c>
      <c r="B819" s="2" t="str">
        <f>HYPERLINK("https://my.zakupki.prom.ua/remote/dispatcher/state_purchase_view/27841358", "UA-2021-06-30-005865-c")</f>
        <v>UA-2021-06-30-005865-c</v>
      </c>
      <c r="C819" s="1" t="s">
        <v>1079</v>
      </c>
      <c r="D819" s="1" t="s">
        <v>49</v>
      </c>
      <c r="E819" s="1" t="s">
        <v>1086</v>
      </c>
      <c r="F819" s="5">
        <v>44377</v>
      </c>
      <c r="G819" s="1" t="s">
        <v>1398</v>
      </c>
      <c r="H819" s="6">
        <v>97760</v>
      </c>
      <c r="I819" s="1"/>
      <c r="J819" s="1" t="s">
        <v>1406</v>
      </c>
      <c r="K819" s="7">
        <v>44391.001232459639</v>
      </c>
      <c r="L819" s="1"/>
    </row>
    <row r="820" spans="1:12" hidden="1" x14ac:dyDescent="0.25">
      <c r="A820" s="4">
        <v>32</v>
      </c>
      <c r="B820" s="2" t="str">
        <f>HYPERLINK("https://my.zakupki.prom.ua/remote/dispatcher/state_purchase_view/27954893", "UA-2021-07-05-003986-c")</f>
        <v>UA-2021-07-05-003986-c</v>
      </c>
      <c r="C820" s="1" t="s">
        <v>481</v>
      </c>
      <c r="D820" s="1" t="s">
        <v>148</v>
      </c>
      <c r="E820" s="1" t="s">
        <v>470</v>
      </c>
      <c r="F820" s="5">
        <v>44382</v>
      </c>
      <c r="G820" s="7">
        <v>44392.489953703705</v>
      </c>
      <c r="H820" s="6">
        <v>16490</v>
      </c>
      <c r="I820" s="1" t="s">
        <v>1330</v>
      </c>
      <c r="J820" s="1" t="s">
        <v>1405</v>
      </c>
      <c r="K820" s="7">
        <v>44407.49158783719</v>
      </c>
      <c r="L820" s="6">
        <v>15890</v>
      </c>
    </row>
    <row r="821" spans="1:12" hidden="1" x14ac:dyDescent="0.25">
      <c r="A821" s="4">
        <v>33</v>
      </c>
      <c r="B821" s="2" t="str">
        <f>HYPERLINK("https://my.zakupki.prom.ua/remote/dispatcher/state_purchase_view/24650354", "UA-2021-03-05-000992-c")</f>
        <v>UA-2021-03-05-000992-c</v>
      </c>
      <c r="C821" s="1" t="s">
        <v>415</v>
      </c>
      <c r="D821" s="1" t="s">
        <v>105</v>
      </c>
      <c r="E821" s="1" t="s">
        <v>470</v>
      </c>
      <c r="F821" s="5">
        <v>44260</v>
      </c>
      <c r="G821" s="1" t="s">
        <v>1398</v>
      </c>
      <c r="H821" s="6">
        <v>30000</v>
      </c>
      <c r="I821" s="1" t="s">
        <v>1162</v>
      </c>
      <c r="J821" s="1" t="s">
        <v>1405</v>
      </c>
      <c r="K821" s="7">
        <v>44286.490582671657</v>
      </c>
      <c r="L821" s="6">
        <v>21216</v>
      </c>
    </row>
    <row r="822" spans="1:12" hidden="1" x14ac:dyDescent="0.25">
      <c r="A822" s="4">
        <v>34</v>
      </c>
      <c r="B822" s="2" t="str">
        <f>HYPERLINK("https://my.zakupki.prom.ua/remote/dispatcher/state_purchase_view/29787094", "UA-2021-09-13-007335-b")</f>
        <v>UA-2021-09-13-007335-b</v>
      </c>
      <c r="C822" s="1" t="s">
        <v>528</v>
      </c>
      <c r="D822" s="1" t="s">
        <v>174</v>
      </c>
      <c r="E822" s="1" t="s">
        <v>1086</v>
      </c>
      <c r="F822" s="5">
        <v>44452</v>
      </c>
      <c r="G822" s="1" t="s">
        <v>1398</v>
      </c>
      <c r="H822" s="6">
        <v>152320</v>
      </c>
      <c r="I822" s="1" t="s">
        <v>1326</v>
      </c>
      <c r="J822" s="1" t="s">
        <v>1405</v>
      </c>
      <c r="K822" s="7">
        <v>44468.656541326971</v>
      </c>
      <c r="L822" s="6">
        <v>152320</v>
      </c>
    </row>
    <row r="823" spans="1:12" hidden="1" x14ac:dyDescent="0.25">
      <c r="A823" s="4">
        <v>35</v>
      </c>
      <c r="B823" s="2" t="str">
        <f>HYPERLINK("https://my.zakupki.prom.ua/remote/dispatcher/state_purchase_view/30116402", "UA-2021-09-22-007668-b")</f>
        <v>UA-2021-09-22-007668-b</v>
      </c>
      <c r="C823" s="1" t="s">
        <v>1003</v>
      </c>
      <c r="D823" s="1" t="s">
        <v>226</v>
      </c>
      <c r="E823" s="1" t="s">
        <v>488</v>
      </c>
      <c r="F823" s="5">
        <v>44461</v>
      </c>
      <c r="G823" s="1" t="s">
        <v>1397</v>
      </c>
      <c r="H823" s="6">
        <v>49850</v>
      </c>
      <c r="I823" s="1" t="s">
        <v>572</v>
      </c>
      <c r="J823" s="1" t="s">
        <v>1405</v>
      </c>
      <c r="K823" s="7">
        <v>44461.600195691724</v>
      </c>
      <c r="L823" s="6">
        <v>49850</v>
      </c>
    </row>
    <row r="824" spans="1:12" hidden="1" x14ac:dyDescent="0.25">
      <c r="A824" s="4">
        <v>36</v>
      </c>
      <c r="B824" s="2" t="str">
        <f>HYPERLINK("https://my.zakupki.prom.ua/remote/dispatcher/state_purchase_view/29241341", "UA-2021-08-25-003089-a")</f>
        <v>UA-2021-08-25-003089-a</v>
      </c>
      <c r="C824" s="1" t="s">
        <v>667</v>
      </c>
      <c r="D824" s="1" t="s">
        <v>85</v>
      </c>
      <c r="E824" s="1" t="s">
        <v>470</v>
      </c>
      <c r="F824" s="5">
        <v>44433</v>
      </c>
      <c r="G824" s="1" t="s">
        <v>1398</v>
      </c>
      <c r="H824" s="6">
        <v>30594</v>
      </c>
      <c r="I824" s="1" t="s">
        <v>1326</v>
      </c>
      <c r="J824" s="1" t="s">
        <v>1405</v>
      </c>
      <c r="K824" s="7">
        <v>44454.660564099315</v>
      </c>
      <c r="L824" s="6">
        <v>30594</v>
      </c>
    </row>
    <row r="825" spans="1:12" hidden="1" x14ac:dyDescent="0.25">
      <c r="A825" s="4">
        <v>37</v>
      </c>
      <c r="B825" s="2" t="str">
        <f>HYPERLINK("https://my.zakupki.prom.ua/remote/dispatcher/state_purchase_view/24785409", "UA-2021-03-11-004358-b")</f>
        <v>UA-2021-03-11-004358-b</v>
      </c>
      <c r="C825" s="1" t="s">
        <v>805</v>
      </c>
      <c r="D825" s="1" t="s">
        <v>224</v>
      </c>
      <c r="E825" s="1" t="s">
        <v>488</v>
      </c>
      <c r="F825" s="5">
        <v>44266</v>
      </c>
      <c r="G825" s="1" t="s">
        <v>1397</v>
      </c>
      <c r="H825" s="6">
        <v>3200.46</v>
      </c>
      <c r="I825" s="1" t="s">
        <v>509</v>
      </c>
      <c r="J825" s="1" t="s">
        <v>1405</v>
      </c>
      <c r="K825" s="7">
        <v>44266.487111789225</v>
      </c>
      <c r="L825" s="6">
        <v>3200.46</v>
      </c>
    </row>
    <row r="826" spans="1:12" x14ac:dyDescent="0.25">
      <c r="A826" s="4">
        <v>38</v>
      </c>
      <c r="B826" s="2" t="str">
        <f>HYPERLINK("https://my.zakupki.prom.ua/remote/dispatcher/state_purchase_view/29205007", "UA-2021-08-20-005117-a")</f>
        <v>UA-2021-08-20-005117-a</v>
      </c>
      <c r="C826" s="1" t="s">
        <v>664</v>
      </c>
      <c r="D826" s="1" t="s">
        <v>95</v>
      </c>
      <c r="E826" s="1" t="s">
        <v>390</v>
      </c>
      <c r="F826" s="5">
        <v>44428</v>
      </c>
      <c r="G826" s="7">
        <v>44445.495081018518</v>
      </c>
      <c r="H826" s="6">
        <v>331448</v>
      </c>
      <c r="I826" s="1" t="s">
        <v>1326</v>
      </c>
      <c r="J826" s="1" t="s">
        <v>1405</v>
      </c>
      <c r="K826" s="7">
        <v>44459.553655476033</v>
      </c>
      <c r="L826" s="6">
        <v>331438</v>
      </c>
    </row>
    <row r="827" spans="1:12" hidden="1" x14ac:dyDescent="0.25">
      <c r="A827" s="4">
        <v>39</v>
      </c>
      <c r="B827" s="2" t="str">
        <f>HYPERLINK("https://my.zakupki.prom.ua/remote/dispatcher/state_purchase_view/30274464", "UA-2021-09-27-010667-b")</f>
        <v>UA-2021-09-27-010667-b</v>
      </c>
      <c r="C827" s="1" t="s">
        <v>423</v>
      </c>
      <c r="D827" s="1" t="s">
        <v>62</v>
      </c>
      <c r="E827" s="1" t="s">
        <v>488</v>
      </c>
      <c r="F827" s="5">
        <v>44466</v>
      </c>
      <c r="G827" s="1" t="s">
        <v>1397</v>
      </c>
      <c r="H827" s="6">
        <v>49860.3</v>
      </c>
      <c r="I827" s="1" t="s">
        <v>1189</v>
      </c>
      <c r="J827" s="1" t="s">
        <v>1405</v>
      </c>
      <c r="K827" s="7">
        <v>44467.377690506306</v>
      </c>
      <c r="L827" s="6">
        <v>49860.3</v>
      </c>
    </row>
    <row r="828" spans="1:12" hidden="1" x14ac:dyDescent="0.25">
      <c r="A828" s="4">
        <v>40</v>
      </c>
      <c r="B828" s="2" t="str">
        <f>HYPERLINK("https://my.zakupki.prom.ua/remote/dispatcher/state_purchase_view/32551811", "UA-2021-12-03-006881-c")</f>
        <v>UA-2021-12-03-006881-c</v>
      </c>
      <c r="C828" s="1" t="s">
        <v>797</v>
      </c>
      <c r="D828" s="1" t="s">
        <v>196</v>
      </c>
      <c r="E828" s="1" t="s">
        <v>1086</v>
      </c>
      <c r="F828" s="5">
        <v>44533</v>
      </c>
      <c r="G828" s="1" t="s">
        <v>1398</v>
      </c>
      <c r="H828" s="6">
        <v>135500</v>
      </c>
      <c r="I828" s="1"/>
      <c r="J828" s="1" t="s">
        <v>1406</v>
      </c>
      <c r="K828" s="7">
        <v>44551.435086173842</v>
      </c>
      <c r="L828" s="1"/>
    </row>
    <row r="829" spans="1:12" hidden="1" x14ac:dyDescent="0.25">
      <c r="A829" s="4">
        <v>41</v>
      </c>
      <c r="B829" s="2" t="str">
        <f>HYPERLINK("https://my.zakupki.prom.ua/remote/dispatcher/state_purchase_view/31016202", "UA-2021-10-25-003461-b")</f>
        <v>UA-2021-10-25-003461-b</v>
      </c>
      <c r="C829" s="1" t="s">
        <v>979</v>
      </c>
      <c r="D829" s="1" t="s">
        <v>220</v>
      </c>
      <c r="E829" s="1" t="s">
        <v>1086</v>
      </c>
      <c r="F829" s="5">
        <v>44494</v>
      </c>
      <c r="G829" s="1" t="s">
        <v>1398</v>
      </c>
      <c r="H829" s="6">
        <v>750000</v>
      </c>
      <c r="I829" s="1"/>
      <c r="J829" s="1" t="s">
        <v>1406</v>
      </c>
      <c r="K829" s="7">
        <v>44506.001725324248</v>
      </c>
      <c r="L829" s="1"/>
    </row>
    <row r="830" spans="1:12" hidden="1" x14ac:dyDescent="0.25">
      <c r="A830" s="4">
        <v>42</v>
      </c>
      <c r="B830" s="2" t="str">
        <f>HYPERLINK("https://my.zakupki.prom.ua/remote/dispatcher/state_purchase_view/29352480", "UA-2021-08-28-004218-a")</f>
        <v>UA-2021-08-28-004218-a</v>
      </c>
      <c r="C830" s="1" t="s">
        <v>405</v>
      </c>
      <c r="D830" s="1" t="s">
        <v>166</v>
      </c>
      <c r="E830" s="1" t="s">
        <v>1086</v>
      </c>
      <c r="F830" s="5">
        <v>44436</v>
      </c>
      <c r="G830" s="1" t="s">
        <v>1398</v>
      </c>
      <c r="H830" s="6">
        <v>19400</v>
      </c>
      <c r="I830" s="1" t="s">
        <v>1326</v>
      </c>
      <c r="J830" s="1" t="s">
        <v>1405</v>
      </c>
      <c r="K830" s="7">
        <v>44452.43685780339</v>
      </c>
      <c r="L830" s="6">
        <v>19400</v>
      </c>
    </row>
    <row r="831" spans="1:12" hidden="1" x14ac:dyDescent="0.25">
      <c r="A831" s="4">
        <v>43</v>
      </c>
      <c r="B831" s="2" t="str">
        <f>HYPERLINK("https://my.zakupki.prom.ua/remote/dispatcher/state_purchase_view/29477604", "UA-2021-09-02-005095-a")</f>
        <v>UA-2021-09-02-005095-a</v>
      </c>
      <c r="C831" s="1" t="s">
        <v>300</v>
      </c>
      <c r="D831" s="1" t="s">
        <v>66</v>
      </c>
      <c r="E831" s="1" t="s">
        <v>470</v>
      </c>
      <c r="F831" s="5">
        <v>44441</v>
      </c>
      <c r="G831" s="1" t="s">
        <v>1398</v>
      </c>
      <c r="H831" s="6">
        <v>3600</v>
      </c>
      <c r="I831" s="1" t="s">
        <v>1171</v>
      </c>
      <c r="J831" s="1" t="s">
        <v>1405</v>
      </c>
      <c r="K831" s="7">
        <v>44459.408940247464</v>
      </c>
      <c r="L831" s="6">
        <v>2970</v>
      </c>
    </row>
    <row r="832" spans="1:12" hidden="1" x14ac:dyDescent="0.25">
      <c r="A832" s="4">
        <v>44</v>
      </c>
      <c r="B832" s="2" t="str">
        <f>HYPERLINK("https://my.zakupki.prom.ua/remote/dispatcher/state_purchase_view/22961608", "UA-2021-01-14-003985-a")</f>
        <v>UA-2021-01-14-003985-a</v>
      </c>
      <c r="C832" s="1" t="s">
        <v>911</v>
      </c>
      <c r="D832" s="1" t="s">
        <v>214</v>
      </c>
      <c r="E832" s="1" t="s">
        <v>723</v>
      </c>
      <c r="F832" s="5">
        <v>44210</v>
      </c>
      <c r="G832" s="1" t="s">
        <v>1397</v>
      </c>
      <c r="H832" s="6">
        <v>255600</v>
      </c>
      <c r="I832" s="1" t="s">
        <v>510</v>
      </c>
      <c r="J832" s="1" t="s">
        <v>1405</v>
      </c>
      <c r="K832" s="7">
        <v>44228.546644264963</v>
      </c>
      <c r="L832" s="6">
        <v>255600</v>
      </c>
    </row>
    <row r="833" spans="1:12" hidden="1" x14ac:dyDescent="0.25">
      <c r="A833" s="4">
        <v>45</v>
      </c>
      <c r="B833" s="2" t="str">
        <f>HYPERLINK("https://my.zakupki.prom.ua/remote/dispatcher/state_purchase_view/23957039", "UA-2021-02-12-005683-c")</f>
        <v>UA-2021-02-12-005683-c</v>
      </c>
      <c r="C833" s="1" t="s">
        <v>981</v>
      </c>
      <c r="D833" s="1" t="s">
        <v>220</v>
      </c>
      <c r="E833" s="1" t="s">
        <v>1086</v>
      </c>
      <c r="F833" s="5">
        <v>44239</v>
      </c>
      <c r="G833" s="7">
        <v>44253.608912037038</v>
      </c>
      <c r="H833" s="6">
        <v>1499000</v>
      </c>
      <c r="I833" s="1" t="s">
        <v>1128</v>
      </c>
      <c r="J833" s="1" t="s">
        <v>1405</v>
      </c>
      <c r="K833" s="7">
        <v>44264.435777968552</v>
      </c>
      <c r="L833" s="6">
        <v>1490000</v>
      </c>
    </row>
    <row r="834" spans="1:12" hidden="1" x14ac:dyDescent="0.25">
      <c r="A834" s="4">
        <v>46</v>
      </c>
      <c r="B834" s="2" t="str">
        <f>HYPERLINK("https://my.zakupki.prom.ua/remote/dispatcher/state_purchase_view/33455635", "UA-2021-12-21-005839-c")</f>
        <v>UA-2021-12-21-005839-c</v>
      </c>
      <c r="C834" s="1" t="s">
        <v>320</v>
      </c>
      <c r="D834" s="1" t="s">
        <v>220</v>
      </c>
      <c r="E834" s="1" t="s">
        <v>488</v>
      </c>
      <c r="F834" s="5">
        <v>44551</v>
      </c>
      <c r="G834" s="1" t="s">
        <v>1397</v>
      </c>
      <c r="H834" s="6">
        <v>129600</v>
      </c>
      <c r="I834" s="1" t="s">
        <v>1192</v>
      </c>
      <c r="J834" s="1" t="s">
        <v>1405</v>
      </c>
      <c r="K834" s="7">
        <v>44551.470540759896</v>
      </c>
      <c r="L834" s="6">
        <v>129600</v>
      </c>
    </row>
    <row r="835" spans="1:12" hidden="1" x14ac:dyDescent="0.25">
      <c r="A835" s="4">
        <v>47</v>
      </c>
      <c r="B835" s="2" t="str">
        <f>HYPERLINK("https://my.zakupki.prom.ua/remote/dispatcher/state_purchase_view/16263049", "UA-2020-04-14-002217-b")</f>
        <v>UA-2020-04-14-002217-b</v>
      </c>
      <c r="C835" s="1" t="s">
        <v>1070</v>
      </c>
      <c r="D835" s="1" t="s">
        <v>90</v>
      </c>
      <c r="E835" s="1" t="s">
        <v>470</v>
      </c>
      <c r="F835" s="5">
        <v>43935</v>
      </c>
      <c r="G835" s="7">
        <v>43945.532569444447</v>
      </c>
      <c r="H835" s="6">
        <v>22785</v>
      </c>
      <c r="I835" s="1" t="s">
        <v>1340</v>
      </c>
      <c r="J835" s="1" t="s">
        <v>1405</v>
      </c>
      <c r="K835" s="7">
        <v>43955.629927759175</v>
      </c>
      <c r="L835" s="6">
        <v>17660</v>
      </c>
    </row>
    <row r="836" spans="1:12" hidden="1" x14ac:dyDescent="0.25">
      <c r="A836" s="4">
        <v>48</v>
      </c>
      <c r="B836" s="2" t="str">
        <f>HYPERLINK("https://my.zakupki.prom.ua/remote/dispatcher/state_purchase_view/17293337", "UA-2020-06-17-001235-c")</f>
        <v>UA-2020-06-17-001235-c</v>
      </c>
      <c r="C836" s="1" t="s">
        <v>943</v>
      </c>
      <c r="D836" s="1" t="s">
        <v>188</v>
      </c>
      <c r="E836" s="1" t="s">
        <v>390</v>
      </c>
      <c r="F836" s="5">
        <v>43999</v>
      </c>
      <c r="G836" s="7">
        <v>44018.59542824074</v>
      </c>
      <c r="H836" s="6">
        <v>325000</v>
      </c>
      <c r="I836" s="1" t="s">
        <v>1143</v>
      </c>
      <c r="J836" s="1" t="s">
        <v>1405</v>
      </c>
      <c r="K836" s="7">
        <v>44032.695112933055</v>
      </c>
      <c r="L836" s="6">
        <v>320191.84000000003</v>
      </c>
    </row>
    <row r="837" spans="1:12" hidden="1" x14ac:dyDescent="0.25">
      <c r="A837" s="4">
        <v>49</v>
      </c>
      <c r="B837" s="2" t="str">
        <f>HYPERLINK("https://my.zakupki.prom.ua/remote/dispatcher/state_purchase_view/18186104", "UA-2020-07-29-002592-c")</f>
        <v>UA-2020-07-29-002592-c</v>
      </c>
      <c r="C837" s="1" t="s">
        <v>926</v>
      </c>
      <c r="D837" s="1" t="s">
        <v>228</v>
      </c>
      <c r="E837" s="1" t="s">
        <v>488</v>
      </c>
      <c r="F837" s="5">
        <v>44041</v>
      </c>
      <c r="G837" s="1" t="s">
        <v>1397</v>
      </c>
      <c r="H837" s="6">
        <v>8700</v>
      </c>
      <c r="I837" s="1" t="s">
        <v>1242</v>
      </c>
      <c r="J837" s="1" t="s">
        <v>1405</v>
      </c>
      <c r="K837" s="7">
        <v>44041.473367881306</v>
      </c>
      <c r="L837" s="6">
        <v>8700</v>
      </c>
    </row>
    <row r="838" spans="1:12" hidden="1" x14ac:dyDescent="0.25">
      <c r="A838" s="4">
        <v>50</v>
      </c>
      <c r="B838" s="2" t="str">
        <f>HYPERLINK("https://my.zakupki.prom.ua/remote/dispatcher/state_purchase_view/15853748", "UA-2020-03-19-002071-b")</f>
        <v>UA-2020-03-19-002071-b</v>
      </c>
      <c r="C838" s="1" t="s">
        <v>288</v>
      </c>
      <c r="D838" s="1" t="s">
        <v>123</v>
      </c>
      <c r="E838" s="1" t="s">
        <v>470</v>
      </c>
      <c r="F838" s="5">
        <v>43909</v>
      </c>
      <c r="G838" s="1" t="s">
        <v>1398</v>
      </c>
      <c r="H838" s="6">
        <v>80000</v>
      </c>
      <c r="I838" s="1" t="s">
        <v>1170</v>
      </c>
      <c r="J838" s="1" t="s">
        <v>1405</v>
      </c>
      <c r="K838" s="7">
        <v>43924.495976639846</v>
      </c>
      <c r="L838" s="6">
        <v>79800</v>
      </c>
    </row>
    <row r="839" spans="1:12" hidden="1" x14ac:dyDescent="0.25">
      <c r="A839" s="4">
        <v>51</v>
      </c>
      <c r="B839" s="2" t="str">
        <f>HYPERLINK("https://my.zakupki.prom.ua/remote/dispatcher/state_purchase_view/16873466", "UA-2020-05-26-006557-b")</f>
        <v>UA-2020-05-26-006557-b</v>
      </c>
      <c r="C839" s="1" t="s">
        <v>413</v>
      </c>
      <c r="D839" s="1" t="s">
        <v>59</v>
      </c>
      <c r="E839" s="1" t="s">
        <v>470</v>
      </c>
      <c r="F839" s="5">
        <v>43977</v>
      </c>
      <c r="G839" s="7">
        <v>43987.582372685189</v>
      </c>
      <c r="H839" s="6">
        <v>19000</v>
      </c>
      <c r="I839" s="1" t="s">
        <v>1307</v>
      </c>
      <c r="J839" s="1" t="s">
        <v>1405</v>
      </c>
      <c r="K839" s="7">
        <v>43992.706235209858</v>
      </c>
      <c r="L839" s="6">
        <v>18997.599999999999</v>
      </c>
    </row>
    <row r="840" spans="1:12" hidden="1" x14ac:dyDescent="0.25">
      <c r="A840" s="4">
        <v>52</v>
      </c>
      <c r="B840" s="2" t="str">
        <f>HYPERLINK("https://my.zakupki.prom.ua/remote/dispatcher/state_purchase_view/13277978", "UA-2019-10-23-000858-b")</f>
        <v>UA-2019-10-23-000858-b</v>
      </c>
      <c r="C840" s="1" t="s">
        <v>333</v>
      </c>
      <c r="D840" s="1" t="s">
        <v>170</v>
      </c>
      <c r="E840" s="1" t="s">
        <v>390</v>
      </c>
      <c r="F840" s="5">
        <v>43761</v>
      </c>
      <c r="G840" s="7">
        <v>43780.575428240743</v>
      </c>
      <c r="H840" s="6">
        <v>243880</v>
      </c>
      <c r="I840" s="1" t="s">
        <v>1331</v>
      </c>
      <c r="J840" s="1" t="s">
        <v>1405</v>
      </c>
      <c r="K840" s="7">
        <v>43794.395267795808</v>
      </c>
      <c r="L840" s="6">
        <v>241780</v>
      </c>
    </row>
    <row r="841" spans="1:12" hidden="1" x14ac:dyDescent="0.25">
      <c r="A841" s="4">
        <v>53</v>
      </c>
      <c r="B841" s="2" t="str">
        <f>HYPERLINK("https://my.zakupki.prom.ua/remote/dispatcher/state_purchase_view/16506305", "UA-2020-04-29-001684-b")</f>
        <v>UA-2020-04-29-001684-b</v>
      </c>
      <c r="C841" s="1" t="s">
        <v>717</v>
      </c>
      <c r="D841" s="1" t="s">
        <v>75</v>
      </c>
      <c r="E841" s="1" t="s">
        <v>470</v>
      </c>
      <c r="F841" s="5">
        <v>43950</v>
      </c>
      <c r="G841" s="7">
        <v>43964.460451388892</v>
      </c>
      <c r="H841" s="6">
        <v>29640</v>
      </c>
      <c r="I841" s="1" t="s">
        <v>1329</v>
      </c>
      <c r="J841" s="1" t="s">
        <v>1405</v>
      </c>
      <c r="K841" s="7">
        <v>43969.70829350486</v>
      </c>
      <c r="L841" s="6">
        <v>29640</v>
      </c>
    </row>
    <row r="842" spans="1:12" hidden="1" x14ac:dyDescent="0.25">
      <c r="A842" s="4">
        <v>54</v>
      </c>
      <c r="B842" s="2" t="str">
        <f>HYPERLINK("https://my.zakupki.prom.ua/remote/dispatcher/state_purchase_view/16086174", "UA-2020-04-02-002305-b")</f>
        <v>UA-2020-04-02-002305-b</v>
      </c>
      <c r="C842" s="1" t="s">
        <v>1095</v>
      </c>
      <c r="D842" s="1" t="s">
        <v>165</v>
      </c>
      <c r="E842" s="1" t="s">
        <v>488</v>
      </c>
      <c r="F842" s="5">
        <v>43923</v>
      </c>
      <c r="G842" s="1" t="s">
        <v>1397</v>
      </c>
      <c r="H842" s="6">
        <v>6498</v>
      </c>
      <c r="I842" s="1" t="s">
        <v>702</v>
      </c>
      <c r="J842" s="1" t="s">
        <v>1405</v>
      </c>
      <c r="K842" s="7">
        <v>43923.609177980114</v>
      </c>
      <c r="L842" s="6">
        <v>6498</v>
      </c>
    </row>
    <row r="843" spans="1:12" hidden="1" x14ac:dyDescent="0.25">
      <c r="A843" s="4">
        <v>55</v>
      </c>
      <c r="B843" s="2" t="str">
        <f>HYPERLINK("https://my.zakupki.prom.ua/remote/dispatcher/state_purchase_view/16207904", "UA-2020-04-10-001574-b")</f>
        <v>UA-2020-04-10-001574-b</v>
      </c>
      <c r="C843" s="1" t="s">
        <v>724</v>
      </c>
      <c r="D843" s="1" t="s">
        <v>111</v>
      </c>
      <c r="E843" s="1" t="s">
        <v>470</v>
      </c>
      <c r="F843" s="5">
        <v>43931</v>
      </c>
      <c r="G843" s="1" t="s">
        <v>1398</v>
      </c>
      <c r="H843" s="6">
        <v>65000</v>
      </c>
      <c r="I843" s="1" t="s">
        <v>1331</v>
      </c>
      <c r="J843" s="1" t="s">
        <v>1405</v>
      </c>
      <c r="K843" s="7">
        <v>43943.596652008586</v>
      </c>
      <c r="L843" s="6">
        <v>64955</v>
      </c>
    </row>
    <row r="844" spans="1:12" hidden="1" x14ac:dyDescent="0.25">
      <c r="A844" s="4">
        <v>56</v>
      </c>
      <c r="B844" s="2" t="str">
        <f>HYPERLINK("https://my.zakupki.prom.ua/remote/dispatcher/state_purchase_view/14142706", "UA-2019-12-18-002214-b")</f>
        <v>UA-2019-12-18-002214-b</v>
      </c>
      <c r="C844" s="1" t="s">
        <v>459</v>
      </c>
      <c r="D844" s="1" t="s">
        <v>191</v>
      </c>
      <c r="E844" s="1" t="s">
        <v>390</v>
      </c>
      <c r="F844" s="5">
        <v>43817</v>
      </c>
      <c r="G844" s="7">
        <v>43838.483668981484</v>
      </c>
      <c r="H844" s="6">
        <v>140000</v>
      </c>
      <c r="I844" s="1" t="s">
        <v>1340</v>
      </c>
      <c r="J844" s="1" t="s">
        <v>1405</v>
      </c>
      <c r="K844" s="7">
        <v>43850.459935830499</v>
      </c>
      <c r="L844" s="6">
        <v>138600</v>
      </c>
    </row>
    <row r="845" spans="1:12" hidden="1" x14ac:dyDescent="0.25">
      <c r="A845" s="4">
        <v>57</v>
      </c>
      <c r="B845" s="2" t="str">
        <f>HYPERLINK("https://my.zakupki.prom.ua/remote/dispatcher/state_purchase_view/18998695", "UA-2020-09-03-009522-b")</f>
        <v>UA-2020-09-03-009522-b</v>
      </c>
      <c r="C845" s="1" t="s">
        <v>461</v>
      </c>
      <c r="D845" s="1" t="s">
        <v>172</v>
      </c>
      <c r="E845" s="1" t="s">
        <v>470</v>
      </c>
      <c r="F845" s="5">
        <v>44077</v>
      </c>
      <c r="G845" s="1" t="s">
        <v>1398</v>
      </c>
      <c r="H845" s="6">
        <v>20298</v>
      </c>
      <c r="I845" s="1" t="s">
        <v>1307</v>
      </c>
      <c r="J845" s="1" t="s">
        <v>1405</v>
      </c>
      <c r="K845" s="7">
        <v>44090.66436286403</v>
      </c>
      <c r="L845" s="6">
        <v>20298</v>
      </c>
    </row>
    <row r="846" spans="1:12" hidden="1" x14ac:dyDescent="0.25">
      <c r="A846" s="4">
        <v>58</v>
      </c>
      <c r="B846" s="2" t="str">
        <f>HYPERLINK("https://my.zakupki.prom.ua/remote/dispatcher/state_purchase_view/19650919", "UA-2020-09-28-004783-a")</f>
        <v>UA-2020-09-28-004783-a</v>
      </c>
      <c r="C846" s="1" t="s">
        <v>319</v>
      </c>
      <c r="D846" s="1" t="s">
        <v>220</v>
      </c>
      <c r="E846" s="1" t="s">
        <v>488</v>
      </c>
      <c r="F846" s="5">
        <v>44102</v>
      </c>
      <c r="G846" s="1" t="s">
        <v>1397</v>
      </c>
      <c r="H846" s="6">
        <v>113028.82</v>
      </c>
      <c r="I846" s="1" t="s">
        <v>697</v>
      </c>
      <c r="J846" s="1" t="s">
        <v>1405</v>
      </c>
      <c r="K846" s="7">
        <v>44102.570394670911</v>
      </c>
      <c r="L846" s="6">
        <v>113028.82</v>
      </c>
    </row>
    <row r="847" spans="1:12" hidden="1" x14ac:dyDescent="0.25">
      <c r="A847" s="4">
        <v>59</v>
      </c>
      <c r="B847" s="2" t="str">
        <f>HYPERLINK("https://my.zakupki.prom.ua/remote/dispatcher/state_purchase_view/19871142", "UA-2020-10-06-008568-a")</f>
        <v>UA-2020-10-06-008568-a</v>
      </c>
      <c r="C847" s="1" t="s">
        <v>816</v>
      </c>
      <c r="D847" s="1" t="s">
        <v>205</v>
      </c>
      <c r="E847" s="1" t="s">
        <v>470</v>
      </c>
      <c r="F847" s="5">
        <v>44110</v>
      </c>
      <c r="G847" s="1" t="s">
        <v>1398</v>
      </c>
      <c r="H847" s="6">
        <v>49000</v>
      </c>
      <c r="I847" s="1" t="s">
        <v>449</v>
      </c>
      <c r="J847" s="1" t="s">
        <v>1405</v>
      </c>
      <c r="K847" s="7">
        <v>44132.413581668923</v>
      </c>
      <c r="L847" s="6">
        <v>49000</v>
      </c>
    </row>
    <row r="848" spans="1:12" hidden="1" x14ac:dyDescent="0.25">
      <c r="A848" s="4">
        <v>60</v>
      </c>
      <c r="B848" s="2" t="str">
        <f>HYPERLINK("https://my.zakupki.prom.ua/remote/dispatcher/state_purchase_view/24506112", "UA-2021-03-02-001274-a")</f>
        <v>UA-2021-03-02-001274-a</v>
      </c>
      <c r="C848" s="1" t="s">
        <v>850</v>
      </c>
      <c r="D848" s="1" t="s">
        <v>235</v>
      </c>
      <c r="E848" s="1" t="s">
        <v>390</v>
      </c>
      <c r="F848" s="5">
        <v>44257</v>
      </c>
      <c r="G848" s="1" t="s">
        <v>1398</v>
      </c>
      <c r="H848" s="6">
        <v>1504230</v>
      </c>
      <c r="I848" s="1"/>
      <c r="J848" s="1" t="s">
        <v>1419</v>
      </c>
      <c r="K848" s="7">
        <v>44268.001497291218</v>
      </c>
      <c r="L848" s="1"/>
    </row>
    <row r="849" spans="1:12" hidden="1" x14ac:dyDescent="0.25">
      <c r="A849" s="4">
        <v>61</v>
      </c>
      <c r="B849" s="2" t="str">
        <f>HYPERLINK("https://my.zakupki.prom.ua/remote/dispatcher/state_purchase_view/21332149", "UA-2020-11-23-006983-c")</f>
        <v>UA-2020-11-23-006983-c</v>
      </c>
      <c r="C849" s="1" t="s">
        <v>1044</v>
      </c>
      <c r="D849" s="1" t="s">
        <v>61</v>
      </c>
      <c r="E849" s="1" t="s">
        <v>488</v>
      </c>
      <c r="F849" s="5">
        <v>44158</v>
      </c>
      <c r="G849" s="1" t="s">
        <v>1397</v>
      </c>
      <c r="H849" s="6">
        <v>4800</v>
      </c>
      <c r="I849" s="1" t="s">
        <v>1207</v>
      </c>
      <c r="J849" s="1" t="s">
        <v>1405</v>
      </c>
      <c r="K849" s="7">
        <v>44158.562418138834</v>
      </c>
      <c r="L849" s="6">
        <v>4800</v>
      </c>
    </row>
    <row r="850" spans="1:12" x14ac:dyDescent="0.25">
      <c r="A850" s="4">
        <v>62</v>
      </c>
      <c r="B850" s="2" t="str">
        <f>HYPERLINK("https://my.zakupki.prom.ua/remote/dispatcher/state_purchase_view/23157375", "UA-2021-01-22-002641-b")</f>
        <v>UA-2021-01-22-002641-b</v>
      </c>
      <c r="C850" s="1" t="s">
        <v>839</v>
      </c>
      <c r="D850" s="1" t="s">
        <v>241</v>
      </c>
      <c r="E850" s="1" t="s">
        <v>390</v>
      </c>
      <c r="F850" s="5">
        <v>44218</v>
      </c>
      <c r="G850" s="7">
        <v>44236.625648148147</v>
      </c>
      <c r="H850" s="6">
        <v>2406204</v>
      </c>
      <c r="I850" s="1" t="s">
        <v>1149</v>
      </c>
      <c r="J850" s="1" t="s">
        <v>1405</v>
      </c>
      <c r="K850" s="7">
        <v>44284.454576750002</v>
      </c>
      <c r="L850" s="6">
        <v>2175936</v>
      </c>
    </row>
    <row r="851" spans="1:12" hidden="1" x14ac:dyDescent="0.25">
      <c r="A851" s="4">
        <v>63</v>
      </c>
      <c r="B851" s="2" t="str">
        <f>HYPERLINK("https://my.zakupki.prom.ua/remote/dispatcher/state_purchase_view/25189911", "UA-2021-03-24-002194-c")</f>
        <v>UA-2021-03-24-002194-c</v>
      </c>
      <c r="C851" s="1" t="s">
        <v>766</v>
      </c>
      <c r="D851" s="1" t="s">
        <v>221</v>
      </c>
      <c r="E851" s="1" t="s">
        <v>488</v>
      </c>
      <c r="F851" s="5">
        <v>44279</v>
      </c>
      <c r="G851" s="1" t="s">
        <v>1397</v>
      </c>
      <c r="H851" s="6">
        <v>2990</v>
      </c>
      <c r="I851" s="1" t="s">
        <v>691</v>
      </c>
      <c r="J851" s="1" t="s">
        <v>1405</v>
      </c>
      <c r="K851" s="7">
        <v>44279.465634630738</v>
      </c>
      <c r="L851" s="6">
        <v>2990</v>
      </c>
    </row>
    <row r="852" spans="1:12" hidden="1" x14ac:dyDescent="0.25">
      <c r="A852" s="4">
        <v>64</v>
      </c>
      <c r="B852" s="2" t="str">
        <f>HYPERLINK("https://my.zakupki.prom.ua/remote/dispatcher/state_purchase_view/25641033", "UA-2021-04-08-003913-b")</f>
        <v>UA-2021-04-08-003913-b</v>
      </c>
      <c r="C852" s="1" t="s">
        <v>329</v>
      </c>
      <c r="D852" s="1" t="s">
        <v>50</v>
      </c>
      <c r="E852" s="1" t="s">
        <v>488</v>
      </c>
      <c r="F852" s="5">
        <v>44294</v>
      </c>
      <c r="G852" s="1" t="s">
        <v>1397</v>
      </c>
      <c r="H852" s="6">
        <v>45797.599999999999</v>
      </c>
      <c r="I852" s="1" t="s">
        <v>711</v>
      </c>
      <c r="J852" s="1" t="s">
        <v>1405</v>
      </c>
      <c r="K852" s="7">
        <v>44294.483555670078</v>
      </c>
      <c r="L852" s="6">
        <v>45797.599999999999</v>
      </c>
    </row>
    <row r="853" spans="1:12" hidden="1" x14ac:dyDescent="0.25">
      <c r="A853" s="4">
        <v>65</v>
      </c>
      <c r="B853" s="2" t="str">
        <f>HYPERLINK("https://my.zakupki.prom.ua/remote/dispatcher/state_purchase_view/25810541", "UA-2021-04-14-002901-c")</f>
        <v>UA-2021-04-14-002901-c</v>
      </c>
      <c r="C853" s="1" t="s">
        <v>497</v>
      </c>
      <c r="D853" s="1" t="s">
        <v>101</v>
      </c>
      <c r="E853" s="1" t="s">
        <v>470</v>
      </c>
      <c r="F853" s="5">
        <v>44300</v>
      </c>
      <c r="G853" s="1" t="s">
        <v>1398</v>
      </c>
      <c r="H853" s="6">
        <v>4260</v>
      </c>
      <c r="I853" s="1" t="s">
        <v>1173</v>
      </c>
      <c r="J853" s="1" t="s">
        <v>1405</v>
      </c>
      <c r="K853" s="7">
        <v>44316.624597279813</v>
      </c>
      <c r="L853" s="6">
        <v>3338.4</v>
      </c>
    </row>
    <row r="854" spans="1:12" hidden="1" x14ac:dyDescent="0.25">
      <c r="A854" s="4">
        <v>66</v>
      </c>
      <c r="B854" s="2" t="str">
        <f>HYPERLINK("https://my.zakupki.prom.ua/remote/dispatcher/state_purchase_view/27474233", "UA-2021-06-15-002323-b")</f>
        <v>UA-2021-06-15-002323-b</v>
      </c>
      <c r="C854" s="1" t="s">
        <v>482</v>
      </c>
      <c r="D854" s="1" t="s">
        <v>158</v>
      </c>
      <c r="E854" s="1" t="s">
        <v>470</v>
      </c>
      <c r="F854" s="5">
        <v>44362</v>
      </c>
      <c r="G854" s="7">
        <v>44377.485532407409</v>
      </c>
      <c r="H854" s="6">
        <v>5680</v>
      </c>
      <c r="I854" s="1" t="s">
        <v>1330</v>
      </c>
      <c r="J854" s="1" t="s">
        <v>1405</v>
      </c>
      <c r="K854" s="7">
        <v>44383.625002588728</v>
      </c>
      <c r="L854" s="6">
        <v>5640</v>
      </c>
    </row>
    <row r="855" spans="1:12" hidden="1" x14ac:dyDescent="0.25">
      <c r="A855" s="4">
        <v>67</v>
      </c>
      <c r="B855" s="2" t="str">
        <f>HYPERLINK("https://my.zakupki.prom.ua/remote/dispatcher/state_purchase_view/29351209", "UA-2021-08-28-003839-a")</f>
        <v>UA-2021-08-28-003839-a</v>
      </c>
      <c r="C855" s="1" t="s">
        <v>325</v>
      </c>
      <c r="D855" s="1" t="s">
        <v>73</v>
      </c>
      <c r="E855" s="1" t="s">
        <v>1086</v>
      </c>
      <c r="F855" s="5">
        <v>44436</v>
      </c>
      <c r="G855" s="1" t="s">
        <v>1398</v>
      </c>
      <c r="H855" s="6">
        <v>14400</v>
      </c>
      <c r="I855" s="1"/>
      <c r="J855" s="1" t="s">
        <v>1419</v>
      </c>
      <c r="K855" s="7">
        <v>44449.538489654478</v>
      </c>
      <c r="L855" s="1"/>
    </row>
    <row r="856" spans="1:12" hidden="1" x14ac:dyDescent="0.25">
      <c r="A856" s="4">
        <v>68</v>
      </c>
      <c r="B856" s="2" t="str">
        <f>HYPERLINK("https://my.zakupki.prom.ua/remote/dispatcher/state_purchase_view/29299980", "UA-2021-08-26-015831-a")</f>
        <v>UA-2021-08-26-015831-a</v>
      </c>
      <c r="C856" s="1" t="s">
        <v>935</v>
      </c>
      <c r="D856" s="1" t="s">
        <v>268</v>
      </c>
      <c r="E856" s="1" t="s">
        <v>488</v>
      </c>
      <c r="F856" s="5">
        <v>44434</v>
      </c>
      <c r="G856" s="1" t="s">
        <v>1397</v>
      </c>
      <c r="H856" s="6">
        <v>2770</v>
      </c>
      <c r="I856" s="1" t="s">
        <v>395</v>
      </c>
      <c r="J856" s="1" t="s">
        <v>1405</v>
      </c>
      <c r="K856" s="7">
        <v>44434.659454540255</v>
      </c>
      <c r="L856" s="6">
        <v>2770</v>
      </c>
    </row>
    <row r="857" spans="1:12" hidden="1" x14ac:dyDescent="0.25">
      <c r="A857" s="4">
        <v>69</v>
      </c>
      <c r="B857" s="2" t="str">
        <f>HYPERLINK("https://my.zakupki.prom.ua/remote/dispatcher/state_purchase_view/29906735", "UA-2021-09-16-001059-b")</f>
        <v>UA-2021-09-16-001059-b</v>
      </c>
      <c r="C857" s="1" t="s">
        <v>524</v>
      </c>
      <c r="D857" s="1" t="s">
        <v>92</v>
      </c>
      <c r="E857" s="1" t="s">
        <v>470</v>
      </c>
      <c r="F857" s="5">
        <v>44455</v>
      </c>
      <c r="G857" s="1" t="s">
        <v>1398</v>
      </c>
      <c r="H857" s="6">
        <v>13420</v>
      </c>
      <c r="I857" s="1" t="s">
        <v>1326</v>
      </c>
      <c r="J857" s="1" t="s">
        <v>1405</v>
      </c>
      <c r="K857" s="7">
        <v>44469.40798463417</v>
      </c>
      <c r="L857" s="6">
        <v>13419.9</v>
      </c>
    </row>
    <row r="858" spans="1:12" hidden="1" x14ac:dyDescent="0.25">
      <c r="A858" s="4">
        <v>70</v>
      </c>
      <c r="B858" s="2" t="str">
        <f>HYPERLINK("https://my.zakupki.prom.ua/remote/dispatcher/state_purchase_view/29870208", "UA-2021-09-15-003934-b")</f>
        <v>UA-2021-09-15-003934-b</v>
      </c>
      <c r="C858" s="1" t="s">
        <v>489</v>
      </c>
      <c r="D858" s="1" t="s">
        <v>108</v>
      </c>
      <c r="E858" s="1" t="s">
        <v>470</v>
      </c>
      <c r="F858" s="5">
        <v>44454</v>
      </c>
      <c r="G858" s="1" t="s">
        <v>1398</v>
      </c>
      <c r="H858" s="6">
        <v>5955</v>
      </c>
      <c r="I858" s="1" t="s">
        <v>1165</v>
      </c>
      <c r="J858" s="1" t="s">
        <v>1405</v>
      </c>
      <c r="K858" s="7">
        <v>44469.690701779153</v>
      </c>
      <c r="L858" s="6">
        <v>5823.6</v>
      </c>
    </row>
    <row r="859" spans="1:12" hidden="1" x14ac:dyDescent="0.25">
      <c r="A859" s="4">
        <v>71</v>
      </c>
      <c r="B859" s="2" t="str">
        <f>HYPERLINK("https://my.zakupki.prom.ua/remote/dispatcher/state_purchase_view/30143933", "UA-2021-09-23-001444-b")</f>
        <v>UA-2021-09-23-001444-b</v>
      </c>
      <c r="C859" s="1" t="s">
        <v>759</v>
      </c>
      <c r="D859" s="1" t="s">
        <v>233</v>
      </c>
      <c r="E859" s="1" t="s">
        <v>390</v>
      </c>
      <c r="F859" s="5">
        <v>44462</v>
      </c>
      <c r="G859" s="1" t="s">
        <v>1398</v>
      </c>
      <c r="H859" s="6">
        <v>292531.75</v>
      </c>
      <c r="I859" s="1"/>
      <c r="J859" s="1" t="s">
        <v>1406</v>
      </c>
      <c r="K859" s="7">
        <v>44478.407854378544</v>
      </c>
      <c r="L859" s="1"/>
    </row>
    <row r="860" spans="1:12" hidden="1" x14ac:dyDescent="0.25">
      <c r="A860" s="4">
        <v>72</v>
      </c>
      <c r="B860" s="2" t="str">
        <f>HYPERLINK("https://my.zakupki.prom.ua/remote/dispatcher/state_purchase_view/30129024", "UA-2021-09-22-011308-b")</f>
        <v>UA-2021-09-22-011308-b</v>
      </c>
      <c r="C860" s="1" t="s">
        <v>1003</v>
      </c>
      <c r="D860" s="1" t="s">
        <v>226</v>
      </c>
      <c r="E860" s="1" t="s">
        <v>488</v>
      </c>
      <c r="F860" s="5">
        <v>44461</v>
      </c>
      <c r="G860" s="1" t="s">
        <v>1397</v>
      </c>
      <c r="H860" s="6">
        <v>49850</v>
      </c>
      <c r="I860" s="1" t="s">
        <v>572</v>
      </c>
      <c r="J860" s="1" t="s">
        <v>1405</v>
      </c>
      <c r="K860" s="7">
        <v>44461.680465329344</v>
      </c>
      <c r="L860" s="6">
        <v>49850</v>
      </c>
    </row>
    <row r="861" spans="1:12" hidden="1" x14ac:dyDescent="0.25">
      <c r="A861" s="4">
        <v>73</v>
      </c>
      <c r="B861" s="2" t="str">
        <f>HYPERLINK("https://my.zakupki.prom.ua/remote/dispatcher/state_purchase_view/32439921", "UA-2021-12-01-008579-c")</f>
        <v>UA-2021-12-01-008579-c</v>
      </c>
      <c r="C861" s="1" t="s">
        <v>565</v>
      </c>
      <c r="D861" s="1" t="s">
        <v>28</v>
      </c>
      <c r="E861" s="1" t="s">
        <v>488</v>
      </c>
      <c r="F861" s="5">
        <v>44531</v>
      </c>
      <c r="G861" s="1" t="s">
        <v>1397</v>
      </c>
      <c r="H861" s="6">
        <v>29325</v>
      </c>
      <c r="I861" s="1" t="s">
        <v>1228</v>
      </c>
      <c r="J861" s="1" t="s">
        <v>1405</v>
      </c>
      <c r="K861" s="7">
        <v>44531.592851395937</v>
      </c>
      <c r="L861" s="6">
        <v>29325</v>
      </c>
    </row>
    <row r="862" spans="1:12" hidden="1" x14ac:dyDescent="0.25">
      <c r="A862" s="4">
        <v>74</v>
      </c>
      <c r="B862" s="2" t="str">
        <f>HYPERLINK("https://my.zakupki.prom.ua/remote/dispatcher/state_purchase_view/32648544", "UA-2021-12-06-014876-c")</f>
        <v>UA-2021-12-06-014876-c</v>
      </c>
      <c r="C862" s="1" t="s">
        <v>522</v>
      </c>
      <c r="D862" s="1" t="s">
        <v>174</v>
      </c>
      <c r="E862" s="1" t="s">
        <v>488</v>
      </c>
      <c r="F862" s="5">
        <v>44536</v>
      </c>
      <c r="G862" s="1" t="s">
        <v>1397</v>
      </c>
      <c r="H862" s="6">
        <v>37406</v>
      </c>
      <c r="I862" s="1" t="s">
        <v>658</v>
      </c>
      <c r="J862" s="1" t="s">
        <v>1405</v>
      </c>
      <c r="K862" s="7">
        <v>44536.680157361574</v>
      </c>
      <c r="L862" s="6">
        <v>37406</v>
      </c>
    </row>
    <row r="863" spans="1:12" hidden="1" x14ac:dyDescent="0.25">
      <c r="A863" s="4">
        <v>75</v>
      </c>
      <c r="B863" s="2" t="str">
        <f>HYPERLINK("https://my.zakupki.prom.ua/remote/dispatcher/state_purchase_view/32750292", "UA-2021-12-08-006085-c")</f>
        <v>UA-2021-12-08-006085-c</v>
      </c>
      <c r="C863" s="1" t="s">
        <v>686</v>
      </c>
      <c r="D863" s="1" t="s">
        <v>90</v>
      </c>
      <c r="E863" s="1" t="s">
        <v>1086</v>
      </c>
      <c r="F863" s="5">
        <v>44538</v>
      </c>
      <c r="G863" s="1" t="s">
        <v>1398</v>
      </c>
      <c r="H863" s="6">
        <v>22000</v>
      </c>
      <c r="I863" s="1"/>
      <c r="J863" s="1" t="s">
        <v>1406</v>
      </c>
      <c r="K863" s="7">
        <v>44547.000730124397</v>
      </c>
      <c r="L863" s="1"/>
    </row>
    <row r="864" spans="1:12" hidden="1" x14ac:dyDescent="0.25">
      <c r="A864" s="4">
        <v>76</v>
      </c>
      <c r="B864" s="2" t="str">
        <f>HYPERLINK("https://my.zakupki.prom.ua/remote/dispatcher/state_purchase_view/23114486", "UA-2021-01-21-002026-b")</f>
        <v>UA-2021-01-21-002026-b</v>
      </c>
      <c r="C864" s="1" t="s">
        <v>683</v>
      </c>
      <c r="D864" s="1" t="s">
        <v>217</v>
      </c>
      <c r="E864" s="1" t="s">
        <v>488</v>
      </c>
      <c r="F864" s="5">
        <v>44217</v>
      </c>
      <c r="G864" s="1" t="s">
        <v>1397</v>
      </c>
      <c r="H864" s="6">
        <v>216000</v>
      </c>
      <c r="I864" s="1" t="s">
        <v>598</v>
      </c>
      <c r="J864" s="1" t="s">
        <v>1405</v>
      </c>
      <c r="K864" s="7">
        <v>44217.444911226739</v>
      </c>
      <c r="L864" s="6">
        <v>216000</v>
      </c>
    </row>
    <row r="865" spans="1:12" hidden="1" x14ac:dyDescent="0.25">
      <c r="A865" s="4">
        <v>77</v>
      </c>
      <c r="B865" s="2" t="str">
        <f>HYPERLINK("https://my.zakupki.prom.ua/remote/dispatcher/state_purchase_view/32608795", "UA-2021-12-06-003825-c")</f>
        <v>UA-2021-12-06-003825-c</v>
      </c>
      <c r="C865" s="1" t="s">
        <v>1006</v>
      </c>
      <c r="D865" s="1" t="s">
        <v>226</v>
      </c>
      <c r="E865" s="1" t="s">
        <v>1086</v>
      </c>
      <c r="F865" s="5">
        <v>44536</v>
      </c>
      <c r="G865" s="7">
        <v>44545.56722222222</v>
      </c>
      <c r="H865" s="6">
        <v>543458.4</v>
      </c>
      <c r="I865" s="1" t="s">
        <v>1323</v>
      </c>
      <c r="J865" s="1" t="s">
        <v>1405</v>
      </c>
      <c r="K865" s="7">
        <v>44550.660021801225</v>
      </c>
      <c r="L865" s="6">
        <v>377000</v>
      </c>
    </row>
    <row r="866" spans="1:12" hidden="1" x14ac:dyDescent="0.25">
      <c r="A866" s="4">
        <v>78</v>
      </c>
      <c r="B866" s="2" t="str">
        <f>HYPERLINK("https://my.zakupki.prom.ua/remote/dispatcher/state_purchase_view/11519718", "UA-2019-05-08-001596-a")</f>
        <v>UA-2019-05-08-001596-a</v>
      </c>
      <c r="C866" s="1" t="s">
        <v>1024</v>
      </c>
      <c r="D866" s="1" t="s">
        <v>220</v>
      </c>
      <c r="E866" s="1" t="s">
        <v>488</v>
      </c>
      <c r="F866" s="5">
        <v>43593</v>
      </c>
      <c r="G866" s="1" t="s">
        <v>1397</v>
      </c>
      <c r="H866" s="6">
        <v>18638</v>
      </c>
      <c r="I866" s="1" t="s">
        <v>738</v>
      </c>
      <c r="J866" s="1" t="s">
        <v>1405</v>
      </c>
      <c r="K866" s="7">
        <v>43593.587851652141</v>
      </c>
      <c r="L866" s="6">
        <v>18638</v>
      </c>
    </row>
    <row r="867" spans="1:12" hidden="1" x14ac:dyDescent="0.25">
      <c r="A867" s="4">
        <v>79</v>
      </c>
      <c r="B867" s="2" t="str">
        <f>HYPERLINK("https://my.zakupki.prom.ua/remote/dispatcher/state_purchase_view/12123236", "UA-2019-07-04-000530-c")</f>
        <v>UA-2019-07-04-000530-c</v>
      </c>
      <c r="C867" s="1" t="s">
        <v>419</v>
      </c>
      <c r="D867" s="1" t="s">
        <v>165</v>
      </c>
      <c r="E867" s="1" t="s">
        <v>470</v>
      </c>
      <c r="F867" s="5">
        <v>43650</v>
      </c>
      <c r="G867" s="1" t="s">
        <v>1398</v>
      </c>
      <c r="H867" s="6">
        <v>16056</v>
      </c>
      <c r="I867" s="1"/>
      <c r="J867" s="1" t="s">
        <v>1419</v>
      </c>
      <c r="K867" s="7">
        <v>43650.592705676725</v>
      </c>
      <c r="L867" s="1"/>
    </row>
    <row r="868" spans="1:12" hidden="1" x14ac:dyDescent="0.25">
      <c r="A868" s="4">
        <v>80</v>
      </c>
      <c r="B868" s="2" t="str">
        <f>HYPERLINK("https://my.zakupki.prom.ua/remote/dispatcher/state_purchase_view/11961436", "UA-2019-06-18-001681-c")</f>
        <v>UA-2019-06-18-001681-c</v>
      </c>
      <c r="C868" s="1" t="s">
        <v>551</v>
      </c>
      <c r="D868" s="1" t="s">
        <v>169</v>
      </c>
      <c r="E868" s="1" t="s">
        <v>390</v>
      </c>
      <c r="F868" s="5">
        <v>43634</v>
      </c>
      <c r="G868" s="7">
        <v>43650.555162037039</v>
      </c>
      <c r="H868" s="6">
        <v>343000</v>
      </c>
      <c r="I868" s="1" t="s">
        <v>1331</v>
      </c>
      <c r="J868" s="1" t="s">
        <v>1405</v>
      </c>
      <c r="K868" s="7">
        <v>43662.472304779898</v>
      </c>
      <c r="L868" s="6">
        <v>341600</v>
      </c>
    </row>
    <row r="869" spans="1:12" hidden="1" x14ac:dyDescent="0.25">
      <c r="A869" s="4">
        <v>81</v>
      </c>
      <c r="B869" s="2" t="str">
        <f>HYPERLINK("https://my.zakupki.prom.ua/remote/dispatcher/state_purchase_view/18289529", "UA-2020-08-04-002491-a")</f>
        <v>UA-2020-08-04-002491-a</v>
      </c>
      <c r="C869" s="1" t="s">
        <v>626</v>
      </c>
      <c r="D869" s="1" t="s">
        <v>170</v>
      </c>
      <c r="E869" s="1" t="s">
        <v>390</v>
      </c>
      <c r="F869" s="5">
        <v>44047</v>
      </c>
      <c r="G869" s="7">
        <v>44064.569120370368</v>
      </c>
      <c r="H869" s="6">
        <v>1900000</v>
      </c>
      <c r="I869" s="1" t="s">
        <v>1331</v>
      </c>
      <c r="J869" s="1" t="s">
        <v>1405</v>
      </c>
      <c r="K869" s="7">
        <v>44081.388414041328</v>
      </c>
      <c r="L869" s="6">
        <v>1785500</v>
      </c>
    </row>
    <row r="870" spans="1:12" hidden="1" x14ac:dyDescent="0.25">
      <c r="A870" s="4">
        <v>82</v>
      </c>
      <c r="B870" s="2" t="str">
        <f>HYPERLINK("https://my.zakupki.prom.ua/remote/dispatcher/state_purchase_view/19013471", "UA-2020-09-04-004511-b")</f>
        <v>UA-2020-09-04-004511-b</v>
      </c>
      <c r="C870" s="1" t="s">
        <v>1069</v>
      </c>
      <c r="D870" s="1" t="s">
        <v>90</v>
      </c>
      <c r="E870" s="1" t="s">
        <v>390</v>
      </c>
      <c r="F870" s="5">
        <v>44078</v>
      </c>
      <c r="G870" s="7">
        <v>44095.494212962964</v>
      </c>
      <c r="H870" s="6">
        <v>301800</v>
      </c>
      <c r="I870" s="1" t="s">
        <v>1333</v>
      </c>
      <c r="J870" s="1" t="s">
        <v>1405</v>
      </c>
      <c r="K870" s="7">
        <v>44113.729987892417</v>
      </c>
      <c r="L870" s="6">
        <v>300290</v>
      </c>
    </row>
    <row r="871" spans="1:12" hidden="1" x14ac:dyDescent="0.25">
      <c r="A871" s="4">
        <v>83</v>
      </c>
      <c r="B871" s="2" t="str">
        <f>HYPERLINK("https://my.zakupki.prom.ua/remote/dispatcher/state_purchase_view/21222143", "UA-2020-11-19-002557-c")</f>
        <v>UA-2020-11-19-002557-c</v>
      </c>
      <c r="C871" s="1" t="s">
        <v>626</v>
      </c>
      <c r="D871" s="1" t="s">
        <v>170</v>
      </c>
      <c r="E871" s="1" t="s">
        <v>390</v>
      </c>
      <c r="F871" s="5">
        <v>44154</v>
      </c>
      <c r="G871" s="7">
        <v>44172.518171296295</v>
      </c>
      <c r="H871" s="6">
        <v>1000000</v>
      </c>
      <c r="I871" s="1" t="s">
        <v>1151</v>
      </c>
      <c r="J871" s="1" t="s">
        <v>1405</v>
      </c>
      <c r="K871" s="7">
        <v>44188.611568953507</v>
      </c>
      <c r="L871" s="6">
        <v>985000</v>
      </c>
    </row>
    <row r="872" spans="1:12" hidden="1" x14ac:dyDescent="0.25">
      <c r="A872" s="4">
        <v>84</v>
      </c>
      <c r="B872" s="2" t="str">
        <f>HYPERLINK("https://my.zakupki.prom.ua/remote/dispatcher/state_purchase_view/21419831", "UA-2020-11-25-004683-c")</f>
        <v>UA-2020-11-25-004683-c</v>
      </c>
      <c r="C872" s="1" t="s">
        <v>921</v>
      </c>
      <c r="D872" s="1" t="s">
        <v>204</v>
      </c>
      <c r="E872" s="1" t="s">
        <v>488</v>
      </c>
      <c r="F872" s="5">
        <v>44160</v>
      </c>
      <c r="G872" s="1" t="s">
        <v>1397</v>
      </c>
      <c r="H872" s="6">
        <v>186</v>
      </c>
      <c r="I872" s="1" t="s">
        <v>510</v>
      </c>
      <c r="J872" s="1" t="s">
        <v>1405</v>
      </c>
      <c r="K872" s="7">
        <v>44160.477709501472</v>
      </c>
      <c r="L872" s="6">
        <v>186</v>
      </c>
    </row>
    <row r="873" spans="1:12" hidden="1" x14ac:dyDescent="0.25">
      <c r="A873" s="4">
        <v>85</v>
      </c>
      <c r="B873" s="2" t="str">
        <f>HYPERLINK("https://my.zakupki.prom.ua/remote/dispatcher/state_purchase_view/16059262", "UA-2020-04-01-001067-b")</f>
        <v>UA-2020-04-01-001067-b</v>
      </c>
      <c r="C873" s="1" t="s">
        <v>1052</v>
      </c>
      <c r="D873" s="1" t="s">
        <v>30</v>
      </c>
      <c r="E873" s="1" t="s">
        <v>390</v>
      </c>
      <c r="F873" s="5">
        <v>43922</v>
      </c>
      <c r="G873" s="1" t="s">
        <v>1398</v>
      </c>
      <c r="H873" s="6">
        <v>77664</v>
      </c>
      <c r="I873" s="1"/>
      <c r="J873" s="1" t="s">
        <v>1406</v>
      </c>
      <c r="K873" s="7">
        <v>43937.544541744152</v>
      </c>
      <c r="L873" s="1"/>
    </row>
    <row r="874" spans="1:12" hidden="1" x14ac:dyDescent="0.25">
      <c r="A874" s="4">
        <v>86</v>
      </c>
      <c r="B874" s="2" t="str">
        <f>HYPERLINK("https://my.zakupki.prom.ua/remote/dispatcher/state_purchase_view/16261547", "UA-2020-04-14-001935-b")</f>
        <v>UA-2020-04-14-001935-b</v>
      </c>
      <c r="C874" s="1" t="s">
        <v>635</v>
      </c>
      <c r="D874" s="1" t="s">
        <v>191</v>
      </c>
      <c r="E874" s="1" t="s">
        <v>470</v>
      </c>
      <c r="F874" s="5">
        <v>43935</v>
      </c>
      <c r="G874" s="1" t="s">
        <v>1398</v>
      </c>
      <c r="H874" s="6">
        <v>99500</v>
      </c>
      <c r="I874" s="1" t="s">
        <v>1340</v>
      </c>
      <c r="J874" s="1" t="s">
        <v>1405</v>
      </c>
      <c r="K874" s="7">
        <v>43950.57078197028</v>
      </c>
      <c r="L874" s="6">
        <v>99500</v>
      </c>
    </row>
    <row r="875" spans="1:12" hidden="1" x14ac:dyDescent="0.25">
      <c r="A875" s="4">
        <v>87</v>
      </c>
      <c r="B875" s="2" t="str">
        <f>HYPERLINK("https://my.zakupki.prom.ua/remote/dispatcher/state_purchase_view/19279003", "UA-2020-09-15-004707-a")</f>
        <v>UA-2020-09-15-004707-a</v>
      </c>
      <c r="C875" s="1" t="s">
        <v>1036</v>
      </c>
      <c r="D875" s="1" t="s">
        <v>30</v>
      </c>
      <c r="E875" s="1" t="s">
        <v>1086</v>
      </c>
      <c r="F875" s="5">
        <v>44089</v>
      </c>
      <c r="G875" s="1" t="s">
        <v>1398</v>
      </c>
      <c r="H875" s="6">
        <v>150000</v>
      </c>
      <c r="I875" s="1" t="s">
        <v>1361</v>
      </c>
      <c r="J875" s="1" t="s">
        <v>1405</v>
      </c>
      <c r="K875" s="7">
        <v>44104.528338078009</v>
      </c>
      <c r="L875" s="6">
        <v>148000</v>
      </c>
    </row>
    <row r="876" spans="1:12" x14ac:dyDescent="0.25">
      <c r="A876" s="4">
        <v>88</v>
      </c>
      <c r="B876" s="2" t="str">
        <f>HYPERLINK("https://my.zakupki.prom.ua/remote/dispatcher/state_purchase_view/27909117", "UA-2021-07-02-001900-c")</f>
        <v>UA-2021-07-02-001900-c</v>
      </c>
      <c r="C876" s="1" t="s">
        <v>504</v>
      </c>
      <c r="D876" s="1" t="s">
        <v>170</v>
      </c>
      <c r="E876" s="1" t="s">
        <v>390</v>
      </c>
      <c r="F876" s="5">
        <v>44379</v>
      </c>
      <c r="G876" s="7">
        <v>44396.543553240743</v>
      </c>
      <c r="H876" s="6">
        <v>1019200</v>
      </c>
      <c r="I876" s="1" t="s">
        <v>1331</v>
      </c>
      <c r="J876" s="1" t="s">
        <v>1405</v>
      </c>
      <c r="K876" s="7">
        <v>44410.403298587487</v>
      </c>
      <c r="L876" s="6">
        <v>1000000</v>
      </c>
    </row>
    <row r="877" spans="1:12" hidden="1" x14ac:dyDescent="0.25">
      <c r="A877" s="4">
        <v>89</v>
      </c>
      <c r="B877" s="2" t="str">
        <f>HYPERLINK("https://my.zakupki.prom.ua/remote/dispatcher/state_purchase_view/28530336", "UA-2021-07-27-001526-b")</f>
        <v>UA-2021-07-27-001526-b</v>
      </c>
      <c r="C877" s="1" t="s">
        <v>325</v>
      </c>
      <c r="D877" s="1" t="s">
        <v>73</v>
      </c>
      <c r="E877" s="1" t="s">
        <v>1086</v>
      </c>
      <c r="F877" s="5">
        <v>44404</v>
      </c>
      <c r="G877" s="7">
        <v>44413.476944444446</v>
      </c>
      <c r="H877" s="6">
        <v>12000</v>
      </c>
      <c r="I877" s="1"/>
      <c r="J877" s="1" t="s">
        <v>1406</v>
      </c>
      <c r="K877" s="7">
        <v>44419.0018407592</v>
      </c>
      <c r="L877" s="1"/>
    </row>
    <row r="878" spans="1:12" hidden="1" x14ac:dyDescent="0.25">
      <c r="A878" s="4">
        <v>90</v>
      </c>
      <c r="B878" s="2" t="str">
        <f>HYPERLINK("https://my.zakupki.prom.ua/remote/dispatcher/state_purchase_view/29222067", "UA-2021-08-20-010026-a")</f>
        <v>UA-2021-08-20-010026-a</v>
      </c>
      <c r="C878" s="1" t="s">
        <v>970</v>
      </c>
      <c r="D878" s="1" t="s">
        <v>116</v>
      </c>
      <c r="E878" s="1" t="s">
        <v>488</v>
      </c>
      <c r="F878" s="5">
        <v>44428</v>
      </c>
      <c r="G878" s="1" t="s">
        <v>1397</v>
      </c>
      <c r="H878" s="6">
        <v>1599.96</v>
      </c>
      <c r="I878" s="1" t="s">
        <v>1239</v>
      </c>
      <c r="J878" s="1" t="s">
        <v>1405</v>
      </c>
      <c r="K878" s="7">
        <v>44428.671942628112</v>
      </c>
      <c r="L878" s="6">
        <v>1599.96</v>
      </c>
    </row>
    <row r="879" spans="1:12" hidden="1" x14ac:dyDescent="0.25">
      <c r="A879" s="4">
        <v>91</v>
      </c>
      <c r="B879" s="2" t="str">
        <f>HYPERLINK("https://my.zakupki.prom.ua/remote/dispatcher/state_purchase_view/24112013", "UA-2021-02-17-010537-a")</f>
        <v>UA-2021-02-17-010537-a</v>
      </c>
      <c r="C879" s="1" t="s">
        <v>1250</v>
      </c>
      <c r="D879" s="1" t="s">
        <v>96</v>
      </c>
      <c r="E879" s="1" t="s">
        <v>470</v>
      </c>
      <c r="F879" s="5">
        <v>44244</v>
      </c>
      <c r="G879" s="1" t="s">
        <v>1398</v>
      </c>
      <c r="H879" s="6">
        <v>28090</v>
      </c>
      <c r="I879" s="1"/>
      <c r="J879" s="1" t="s">
        <v>1419</v>
      </c>
      <c r="K879" s="7">
        <v>44259.409609018716</v>
      </c>
      <c r="L879" s="1"/>
    </row>
    <row r="880" spans="1:12" hidden="1" x14ac:dyDescent="0.25">
      <c r="A880" s="4">
        <v>92</v>
      </c>
      <c r="B880" s="2" t="str">
        <f>HYPERLINK("https://my.zakupki.prom.ua/remote/dispatcher/state_purchase_view/21946951", "UA-2020-12-09-010835-c")</f>
        <v>UA-2020-12-09-010835-c</v>
      </c>
      <c r="C880" s="1" t="s">
        <v>913</v>
      </c>
      <c r="D880" s="1" t="s">
        <v>215</v>
      </c>
      <c r="E880" s="1" t="s">
        <v>488</v>
      </c>
      <c r="F880" s="5">
        <v>44174</v>
      </c>
      <c r="G880" s="1" t="s">
        <v>1397</v>
      </c>
      <c r="H880" s="6">
        <v>40000</v>
      </c>
      <c r="I880" s="1" t="s">
        <v>510</v>
      </c>
      <c r="J880" s="1" t="s">
        <v>1405</v>
      </c>
      <c r="K880" s="7">
        <v>44174.627414912196</v>
      </c>
      <c r="L880" s="6">
        <v>40000</v>
      </c>
    </row>
    <row r="881" spans="1:12" hidden="1" x14ac:dyDescent="0.25">
      <c r="A881" s="4">
        <v>93</v>
      </c>
      <c r="B881" s="2" t="str">
        <f>HYPERLINK("https://my.zakupki.prom.ua/remote/dispatcher/state_purchase_view/25025115", "UA-2021-03-18-003771-c")</f>
        <v>UA-2021-03-18-003771-c</v>
      </c>
      <c r="C881" s="1" t="s">
        <v>330</v>
      </c>
      <c r="D881" s="1" t="s">
        <v>50</v>
      </c>
      <c r="E881" s="1" t="s">
        <v>470</v>
      </c>
      <c r="F881" s="5">
        <v>44273</v>
      </c>
      <c r="G881" s="1" t="s">
        <v>1398</v>
      </c>
      <c r="H881" s="6">
        <v>45798</v>
      </c>
      <c r="I881" s="1"/>
      <c r="J881" s="1" t="s">
        <v>1406</v>
      </c>
      <c r="K881" s="7">
        <v>44284.509966427278</v>
      </c>
      <c r="L881" s="1"/>
    </row>
    <row r="882" spans="1:12" hidden="1" x14ac:dyDescent="0.25">
      <c r="A882" s="4">
        <v>94</v>
      </c>
      <c r="B882" s="2" t="str">
        <f>HYPERLINK("https://my.zakupki.prom.ua/remote/dispatcher/state_purchase_view/27298158", "UA-2021-06-09-000797-b")</f>
        <v>UA-2021-06-09-000797-b</v>
      </c>
      <c r="C882" s="1" t="s">
        <v>499</v>
      </c>
      <c r="D882" s="1" t="s">
        <v>81</v>
      </c>
      <c r="E882" s="1" t="s">
        <v>488</v>
      </c>
      <c r="F882" s="5">
        <v>44356</v>
      </c>
      <c r="G882" s="1" t="s">
        <v>1397</v>
      </c>
      <c r="H882" s="6">
        <v>760</v>
      </c>
      <c r="I882" s="1" t="s">
        <v>1222</v>
      </c>
      <c r="J882" s="1" t="s">
        <v>1405</v>
      </c>
      <c r="K882" s="7">
        <v>44356.390848814626</v>
      </c>
      <c r="L882" s="6">
        <v>760</v>
      </c>
    </row>
    <row r="883" spans="1:12" hidden="1" x14ac:dyDescent="0.25">
      <c r="A883" s="4">
        <v>95</v>
      </c>
      <c r="B883" s="2" t="str">
        <f>HYPERLINK("https://my.zakupki.prom.ua/remote/dispatcher/state_purchase_view/25808859", "UA-2021-04-14-002454-c")</f>
        <v>UA-2021-04-14-002454-c</v>
      </c>
      <c r="C883" s="1" t="s">
        <v>982</v>
      </c>
      <c r="D883" s="1" t="s">
        <v>220</v>
      </c>
      <c r="E883" s="1" t="s">
        <v>1086</v>
      </c>
      <c r="F883" s="5">
        <v>44300</v>
      </c>
      <c r="G883" s="1" t="s">
        <v>1398</v>
      </c>
      <c r="H883" s="6">
        <v>97000</v>
      </c>
      <c r="I883" s="1" t="s">
        <v>1232</v>
      </c>
      <c r="J883" s="1" t="s">
        <v>1405</v>
      </c>
      <c r="K883" s="7">
        <v>44315.508206399143</v>
      </c>
      <c r="L883" s="6">
        <v>96981.28</v>
      </c>
    </row>
    <row r="884" spans="1:12" hidden="1" x14ac:dyDescent="0.25">
      <c r="A884" s="4">
        <v>96</v>
      </c>
      <c r="B884" s="2" t="str">
        <f>HYPERLINK("https://my.zakupki.prom.ua/remote/dispatcher/state_purchase_view/31151894", "UA-2021-10-27-001043-a")</f>
        <v>UA-2021-10-27-001043-a</v>
      </c>
      <c r="C884" s="1" t="s">
        <v>500</v>
      </c>
      <c r="D884" s="1" t="s">
        <v>81</v>
      </c>
      <c r="E884" s="1" t="s">
        <v>488</v>
      </c>
      <c r="F884" s="5">
        <v>44496</v>
      </c>
      <c r="G884" s="1" t="s">
        <v>1397</v>
      </c>
      <c r="H884" s="6">
        <v>695</v>
      </c>
      <c r="I884" s="1" t="s">
        <v>1236</v>
      </c>
      <c r="J884" s="1" t="s">
        <v>1405</v>
      </c>
      <c r="K884" s="7">
        <v>44496.404966973962</v>
      </c>
      <c r="L884" s="6">
        <v>695</v>
      </c>
    </row>
    <row r="885" spans="1:12" hidden="1" x14ac:dyDescent="0.25">
      <c r="A885" s="4">
        <v>97</v>
      </c>
      <c r="B885" s="2" t="str">
        <f>HYPERLINK("https://my.zakupki.prom.ua/remote/dispatcher/state_purchase_view/31711864", "UA-2021-11-12-001909-a")</f>
        <v>UA-2021-11-12-001909-a</v>
      </c>
      <c r="C885" s="1" t="s">
        <v>476</v>
      </c>
      <c r="D885" s="1" t="s">
        <v>148</v>
      </c>
      <c r="E885" s="1" t="s">
        <v>488</v>
      </c>
      <c r="F885" s="5">
        <v>44512</v>
      </c>
      <c r="G885" s="1" t="s">
        <v>1397</v>
      </c>
      <c r="H885" s="6">
        <v>22499.599999999999</v>
      </c>
      <c r="I885" s="1" t="s">
        <v>1297</v>
      </c>
      <c r="J885" s="1" t="s">
        <v>1405</v>
      </c>
      <c r="K885" s="7">
        <v>44515.486114726322</v>
      </c>
      <c r="L885" s="6">
        <v>22499.599999999999</v>
      </c>
    </row>
    <row r="886" spans="1:12" hidden="1" x14ac:dyDescent="0.25">
      <c r="A886" s="4">
        <v>98</v>
      </c>
      <c r="B886" s="2" t="str">
        <f>HYPERLINK("https://my.zakupki.prom.ua/remote/dispatcher/state_purchase_view/31591982", "UA-2021-11-09-004587-a")</f>
        <v>UA-2021-11-09-004587-a</v>
      </c>
      <c r="C886" s="1" t="s">
        <v>730</v>
      </c>
      <c r="D886" s="1" t="s">
        <v>167</v>
      </c>
      <c r="E886" s="1" t="s">
        <v>488</v>
      </c>
      <c r="F886" s="5">
        <v>44509</v>
      </c>
      <c r="G886" s="1" t="s">
        <v>1397</v>
      </c>
      <c r="H886" s="6">
        <v>2640</v>
      </c>
      <c r="I886" s="1" t="s">
        <v>1205</v>
      </c>
      <c r="J886" s="1" t="s">
        <v>1405</v>
      </c>
      <c r="K886" s="7">
        <v>44509.689351418427</v>
      </c>
      <c r="L886" s="6">
        <v>2640</v>
      </c>
    </row>
    <row r="887" spans="1:12" hidden="1" x14ac:dyDescent="0.25">
      <c r="A887" s="4">
        <v>99</v>
      </c>
      <c r="B887" s="2" t="str">
        <f>HYPERLINK("https://my.zakupki.prom.ua/remote/dispatcher/state_purchase_view/32753541", "UA-2021-12-08-006852-c")</f>
        <v>UA-2021-12-08-006852-c</v>
      </c>
      <c r="C887" s="1" t="s">
        <v>322</v>
      </c>
      <c r="D887" s="1" t="s">
        <v>220</v>
      </c>
      <c r="E887" s="1" t="s">
        <v>488</v>
      </c>
      <c r="F887" s="5">
        <v>44538</v>
      </c>
      <c r="G887" s="1" t="s">
        <v>1397</v>
      </c>
      <c r="H887" s="6">
        <v>480600</v>
      </c>
      <c r="I887" s="1" t="s">
        <v>1204</v>
      </c>
      <c r="J887" s="1" t="s">
        <v>1405</v>
      </c>
      <c r="K887" s="7">
        <v>44538.496387073435</v>
      </c>
      <c r="L887" s="6">
        <v>480600</v>
      </c>
    </row>
    <row r="888" spans="1:12" hidden="1" x14ac:dyDescent="0.25">
      <c r="A888" s="4">
        <v>100</v>
      </c>
      <c r="B888" s="2" t="str">
        <f>HYPERLINK("https://my.zakupki.prom.ua/remote/dispatcher/state_purchase_view/28404745", "UA-2021-07-21-005452-b")</f>
        <v>UA-2021-07-21-005452-b</v>
      </c>
      <c r="C888" s="1" t="s">
        <v>801</v>
      </c>
      <c r="D888" s="1" t="s">
        <v>252</v>
      </c>
      <c r="E888" s="1" t="s">
        <v>488</v>
      </c>
      <c r="F888" s="5">
        <v>44398</v>
      </c>
      <c r="G888" s="1" t="s">
        <v>1397</v>
      </c>
      <c r="H888" s="6">
        <v>4730</v>
      </c>
      <c r="I888" s="1" t="s">
        <v>446</v>
      </c>
      <c r="J888" s="1" t="s">
        <v>1405</v>
      </c>
      <c r="K888" s="7">
        <v>44398.592963448333</v>
      </c>
      <c r="L888" s="6">
        <v>4730</v>
      </c>
    </row>
    <row r="889" spans="1:12" hidden="1" x14ac:dyDescent="0.25">
      <c r="A889" s="4">
        <v>101</v>
      </c>
      <c r="B889" s="2" t="str">
        <f>HYPERLINK("https://my.zakupki.prom.ua/remote/dispatcher/state_purchase_view/29828355", "UA-2021-09-14-004785-b")</f>
        <v>UA-2021-09-14-004785-b</v>
      </c>
      <c r="C889" s="1" t="s">
        <v>684</v>
      </c>
      <c r="D889" s="1" t="s">
        <v>217</v>
      </c>
      <c r="E889" s="1" t="s">
        <v>488</v>
      </c>
      <c r="F889" s="5">
        <v>44453</v>
      </c>
      <c r="G889" s="1" t="s">
        <v>1397</v>
      </c>
      <c r="H889" s="6">
        <v>302880</v>
      </c>
      <c r="I889" s="1" t="s">
        <v>1193</v>
      </c>
      <c r="J889" s="1" t="s">
        <v>1405</v>
      </c>
      <c r="K889" s="7">
        <v>44453.510153254181</v>
      </c>
      <c r="L889" s="6">
        <v>302880</v>
      </c>
    </row>
    <row r="890" spans="1:12" hidden="1" x14ac:dyDescent="0.25">
      <c r="A890" s="4">
        <v>102</v>
      </c>
      <c r="B890" s="2" t="str">
        <f>HYPERLINK("https://my.zakupki.prom.ua/remote/dispatcher/state_purchase_view/33212191", "UA-2021-12-16-007448-c")</f>
        <v>UA-2021-12-16-007448-c</v>
      </c>
      <c r="C890" s="1" t="s">
        <v>797</v>
      </c>
      <c r="D890" s="1" t="s">
        <v>196</v>
      </c>
      <c r="E890" s="1" t="s">
        <v>1086</v>
      </c>
      <c r="F890" s="5">
        <v>44546</v>
      </c>
      <c r="G890" s="1" t="s">
        <v>1398</v>
      </c>
      <c r="H890" s="6">
        <v>135500</v>
      </c>
      <c r="I890" s="1" t="s">
        <v>1340</v>
      </c>
      <c r="J890" s="1" t="s">
        <v>1405</v>
      </c>
      <c r="K890" s="7">
        <v>44561.420260339677</v>
      </c>
      <c r="L890" s="6">
        <v>135500</v>
      </c>
    </row>
    <row r="891" spans="1:12" hidden="1" x14ac:dyDescent="0.25">
      <c r="A891" s="4">
        <v>103</v>
      </c>
      <c r="B891" s="2" t="str">
        <f>HYPERLINK("https://my.zakupki.prom.ua/remote/dispatcher/state_purchase_view/17335381", "UA-2020-06-18-003190-c")</f>
        <v>UA-2020-06-18-003190-c</v>
      </c>
      <c r="C891" s="1" t="s">
        <v>413</v>
      </c>
      <c r="D891" s="1" t="s">
        <v>181</v>
      </c>
      <c r="E891" s="1" t="s">
        <v>488</v>
      </c>
      <c r="F891" s="5">
        <v>44000</v>
      </c>
      <c r="G891" s="1" t="s">
        <v>1397</v>
      </c>
      <c r="H891" s="6">
        <v>1800</v>
      </c>
      <c r="I891" s="1" t="s">
        <v>429</v>
      </c>
      <c r="J891" s="1" t="s">
        <v>1405</v>
      </c>
      <c r="K891" s="7">
        <v>44000.500355881159</v>
      </c>
      <c r="L891" s="6">
        <v>1800</v>
      </c>
    </row>
    <row r="892" spans="1:12" hidden="1" x14ac:dyDescent="0.25">
      <c r="A892" s="4">
        <v>104</v>
      </c>
      <c r="B892" s="2" t="str">
        <f>HYPERLINK("https://my.zakupki.prom.ua/remote/dispatcher/state_purchase_view/17352352", "UA-2020-06-18-007648-c")</f>
        <v>UA-2020-06-18-007648-c</v>
      </c>
      <c r="C892" s="1" t="s">
        <v>884</v>
      </c>
      <c r="D892" s="1" t="s">
        <v>205</v>
      </c>
      <c r="E892" s="1" t="s">
        <v>488</v>
      </c>
      <c r="F892" s="5">
        <v>44000</v>
      </c>
      <c r="G892" s="1" t="s">
        <v>1397</v>
      </c>
      <c r="H892" s="6">
        <v>732.38</v>
      </c>
      <c r="I892" s="1" t="s">
        <v>701</v>
      </c>
      <c r="J892" s="1" t="s">
        <v>1405</v>
      </c>
      <c r="K892" s="7">
        <v>44000.697215660519</v>
      </c>
      <c r="L892" s="6">
        <v>732.38</v>
      </c>
    </row>
    <row r="893" spans="1:12" hidden="1" x14ac:dyDescent="0.25">
      <c r="A893" s="4">
        <v>105</v>
      </c>
      <c r="B893" s="2" t="str">
        <f>HYPERLINK("https://my.zakupki.prom.ua/remote/dispatcher/state_purchase_view/10876485", "UA-2019-03-12-000555-a")</f>
        <v>UA-2019-03-12-000555-a</v>
      </c>
      <c r="C893" s="1" t="s">
        <v>899</v>
      </c>
      <c r="D893" s="1" t="s">
        <v>218</v>
      </c>
      <c r="E893" s="1" t="s">
        <v>470</v>
      </c>
      <c r="F893" s="5">
        <v>43536</v>
      </c>
      <c r="G893" s="7">
        <v>43545.494039351855</v>
      </c>
      <c r="H893" s="6">
        <v>18500</v>
      </c>
      <c r="I893" s="1" t="s">
        <v>1289</v>
      </c>
      <c r="J893" s="1" t="s">
        <v>1405</v>
      </c>
      <c r="K893" s="7">
        <v>43552.663452887871</v>
      </c>
      <c r="L893" s="6">
        <v>18000</v>
      </c>
    </row>
    <row r="894" spans="1:12" hidden="1" x14ac:dyDescent="0.25">
      <c r="A894" s="4">
        <v>106</v>
      </c>
      <c r="B894" s="2" t="str">
        <f>HYPERLINK("https://my.zakupki.prom.ua/remote/dispatcher/state_purchase_view/27906959", "UA-2021-07-02-001263-c")</f>
        <v>UA-2021-07-02-001263-c</v>
      </c>
      <c r="C894" s="1" t="s">
        <v>889</v>
      </c>
      <c r="D894" s="1" t="s">
        <v>203</v>
      </c>
      <c r="E894" s="1" t="s">
        <v>470</v>
      </c>
      <c r="F894" s="5">
        <v>44379</v>
      </c>
      <c r="G894" s="1" t="s">
        <v>1398</v>
      </c>
      <c r="H894" s="6">
        <v>25500</v>
      </c>
      <c r="I894" s="1" t="s">
        <v>1164</v>
      </c>
      <c r="J894" s="1" t="s">
        <v>1405</v>
      </c>
      <c r="K894" s="7">
        <v>44396.422375411668</v>
      </c>
      <c r="L894" s="6">
        <v>25500</v>
      </c>
    </row>
    <row r="895" spans="1:12" hidden="1" x14ac:dyDescent="0.25">
      <c r="A895" s="4">
        <v>107</v>
      </c>
      <c r="B895" s="2" t="str">
        <f>HYPERLINK("https://my.zakupki.prom.ua/remote/dispatcher/state_purchase_view/28255386", "UA-2021-07-15-003489-b")</f>
        <v>UA-2021-07-15-003489-b</v>
      </c>
      <c r="C895" s="1" t="s">
        <v>326</v>
      </c>
      <c r="D895" s="1" t="s">
        <v>73</v>
      </c>
      <c r="E895" s="1" t="s">
        <v>1086</v>
      </c>
      <c r="F895" s="5">
        <v>44392</v>
      </c>
      <c r="G895" s="1" t="s">
        <v>1398</v>
      </c>
      <c r="H895" s="6">
        <v>12000</v>
      </c>
      <c r="I895" s="1"/>
      <c r="J895" s="1" t="s">
        <v>1406</v>
      </c>
      <c r="K895" s="7">
        <v>44403.463091661964</v>
      </c>
      <c r="L895" s="1"/>
    </row>
    <row r="896" spans="1:12" hidden="1" x14ac:dyDescent="0.25">
      <c r="A896" s="4">
        <v>108</v>
      </c>
      <c r="B896" s="2" t="str">
        <f>HYPERLINK("https://my.zakupki.prom.ua/remote/dispatcher/state_purchase_view/28469609", "UA-2021-07-23-006921-b")</f>
        <v>UA-2021-07-23-006921-b</v>
      </c>
      <c r="C896" s="1" t="s">
        <v>1079</v>
      </c>
      <c r="D896" s="1" t="s">
        <v>49</v>
      </c>
      <c r="E896" s="1" t="s">
        <v>488</v>
      </c>
      <c r="F896" s="5">
        <v>44400</v>
      </c>
      <c r="G896" s="1" t="s">
        <v>1397</v>
      </c>
      <c r="H896" s="6">
        <v>89960</v>
      </c>
      <c r="I896" s="1" t="s">
        <v>394</v>
      </c>
      <c r="J896" s="1" t="s">
        <v>1405</v>
      </c>
      <c r="K896" s="7">
        <v>44400.636177709886</v>
      </c>
      <c r="L896" s="6">
        <v>89960</v>
      </c>
    </row>
    <row r="897" spans="1:12" hidden="1" x14ac:dyDescent="0.25">
      <c r="A897" s="4">
        <v>109</v>
      </c>
      <c r="B897" s="2" t="str">
        <f>HYPERLINK("https://my.zakupki.prom.ua/remote/dispatcher/state_purchase_view/23535466", "UA-2021-02-02-006534-a")</f>
        <v>UA-2021-02-02-006534-a</v>
      </c>
      <c r="C897" s="1" t="s">
        <v>795</v>
      </c>
      <c r="D897" s="1" t="s">
        <v>255</v>
      </c>
      <c r="E897" s="1" t="s">
        <v>1086</v>
      </c>
      <c r="F897" s="5">
        <v>44229</v>
      </c>
      <c r="G897" s="1" t="s">
        <v>1398</v>
      </c>
      <c r="H897" s="6">
        <v>199980</v>
      </c>
      <c r="I897" s="1" t="s">
        <v>1118</v>
      </c>
      <c r="J897" s="1" t="s">
        <v>1405</v>
      </c>
      <c r="K897" s="7">
        <v>44245.427559497432</v>
      </c>
      <c r="L897" s="6">
        <v>199817.28</v>
      </c>
    </row>
    <row r="898" spans="1:12" hidden="1" x14ac:dyDescent="0.25">
      <c r="A898" s="4">
        <v>110</v>
      </c>
      <c r="B898" s="2" t="str">
        <f>HYPERLINK("https://my.zakupki.prom.ua/remote/dispatcher/state_purchase_view/23692631", "UA-2021-02-05-003259-a")</f>
        <v>UA-2021-02-05-003259-a</v>
      </c>
      <c r="C898" s="1" t="s">
        <v>1264</v>
      </c>
      <c r="D898" s="1" t="s">
        <v>221</v>
      </c>
      <c r="E898" s="1" t="s">
        <v>488</v>
      </c>
      <c r="F898" s="5">
        <v>44232</v>
      </c>
      <c r="G898" s="1" t="s">
        <v>1397</v>
      </c>
      <c r="H898" s="6">
        <v>2990</v>
      </c>
      <c r="I898" s="1" t="s">
        <v>691</v>
      </c>
      <c r="J898" s="1" t="s">
        <v>1405</v>
      </c>
      <c r="K898" s="7">
        <v>44232.454538108163</v>
      </c>
      <c r="L898" s="6">
        <v>2990</v>
      </c>
    </row>
    <row r="899" spans="1:12" hidden="1" x14ac:dyDescent="0.25">
      <c r="A899" s="4">
        <v>111</v>
      </c>
      <c r="B899" s="2" t="str">
        <f>HYPERLINK("https://my.zakupki.prom.ua/remote/dispatcher/state_purchase_view/23794175", "UA-2021-02-09-001696-a")</f>
        <v>UA-2021-02-09-001696-a</v>
      </c>
      <c r="C899" s="1" t="s">
        <v>626</v>
      </c>
      <c r="D899" s="1" t="s">
        <v>170</v>
      </c>
      <c r="E899" s="1" t="s">
        <v>390</v>
      </c>
      <c r="F899" s="5">
        <v>44236</v>
      </c>
      <c r="G899" s="1" t="s">
        <v>1398</v>
      </c>
      <c r="H899" s="6">
        <v>1400000</v>
      </c>
      <c r="I899" s="1"/>
      <c r="J899" s="1" t="s">
        <v>1419</v>
      </c>
      <c r="K899" s="7">
        <v>44303.002354687313</v>
      </c>
      <c r="L899" s="1"/>
    </row>
    <row r="900" spans="1:12" hidden="1" x14ac:dyDescent="0.25">
      <c r="A900" s="4">
        <v>112</v>
      </c>
      <c r="B900" s="2" t="str">
        <f>HYPERLINK("https://my.zakupki.prom.ua/remote/dispatcher/state_purchase_view/23525534", "UA-2021-02-02-003054-a")</f>
        <v>UA-2021-02-02-003054-a</v>
      </c>
      <c r="C900" s="1" t="s">
        <v>814</v>
      </c>
      <c r="D900" s="1" t="s">
        <v>229</v>
      </c>
      <c r="E900" s="1" t="s">
        <v>488</v>
      </c>
      <c r="F900" s="5">
        <v>44229</v>
      </c>
      <c r="G900" s="1" t="s">
        <v>1397</v>
      </c>
      <c r="H900" s="6">
        <v>332</v>
      </c>
      <c r="I900" s="1" t="s">
        <v>1241</v>
      </c>
      <c r="J900" s="1" t="s">
        <v>1405</v>
      </c>
      <c r="K900" s="7">
        <v>44229.441029999674</v>
      </c>
      <c r="L900" s="6">
        <v>332</v>
      </c>
    </row>
    <row r="901" spans="1:12" hidden="1" x14ac:dyDescent="0.25">
      <c r="A901" s="4">
        <v>113</v>
      </c>
      <c r="B901" s="2" t="str">
        <f>HYPERLINK("https://my.zakupki.prom.ua/remote/dispatcher/state_purchase_view/24249625", "UA-2021-02-22-007171-b")</f>
        <v>UA-2021-02-22-007171-b</v>
      </c>
      <c r="C901" s="1" t="s">
        <v>287</v>
      </c>
      <c r="D901" s="1" t="s">
        <v>122</v>
      </c>
      <c r="E901" s="1" t="s">
        <v>1086</v>
      </c>
      <c r="F901" s="5">
        <v>44249</v>
      </c>
      <c r="G901" s="1" t="s">
        <v>1398</v>
      </c>
      <c r="H901" s="6">
        <v>59500</v>
      </c>
      <c r="I901" s="1" t="s">
        <v>1336</v>
      </c>
      <c r="J901" s="1" t="s">
        <v>1405</v>
      </c>
      <c r="K901" s="7">
        <v>44264.448832635477</v>
      </c>
      <c r="L901" s="6">
        <v>59500</v>
      </c>
    </row>
    <row r="902" spans="1:12" x14ac:dyDescent="0.25">
      <c r="A902" s="4">
        <v>114</v>
      </c>
      <c r="B902" s="2" t="str">
        <f>HYPERLINK("https://my.zakupki.prom.ua/remote/dispatcher/state_purchase_view/24006207", "UA-2021-02-15-003750-c")</f>
        <v>UA-2021-02-15-003750-c</v>
      </c>
      <c r="C902" s="1" t="s">
        <v>906</v>
      </c>
      <c r="D902" s="1" t="s">
        <v>245</v>
      </c>
      <c r="E902" s="1" t="s">
        <v>390</v>
      </c>
      <c r="F902" s="5">
        <v>44242</v>
      </c>
      <c r="G902" s="7">
        <v>44259.554293981484</v>
      </c>
      <c r="H902" s="6">
        <v>300000</v>
      </c>
      <c r="I902" s="1" t="s">
        <v>739</v>
      </c>
      <c r="J902" s="1" t="s">
        <v>1405</v>
      </c>
      <c r="K902" s="7">
        <v>44270.651852133196</v>
      </c>
      <c r="L902" s="6">
        <v>295000</v>
      </c>
    </row>
    <row r="903" spans="1:12" hidden="1" x14ac:dyDescent="0.25">
      <c r="A903" s="4">
        <v>115</v>
      </c>
      <c r="B903" s="2" t="str">
        <f>HYPERLINK("https://my.zakupki.prom.ua/remote/dispatcher/state_purchase_view/21123608", "UA-2020-11-17-000919-c")</f>
        <v>UA-2020-11-17-000919-c</v>
      </c>
      <c r="C903" s="1" t="s">
        <v>837</v>
      </c>
      <c r="D903" s="1" t="s">
        <v>241</v>
      </c>
      <c r="E903" s="1" t="s">
        <v>391</v>
      </c>
      <c r="F903" s="5">
        <v>44152</v>
      </c>
      <c r="G903" s="1" t="s">
        <v>1398</v>
      </c>
      <c r="H903" s="6">
        <v>5248364</v>
      </c>
      <c r="I903" s="1"/>
      <c r="J903" s="1" t="s">
        <v>1406</v>
      </c>
      <c r="K903" s="7">
        <v>44208.863219386738</v>
      </c>
      <c r="L903" s="1"/>
    </row>
    <row r="904" spans="1:12" x14ac:dyDescent="0.25">
      <c r="A904" s="4">
        <v>116</v>
      </c>
      <c r="B904" s="2" t="str">
        <f>HYPERLINK("https://my.zakupki.prom.ua/remote/dispatcher/state_purchase_view/21123608", "UA-2020-11-17-000919-c")</f>
        <v>UA-2020-11-17-000919-c</v>
      </c>
      <c r="C904" s="1" t="s">
        <v>837</v>
      </c>
      <c r="D904" s="1" t="s">
        <v>241</v>
      </c>
      <c r="E904" s="1" t="s">
        <v>391</v>
      </c>
      <c r="F904" s="5">
        <v>44152</v>
      </c>
      <c r="G904" s="7">
        <v>44211.51766203704</v>
      </c>
      <c r="H904" s="6">
        <v>5248364</v>
      </c>
      <c r="I904" s="1" t="s">
        <v>1142</v>
      </c>
      <c r="J904" s="1" t="s">
        <v>1404</v>
      </c>
      <c r="K904" s="7">
        <v>44222.396021207809</v>
      </c>
      <c r="L904" s="6">
        <v>763924.8</v>
      </c>
    </row>
    <row r="905" spans="1:12" hidden="1" x14ac:dyDescent="0.25">
      <c r="A905" s="4">
        <v>117</v>
      </c>
      <c r="B905" s="2" t="str">
        <f>HYPERLINK("https://my.zakupki.prom.ua/remote/dispatcher/state_purchase_view/19470115", "UA-2020-09-22-002082-b")</f>
        <v>UA-2020-09-22-002082-b</v>
      </c>
      <c r="C905" s="1" t="s">
        <v>552</v>
      </c>
      <c r="D905" s="1" t="s">
        <v>130</v>
      </c>
      <c r="E905" s="1" t="s">
        <v>1086</v>
      </c>
      <c r="F905" s="5">
        <v>44096</v>
      </c>
      <c r="G905" s="1" t="s">
        <v>1398</v>
      </c>
      <c r="H905" s="6">
        <v>105000</v>
      </c>
      <c r="I905" s="1" t="s">
        <v>1151</v>
      </c>
      <c r="J905" s="1" t="s">
        <v>1405</v>
      </c>
      <c r="K905" s="7">
        <v>44116.527665708112</v>
      </c>
      <c r="L905" s="6">
        <v>105000</v>
      </c>
    </row>
    <row r="906" spans="1:12" hidden="1" x14ac:dyDescent="0.25">
      <c r="A906" s="4">
        <v>118</v>
      </c>
      <c r="B906" s="2" t="str">
        <f>HYPERLINK("https://my.zakupki.prom.ua/remote/dispatcher/state_purchase_view/24931456", "UA-2021-03-16-004412-c")</f>
        <v>UA-2021-03-16-004412-c</v>
      </c>
      <c r="C906" s="1" t="s">
        <v>580</v>
      </c>
      <c r="D906" s="1" t="s">
        <v>98</v>
      </c>
      <c r="E906" s="1" t="s">
        <v>488</v>
      </c>
      <c r="F906" s="5">
        <v>44271</v>
      </c>
      <c r="G906" s="1" t="s">
        <v>1397</v>
      </c>
      <c r="H906" s="6">
        <v>2995</v>
      </c>
      <c r="I906" s="1" t="s">
        <v>571</v>
      </c>
      <c r="J906" s="1" t="s">
        <v>1405</v>
      </c>
      <c r="K906" s="7">
        <v>44271.521031979421</v>
      </c>
      <c r="L906" s="6">
        <v>2995</v>
      </c>
    </row>
    <row r="907" spans="1:12" hidden="1" x14ac:dyDescent="0.25">
      <c r="A907" s="4">
        <v>119</v>
      </c>
      <c r="B907" s="2" t="str">
        <f>HYPERLINK("https://my.zakupki.prom.ua/remote/dispatcher/state_purchase_view/24576294", "UA-2021-03-03-009873-c")</f>
        <v>UA-2021-03-03-009873-c</v>
      </c>
      <c r="C907" s="1" t="s">
        <v>316</v>
      </c>
      <c r="D907" s="1" t="s">
        <v>220</v>
      </c>
      <c r="E907" s="1" t="s">
        <v>488</v>
      </c>
      <c r="F907" s="5">
        <v>44258</v>
      </c>
      <c r="G907" s="1" t="s">
        <v>1397</v>
      </c>
      <c r="H907" s="6">
        <v>49950</v>
      </c>
      <c r="I907" s="1" t="s">
        <v>1192</v>
      </c>
      <c r="J907" s="1" t="s">
        <v>1405</v>
      </c>
      <c r="K907" s="7">
        <v>44258.664406991375</v>
      </c>
      <c r="L907" s="6">
        <v>49950</v>
      </c>
    </row>
    <row r="908" spans="1:12" hidden="1" x14ac:dyDescent="0.25">
      <c r="A908" s="4">
        <v>120</v>
      </c>
      <c r="B908" s="2" t="str">
        <f>HYPERLINK("https://my.zakupki.prom.ua/remote/dispatcher/state_purchase_view/25163094", "UA-2021-03-23-001680-b")</f>
        <v>UA-2021-03-23-001680-b</v>
      </c>
      <c r="C908" s="1" t="s">
        <v>422</v>
      </c>
      <c r="D908" s="1" t="s">
        <v>62</v>
      </c>
      <c r="E908" s="1" t="s">
        <v>1086</v>
      </c>
      <c r="F908" s="5">
        <v>44278</v>
      </c>
      <c r="G908" s="7">
        <v>44288.557939814818</v>
      </c>
      <c r="H908" s="6">
        <v>115000</v>
      </c>
      <c r="I908" s="1" t="s">
        <v>1109</v>
      </c>
      <c r="J908" s="1" t="s">
        <v>1405</v>
      </c>
      <c r="K908" s="7">
        <v>44294.479538288899</v>
      </c>
      <c r="L908" s="6">
        <v>102331.2</v>
      </c>
    </row>
    <row r="909" spans="1:12" hidden="1" x14ac:dyDescent="0.25">
      <c r="A909" s="4">
        <v>121</v>
      </c>
      <c r="B909" s="2" t="str">
        <f>HYPERLINK("https://my.zakupki.prom.ua/remote/dispatcher/state_purchase_view/27069974", "UA-2021-06-01-009734-b")</f>
        <v>UA-2021-06-01-009734-b</v>
      </c>
      <c r="C909" s="1" t="s">
        <v>304</v>
      </c>
      <c r="D909" s="1" t="s">
        <v>228</v>
      </c>
      <c r="E909" s="1" t="s">
        <v>488</v>
      </c>
      <c r="F909" s="5">
        <v>44348</v>
      </c>
      <c r="G909" s="1" t="s">
        <v>1397</v>
      </c>
      <c r="H909" s="6">
        <v>300</v>
      </c>
      <c r="I909" s="1" t="s">
        <v>1391</v>
      </c>
      <c r="J909" s="1" t="s">
        <v>1405</v>
      </c>
      <c r="K909" s="7">
        <v>44348.662942270763</v>
      </c>
      <c r="L909" s="6">
        <v>300</v>
      </c>
    </row>
    <row r="910" spans="1:12" hidden="1" x14ac:dyDescent="0.25">
      <c r="A910" s="4">
        <v>122</v>
      </c>
      <c r="B910" s="2" t="str">
        <f>HYPERLINK("https://my.zakupki.prom.ua/remote/dispatcher/state_purchase_view/32439511", "UA-2021-12-01-008414-c")</f>
        <v>UA-2021-12-01-008414-c</v>
      </c>
      <c r="C910" s="1" t="s">
        <v>323</v>
      </c>
      <c r="D910" s="1" t="s">
        <v>63</v>
      </c>
      <c r="E910" s="1" t="s">
        <v>488</v>
      </c>
      <c r="F910" s="5">
        <v>44531</v>
      </c>
      <c r="G910" s="1" t="s">
        <v>1397</v>
      </c>
      <c r="H910" s="6">
        <v>9315</v>
      </c>
      <c r="I910" s="1" t="s">
        <v>1228</v>
      </c>
      <c r="J910" s="1" t="s">
        <v>1405</v>
      </c>
      <c r="K910" s="7">
        <v>44531.591425045983</v>
      </c>
      <c r="L910" s="6">
        <v>9315</v>
      </c>
    </row>
    <row r="911" spans="1:12" hidden="1" x14ac:dyDescent="0.25">
      <c r="A911" s="4">
        <v>123</v>
      </c>
      <c r="B911" s="2" t="str">
        <f>HYPERLINK("https://my.zakupki.prom.ua/remote/dispatcher/state_purchase_view/32605843", "UA-2021-12-06-002958-c")</f>
        <v>UA-2021-12-06-002958-c</v>
      </c>
      <c r="C911" s="1" t="s">
        <v>688</v>
      </c>
      <c r="D911" s="1" t="s">
        <v>90</v>
      </c>
      <c r="E911" s="1" t="s">
        <v>488</v>
      </c>
      <c r="F911" s="5">
        <v>44536</v>
      </c>
      <c r="G911" s="1" t="s">
        <v>1397</v>
      </c>
      <c r="H911" s="6">
        <v>34000.1</v>
      </c>
      <c r="I911" s="1" t="s">
        <v>658</v>
      </c>
      <c r="J911" s="1" t="s">
        <v>1405</v>
      </c>
      <c r="K911" s="7">
        <v>44536.438380500593</v>
      </c>
      <c r="L911" s="6">
        <v>34000.1</v>
      </c>
    </row>
    <row r="912" spans="1:12" hidden="1" x14ac:dyDescent="0.25">
      <c r="A912" s="4">
        <v>124</v>
      </c>
      <c r="B912" s="2" t="str">
        <f>HYPERLINK("https://my.zakupki.prom.ua/remote/dispatcher/state_purchase_view/31314043", "UA-2021-11-02-000978-a")</f>
        <v>UA-2021-11-02-000978-a</v>
      </c>
      <c r="C912" s="1" t="s">
        <v>407</v>
      </c>
      <c r="D912" s="1" t="s">
        <v>178</v>
      </c>
      <c r="E912" s="1" t="s">
        <v>488</v>
      </c>
      <c r="F912" s="5">
        <v>44502</v>
      </c>
      <c r="G912" s="1" t="s">
        <v>1397</v>
      </c>
      <c r="H912" s="6">
        <v>11680</v>
      </c>
      <c r="I912" s="1" t="s">
        <v>1228</v>
      </c>
      <c r="J912" s="1" t="s">
        <v>1405</v>
      </c>
      <c r="K912" s="7">
        <v>44502.389108439886</v>
      </c>
      <c r="L912" s="6">
        <v>11680</v>
      </c>
    </row>
    <row r="913" spans="1:12" hidden="1" x14ac:dyDescent="0.25">
      <c r="A913" s="4">
        <v>125</v>
      </c>
      <c r="B913" s="2" t="str">
        <f>HYPERLINK("https://my.zakupki.prom.ua/remote/dispatcher/state_purchase_view/31487593", "UA-2021-11-05-011425-b")</f>
        <v>UA-2021-11-05-011425-b</v>
      </c>
      <c r="C913" s="1" t="s">
        <v>1103</v>
      </c>
      <c r="D913" s="1" t="s">
        <v>146</v>
      </c>
      <c r="E913" s="1" t="s">
        <v>488</v>
      </c>
      <c r="F913" s="5">
        <v>44505</v>
      </c>
      <c r="G913" s="1" t="s">
        <v>1397</v>
      </c>
      <c r="H913" s="6">
        <v>1296</v>
      </c>
      <c r="I913" s="1" t="s">
        <v>1205</v>
      </c>
      <c r="J913" s="1" t="s">
        <v>1405</v>
      </c>
      <c r="K913" s="7">
        <v>44505.615913973081</v>
      </c>
      <c r="L913" s="6">
        <v>1296</v>
      </c>
    </row>
    <row r="914" spans="1:12" x14ac:dyDescent="0.25">
      <c r="A914" s="4">
        <v>126</v>
      </c>
      <c r="B914" s="2" t="str">
        <f>HYPERLINK("https://my.zakupki.prom.ua/remote/dispatcher/state_purchase_view/31131239", "UA-2021-10-26-009131-b")</f>
        <v>UA-2021-10-26-009131-b</v>
      </c>
      <c r="C914" s="1" t="s">
        <v>799</v>
      </c>
      <c r="D914" s="1" t="s">
        <v>191</v>
      </c>
      <c r="E914" s="1" t="s">
        <v>390</v>
      </c>
      <c r="F914" s="5">
        <v>44495</v>
      </c>
      <c r="G914" s="7">
        <v>44512.637986111113</v>
      </c>
      <c r="H914" s="6">
        <v>816583</v>
      </c>
      <c r="I914" s="1" t="s">
        <v>1340</v>
      </c>
      <c r="J914" s="1" t="s">
        <v>1405</v>
      </c>
      <c r="K914" s="7">
        <v>44529.699452327804</v>
      </c>
      <c r="L914" s="6">
        <v>802334</v>
      </c>
    </row>
    <row r="915" spans="1:12" hidden="1" x14ac:dyDescent="0.25">
      <c r="A915" s="4">
        <v>127</v>
      </c>
      <c r="B915" s="2" t="str">
        <f>HYPERLINK("https://my.zakupki.prom.ua/remote/dispatcher/state_purchase_view/31547074", "UA-2021-11-09-007982-b")</f>
        <v>UA-2021-11-09-007982-b</v>
      </c>
      <c r="C915" s="1" t="s">
        <v>983</v>
      </c>
      <c r="D915" s="1" t="s">
        <v>220</v>
      </c>
      <c r="E915" s="1" t="s">
        <v>1086</v>
      </c>
      <c r="F915" s="5">
        <v>44509</v>
      </c>
      <c r="G915" s="1" t="s">
        <v>1398</v>
      </c>
      <c r="H915" s="6">
        <v>141000</v>
      </c>
      <c r="I915" s="1"/>
      <c r="J915" s="1" t="s">
        <v>1419</v>
      </c>
      <c r="K915" s="7">
        <v>44516.724164313302</v>
      </c>
      <c r="L915" s="1"/>
    </row>
    <row r="916" spans="1:12" hidden="1" x14ac:dyDescent="0.25">
      <c r="A916" s="4">
        <v>128</v>
      </c>
      <c r="B916" s="2" t="str">
        <f>HYPERLINK("https://my.zakupki.prom.ua/remote/dispatcher/state_purchase_view/33870760", "UA-2021-12-30-001993-c")</f>
        <v>UA-2021-12-30-001993-c</v>
      </c>
      <c r="C916" s="1" t="s">
        <v>783</v>
      </c>
      <c r="D916" s="1" t="s">
        <v>231</v>
      </c>
      <c r="E916" s="1" t="s">
        <v>488</v>
      </c>
      <c r="F916" s="5">
        <v>44560</v>
      </c>
      <c r="G916" s="1" t="s">
        <v>1397</v>
      </c>
      <c r="H916" s="6">
        <v>14400</v>
      </c>
      <c r="I916" s="1" t="s">
        <v>1247</v>
      </c>
      <c r="J916" s="1" t="s">
        <v>1405</v>
      </c>
      <c r="K916" s="7">
        <v>44560.446663324561</v>
      </c>
      <c r="L916" s="6">
        <v>14400</v>
      </c>
    </row>
    <row r="917" spans="1:12" hidden="1" x14ac:dyDescent="0.25">
      <c r="A917" s="4">
        <v>129</v>
      </c>
      <c r="B917" s="2" t="str">
        <f>HYPERLINK("https://my.zakupki.prom.ua/remote/dispatcher/state_purchase_view/33885187", "UA-2021-12-30-007353-c")</f>
        <v>UA-2021-12-30-007353-c</v>
      </c>
      <c r="C917" s="1" t="s">
        <v>782</v>
      </c>
      <c r="D917" s="1" t="s">
        <v>231</v>
      </c>
      <c r="E917" s="1" t="s">
        <v>488</v>
      </c>
      <c r="F917" s="5">
        <v>44560</v>
      </c>
      <c r="G917" s="1" t="s">
        <v>1397</v>
      </c>
      <c r="H917" s="6">
        <v>28260</v>
      </c>
      <c r="I917" s="1" t="s">
        <v>1234</v>
      </c>
      <c r="J917" s="1" t="s">
        <v>1405</v>
      </c>
      <c r="K917" s="7">
        <v>44560.607169658957</v>
      </c>
      <c r="L917" s="6">
        <v>28260</v>
      </c>
    </row>
    <row r="918" spans="1:12" x14ac:dyDescent="0.25">
      <c r="A918" s="4">
        <v>130</v>
      </c>
      <c r="B918" s="2" t="str">
        <f>HYPERLINK("https://my.zakupki.prom.ua/remote/dispatcher/state_purchase_view/28791650", "UA-2021-08-05-011659-a")</f>
        <v>UA-2021-08-05-011659-a</v>
      </c>
      <c r="C918" s="1" t="s">
        <v>535</v>
      </c>
      <c r="D918" s="1" t="s">
        <v>190</v>
      </c>
      <c r="E918" s="1" t="s">
        <v>390</v>
      </c>
      <c r="F918" s="5">
        <v>44413</v>
      </c>
      <c r="G918" s="7">
        <v>44433.620659722219</v>
      </c>
      <c r="H918" s="6">
        <v>101775514.8</v>
      </c>
      <c r="I918" s="1" t="s">
        <v>1169</v>
      </c>
      <c r="J918" s="1" t="s">
        <v>1405</v>
      </c>
      <c r="K918" s="7">
        <v>44448.416519914237</v>
      </c>
      <c r="L918" s="6">
        <v>99078204</v>
      </c>
    </row>
    <row r="919" spans="1:12" hidden="1" x14ac:dyDescent="0.25">
      <c r="A919" s="4">
        <v>131</v>
      </c>
      <c r="B919" s="2" t="str">
        <f>HYPERLINK("https://my.zakupki.prom.ua/remote/dispatcher/state_purchase_view/19529703", "UA-2020-09-23-007956-b")</f>
        <v>UA-2020-09-23-007956-b</v>
      </c>
      <c r="C919" s="1" t="s">
        <v>961</v>
      </c>
      <c r="D919" s="1" t="s">
        <v>188</v>
      </c>
      <c r="E919" s="1" t="s">
        <v>390</v>
      </c>
      <c r="F919" s="5">
        <v>44097</v>
      </c>
      <c r="G919" s="7">
        <v>44116.659398148149</v>
      </c>
      <c r="H919" s="6">
        <v>1700000</v>
      </c>
      <c r="I919" s="1" t="s">
        <v>1313</v>
      </c>
      <c r="J919" s="1" t="s">
        <v>1405</v>
      </c>
      <c r="K919" s="7">
        <v>44130.468722711033</v>
      </c>
      <c r="L919" s="6">
        <v>1642347.59</v>
      </c>
    </row>
    <row r="920" spans="1:12" hidden="1" x14ac:dyDescent="0.25">
      <c r="A920" s="4">
        <v>132</v>
      </c>
      <c r="B920" s="2" t="str">
        <f>HYPERLINK("https://my.zakupki.prom.ua/remote/dispatcher/state_purchase_view/32602312", "UA-2021-12-06-001909-c")</f>
        <v>UA-2021-12-06-001909-c</v>
      </c>
      <c r="C920" s="1" t="s">
        <v>1037</v>
      </c>
      <c r="D920" s="1" t="s">
        <v>30</v>
      </c>
      <c r="E920" s="1" t="s">
        <v>488</v>
      </c>
      <c r="F920" s="5">
        <v>44536</v>
      </c>
      <c r="G920" s="1" t="s">
        <v>1397</v>
      </c>
      <c r="H920" s="6">
        <v>49350</v>
      </c>
      <c r="I920" s="1" t="s">
        <v>508</v>
      </c>
      <c r="J920" s="1" t="s">
        <v>1405</v>
      </c>
      <c r="K920" s="7">
        <v>44536.413003126021</v>
      </c>
      <c r="L920" s="6">
        <v>49350</v>
      </c>
    </row>
    <row r="921" spans="1:12" hidden="1" x14ac:dyDescent="0.25">
      <c r="A921" s="4">
        <v>133</v>
      </c>
      <c r="B921" s="2" t="str">
        <f>HYPERLINK("https://my.zakupki.prom.ua/remote/dispatcher/state_purchase_view/33543904", "UA-2021-12-22-008048-c")</f>
        <v>UA-2021-12-22-008048-c</v>
      </c>
      <c r="C921" s="1" t="s">
        <v>837</v>
      </c>
      <c r="D921" s="1" t="s">
        <v>241</v>
      </c>
      <c r="E921" s="1" t="s">
        <v>390</v>
      </c>
      <c r="F921" s="5">
        <v>44552</v>
      </c>
      <c r="G921" s="7">
        <v>44571.558587962965</v>
      </c>
      <c r="H921" s="6">
        <v>3500000</v>
      </c>
      <c r="I921" s="1"/>
      <c r="J921" s="1" t="s">
        <v>1409</v>
      </c>
      <c r="K921" s="1"/>
      <c r="L921" s="1"/>
    </row>
    <row r="922" spans="1:12" hidden="1" x14ac:dyDescent="0.25">
      <c r="A922" s="4">
        <v>134</v>
      </c>
      <c r="B922" s="2" t="str">
        <f>HYPERLINK("https://my.zakupki.prom.ua/remote/dispatcher/state_purchase_view/33997237", "UA-2022-01-11-001864-a")</f>
        <v>UA-2022-01-11-001864-a</v>
      </c>
      <c r="C922" s="1" t="s">
        <v>748</v>
      </c>
      <c r="D922" s="1" t="s">
        <v>255</v>
      </c>
      <c r="E922" s="1" t="s">
        <v>390</v>
      </c>
      <c r="F922" s="5">
        <v>44572</v>
      </c>
      <c r="G922" s="7">
        <v>44589.45988425926</v>
      </c>
      <c r="H922" s="6">
        <v>550000</v>
      </c>
      <c r="I922" s="1"/>
      <c r="J922" s="1" t="s">
        <v>1417</v>
      </c>
      <c r="K922" s="1"/>
      <c r="L922" s="1"/>
    </row>
    <row r="923" spans="1:12" hidden="1" x14ac:dyDescent="0.25">
      <c r="A923" s="4">
        <v>135</v>
      </c>
      <c r="B923" s="2" t="str">
        <f>HYPERLINK("https://my.zakupki.prom.ua/remote/dispatcher/state_purchase_view/18268237", "UA-2020-08-03-002471-a")</f>
        <v>UA-2020-08-03-002471-a</v>
      </c>
      <c r="C923" s="1" t="s">
        <v>615</v>
      </c>
      <c r="D923" s="1" t="s">
        <v>166</v>
      </c>
      <c r="E923" s="1" t="s">
        <v>390</v>
      </c>
      <c r="F923" s="5">
        <v>44046</v>
      </c>
      <c r="G923" s="7">
        <v>44063.495057870372</v>
      </c>
      <c r="H923" s="6">
        <v>925200</v>
      </c>
      <c r="I923" s="1" t="s">
        <v>1330</v>
      </c>
      <c r="J923" s="1" t="s">
        <v>1405</v>
      </c>
      <c r="K923" s="7">
        <v>44076.399530159491</v>
      </c>
      <c r="L923" s="6">
        <v>925173.69</v>
      </c>
    </row>
    <row r="924" spans="1:12" hidden="1" x14ac:dyDescent="0.25">
      <c r="A924" s="4">
        <v>136</v>
      </c>
      <c r="B924" s="2" t="str">
        <f>HYPERLINK("https://my.zakupki.prom.ua/remote/dispatcher/state_purchase_view/18183811", "UA-2020-07-29-001772-c")</f>
        <v>UA-2020-07-29-001772-c</v>
      </c>
      <c r="C924" s="1" t="s">
        <v>885</v>
      </c>
      <c r="D924" s="1" t="s">
        <v>206</v>
      </c>
      <c r="E924" s="1" t="s">
        <v>488</v>
      </c>
      <c r="F924" s="5">
        <v>44041</v>
      </c>
      <c r="G924" s="1" t="s">
        <v>1397</v>
      </c>
      <c r="H924" s="6">
        <v>5700</v>
      </c>
      <c r="I924" s="1" t="s">
        <v>1347</v>
      </c>
      <c r="J924" s="1" t="s">
        <v>1405</v>
      </c>
      <c r="K924" s="7">
        <v>44041.442699895961</v>
      </c>
      <c r="L924" s="6">
        <v>5700</v>
      </c>
    </row>
    <row r="925" spans="1:12" hidden="1" x14ac:dyDescent="0.25">
      <c r="A925" s="4">
        <v>137</v>
      </c>
      <c r="B925" s="2" t="str">
        <f>HYPERLINK("https://my.zakupki.prom.ua/remote/dispatcher/state_purchase_view/16920597", "UA-2020-05-28-004855-b")</f>
        <v>UA-2020-05-28-004855-b</v>
      </c>
      <c r="C925" s="1" t="s">
        <v>761</v>
      </c>
      <c r="D925" s="1" t="s">
        <v>233</v>
      </c>
      <c r="E925" s="1" t="s">
        <v>390</v>
      </c>
      <c r="F925" s="5">
        <v>43979</v>
      </c>
      <c r="G925" s="7">
        <v>43997.473252314812</v>
      </c>
      <c r="H925" s="6">
        <v>1247405</v>
      </c>
      <c r="I925" s="1" t="s">
        <v>1118</v>
      </c>
      <c r="J925" s="1" t="s">
        <v>1405</v>
      </c>
      <c r="K925" s="7">
        <v>44018.637245150523</v>
      </c>
      <c r="L925" s="6">
        <v>1227725.98</v>
      </c>
    </row>
    <row r="926" spans="1:12" hidden="1" x14ac:dyDescent="0.25">
      <c r="A926" s="4">
        <v>138</v>
      </c>
      <c r="B926" s="2" t="str">
        <f>HYPERLINK("https://my.zakupki.prom.ua/remote/dispatcher/state_purchase_view/18902697", "UA-2020-09-01-001614-b")</f>
        <v>UA-2020-09-01-001614-b</v>
      </c>
      <c r="C926" s="1" t="s">
        <v>865</v>
      </c>
      <c r="D926" s="1" t="s">
        <v>255</v>
      </c>
      <c r="E926" s="1" t="s">
        <v>390</v>
      </c>
      <c r="F926" s="5">
        <v>44075</v>
      </c>
      <c r="G926" s="7">
        <v>44092.652638888889</v>
      </c>
      <c r="H926" s="6">
        <v>700000</v>
      </c>
      <c r="I926" s="1" t="s">
        <v>1118</v>
      </c>
      <c r="J926" s="1" t="s">
        <v>1405</v>
      </c>
      <c r="K926" s="7">
        <v>44113.706630171386</v>
      </c>
      <c r="L926" s="6">
        <v>692055</v>
      </c>
    </row>
    <row r="927" spans="1:12" hidden="1" x14ac:dyDescent="0.25">
      <c r="A927" s="4">
        <v>139</v>
      </c>
      <c r="B927" s="2" t="str">
        <f>HYPERLINK("https://my.zakupki.prom.ua/remote/dispatcher/state_purchase_view/17259405", "UA-2020-06-16-001220-c")</f>
        <v>UA-2020-06-16-001220-c</v>
      </c>
      <c r="C927" s="1" t="s">
        <v>973</v>
      </c>
      <c r="D927" s="1" t="s">
        <v>65</v>
      </c>
      <c r="E927" s="1" t="s">
        <v>488</v>
      </c>
      <c r="F927" s="5">
        <v>43998</v>
      </c>
      <c r="G927" s="1" t="s">
        <v>1397</v>
      </c>
      <c r="H927" s="6">
        <v>4980</v>
      </c>
      <c r="I927" s="1" t="s">
        <v>1214</v>
      </c>
      <c r="J927" s="1" t="s">
        <v>1405</v>
      </c>
      <c r="K927" s="7">
        <v>43998.425659634908</v>
      </c>
      <c r="L927" s="6">
        <v>4980</v>
      </c>
    </row>
    <row r="928" spans="1:12" hidden="1" x14ac:dyDescent="0.25">
      <c r="A928" s="4">
        <v>140</v>
      </c>
      <c r="B928" s="2" t="str">
        <f>HYPERLINK("https://my.zakupki.prom.ua/remote/dispatcher/state_purchase_view/32612420", "UA-2021-12-06-004942-c")</f>
        <v>UA-2021-12-06-004942-c</v>
      </c>
      <c r="C928" s="1" t="s">
        <v>1256</v>
      </c>
      <c r="D928" s="1" t="s">
        <v>141</v>
      </c>
      <c r="E928" s="1" t="s">
        <v>470</v>
      </c>
      <c r="F928" s="5">
        <v>44536</v>
      </c>
      <c r="G928" s="1" t="s">
        <v>1398</v>
      </c>
      <c r="H928" s="6">
        <v>25085</v>
      </c>
      <c r="I928" s="1"/>
      <c r="J928" s="1" t="s">
        <v>1406</v>
      </c>
      <c r="K928" s="7">
        <v>44545.500996234667</v>
      </c>
      <c r="L928" s="1"/>
    </row>
    <row r="929" spans="1:12" hidden="1" x14ac:dyDescent="0.25">
      <c r="A929" s="4">
        <v>141</v>
      </c>
      <c r="B929" s="2" t="str">
        <f>HYPERLINK("https://my.zakupki.prom.ua/remote/dispatcher/state_purchase_view/31150770", "UA-2021-10-27-000685-a")</f>
        <v>UA-2021-10-27-000685-a</v>
      </c>
      <c r="C929" s="1" t="s">
        <v>304</v>
      </c>
      <c r="D929" s="1" t="s">
        <v>228</v>
      </c>
      <c r="E929" s="1" t="s">
        <v>488</v>
      </c>
      <c r="F929" s="5">
        <v>44496</v>
      </c>
      <c r="G929" s="1" t="s">
        <v>1397</v>
      </c>
      <c r="H929" s="6">
        <v>300</v>
      </c>
      <c r="I929" s="1" t="s">
        <v>1391</v>
      </c>
      <c r="J929" s="1" t="s">
        <v>1405</v>
      </c>
      <c r="K929" s="7">
        <v>44496.389838166404</v>
      </c>
      <c r="L929" s="6">
        <v>300</v>
      </c>
    </row>
    <row r="930" spans="1:12" hidden="1" x14ac:dyDescent="0.25">
      <c r="A930" s="4">
        <v>142</v>
      </c>
      <c r="B930" s="2" t="str">
        <f>HYPERLINK("https://my.zakupki.prom.ua/remote/dispatcher/state_purchase_view/27275373", "UA-2021-06-08-006651-b")</f>
        <v>UA-2021-06-08-006651-b</v>
      </c>
      <c r="C930" s="1" t="s">
        <v>740</v>
      </c>
      <c r="D930" s="1" t="s">
        <v>78</v>
      </c>
      <c r="E930" s="1" t="s">
        <v>488</v>
      </c>
      <c r="F930" s="5">
        <v>44355</v>
      </c>
      <c r="G930" s="1" t="s">
        <v>1397</v>
      </c>
      <c r="H930" s="6">
        <v>134970</v>
      </c>
      <c r="I930" s="1" t="s">
        <v>1352</v>
      </c>
      <c r="J930" s="1" t="s">
        <v>1405</v>
      </c>
      <c r="K930" s="7">
        <v>44355.583759481218</v>
      </c>
      <c r="L930" s="6">
        <v>134790</v>
      </c>
    </row>
    <row r="931" spans="1:12" hidden="1" x14ac:dyDescent="0.25">
      <c r="A931" s="4">
        <v>143</v>
      </c>
      <c r="B931" s="2" t="str">
        <f>HYPERLINK("https://my.zakupki.prom.ua/remote/dispatcher/state_purchase_view/27259252", "UA-2021-06-08-002225-b")</f>
        <v>UA-2021-06-08-002225-b</v>
      </c>
      <c r="C931" s="1" t="s">
        <v>416</v>
      </c>
      <c r="D931" s="1" t="s">
        <v>39</v>
      </c>
      <c r="E931" s="1" t="s">
        <v>488</v>
      </c>
      <c r="F931" s="5">
        <v>44355</v>
      </c>
      <c r="G931" s="1" t="s">
        <v>1397</v>
      </c>
      <c r="H931" s="6">
        <v>2460</v>
      </c>
      <c r="I931" s="1" t="s">
        <v>711</v>
      </c>
      <c r="J931" s="1" t="s">
        <v>1405</v>
      </c>
      <c r="K931" s="7">
        <v>44355.43293823344</v>
      </c>
      <c r="L931" s="6">
        <v>2460</v>
      </c>
    </row>
    <row r="932" spans="1:12" x14ac:dyDescent="0.25">
      <c r="A932" s="4">
        <v>144</v>
      </c>
      <c r="B932" s="2" t="str">
        <f>HYPERLINK("https://my.zakupki.prom.ua/remote/dispatcher/state_purchase_view/25219676", "UA-2021-03-25-001693-b")</f>
        <v>UA-2021-03-25-001693-b</v>
      </c>
      <c r="C932" s="1" t="s">
        <v>1050</v>
      </c>
      <c r="D932" s="1" t="s">
        <v>31</v>
      </c>
      <c r="E932" s="1" t="s">
        <v>390</v>
      </c>
      <c r="F932" s="5">
        <v>44280</v>
      </c>
      <c r="G932" s="7">
        <v>44298.638541666667</v>
      </c>
      <c r="H932" s="6">
        <v>245000</v>
      </c>
      <c r="I932" s="1" t="s">
        <v>1314</v>
      </c>
      <c r="J932" s="1" t="s">
        <v>1405</v>
      </c>
      <c r="K932" s="7">
        <v>44312.401826541827</v>
      </c>
      <c r="L932" s="6">
        <v>238680</v>
      </c>
    </row>
    <row r="933" spans="1:12" hidden="1" x14ac:dyDescent="0.25">
      <c r="A933" s="4">
        <v>145</v>
      </c>
      <c r="B933" s="2" t="str">
        <f>HYPERLINK("https://my.zakupki.prom.ua/remote/dispatcher/state_purchase_view/26946873", "UA-2021-05-27-006167-b")</f>
        <v>UA-2021-05-27-006167-b</v>
      </c>
      <c r="C933" s="1" t="s">
        <v>413</v>
      </c>
      <c r="D933" s="1" t="s">
        <v>94</v>
      </c>
      <c r="E933" s="1" t="s">
        <v>470</v>
      </c>
      <c r="F933" s="5">
        <v>44343</v>
      </c>
      <c r="G933" s="1" t="s">
        <v>1398</v>
      </c>
      <c r="H933" s="6">
        <v>4150</v>
      </c>
      <c r="I933" s="1" t="s">
        <v>1330</v>
      </c>
      <c r="J933" s="1" t="s">
        <v>1405</v>
      </c>
      <c r="K933" s="7">
        <v>44357.422799529944</v>
      </c>
      <c r="L933" s="6">
        <v>4150</v>
      </c>
    </row>
    <row r="934" spans="1:12" hidden="1" x14ac:dyDescent="0.25">
      <c r="A934" s="4">
        <v>146</v>
      </c>
      <c r="B934" s="2" t="str">
        <f>HYPERLINK("https://my.zakupki.prom.ua/remote/dispatcher/state_purchase_view/26039489", "UA-2021-04-22-000920-c")</f>
        <v>UA-2021-04-22-000920-c</v>
      </c>
      <c r="C934" s="1" t="s">
        <v>566</v>
      </c>
      <c r="D934" s="1" t="s">
        <v>220</v>
      </c>
      <c r="E934" s="1" t="s">
        <v>488</v>
      </c>
      <c r="F934" s="5">
        <v>44308</v>
      </c>
      <c r="G934" s="1" t="s">
        <v>1397</v>
      </c>
      <c r="H934" s="6">
        <v>749881.88</v>
      </c>
      <c r="I934" s="1" t="s">
        <v>1232</v>
      </c>
      <c r="J934" s="1" t="s">
        <v>1405</v>
      </c>
      <c r="K934" s="7">
        <v>44308.404924133647</v>
      </c>
      <c r="L934" s="6">
        <v>749881.88</v>
      </c>
    </row>
    <row r="935" spans="1:12" hidden="1" x14ac:dyDescent="0.25">
      <c r="A935" s="4">
        <v>147</v>
      </c>
      <c r="B935" s="2" t="str">
        <f>HYPERLINK("https://my.zakupki.prom.ua/remote/dispatcher/state_purchase_view/26239185", "UA-2021-04-28-004735-c")</f>
        <v>UA-2021-04-28-004735-c</v>
      </c>
      <c r="C935" s="1" t="s">
        <v>853</v>
      </c>
      <c r="D935" s="1" t="s">
        <v>202</v>
      </c>
      <c r="E935" s="1" t="s">
        <v>488</v>
      </c>
      <c r="F935" s="5">
        <v>44314</v>
      </c>
      <c r="G935" s="1" t="s">
        <v>1397</v>
      </c>
      <c r="H935" s="6">
        <v>2650</v>
      </c>
      <c r="I935" s="1" t="s">
        <v>1238</v>
      </c>
      <c r="J935" s="1" t="s">
        <v>1405</v>
      </c>
      <c r="K935" s="7">
        <v>44314.700885126018</v>
      </c>
      <c r="L935" s="6">
        <v>2650</v>
      </c>
    </row>
    <row r="936" spans="1:12" hidden="1" x14ac:dyDescent="0.25">
      <c r="A936" s="4">
        <v>148</v>
      </c>
      <c r="B936" s="2" t="str">
        <f>HYPERLINK("https://my.zakupki.prom.ua/remote/dispatcher/state_purchase_view/30366547", "UA-2021-09-30-003620-b")</f>
        <v>UA-2021-09-30-003620-b</v>
      </c>
      <c r="C936" s="1" t="s">
        <v>777</v>
      </c>
      <c r="D936" s="1" t="s">
        <v>263</v>
      </c>
      <c r="E936" s="1" t="s">
        <v>1086</v>
      </c>
      <c r="F936" s="5">
        <v>44469</v>
      </c>
      <c r="G936" s="1" t="s">
        <v>1398</v>
      </c>
      <c r="H936" s="6">
        <v>85935</v>
      </c>
      <c r="I936" s="1"/>
      <c r="J936" s="1" t="s">
        <v>1419</v>
      </c>
      <c r="K936" s="7">
        <v>44476.610818504065</v>
      </c>
      <c r="L936" s="1"/>
    </row>
    <row r="937" spans="1:12" hidden="1" x14ac:dyDescent="0.25">
      <c r="A937" s="4">
        <v>149</v>
      </c>
      <c r="B937" s="2" t="str">
        <f>HYPERLINK("https://my.zakupki.prom.ua/remote/dispatcher/state_purchase_view/27911132", "UA-2021-07-02-004760-c")</f>
        <v>UA-2021-07-02-004760-c</v>
      </c>
      <c r="C937" s="1" t="s">
        <v>1078</v>
      </c>
      <c r="D937" s="1" t="s">
        <v>57</v>
      </c>
      <c r="E937" s="1" t="s">
        <v>1086</v>
      </c>
      <c r="F937" s="5">
        <v>44379</v>
      </c>
      <c r="G937" s="1" t="s">
        <v>1398</v>
      </c>
      <c r="H937" s="6">
        <v>86116</v>
      </c>
      <c r="I937" s="1" t="s">
        <v>1213</v>
      </c>
      <c r="J937" s="1" t="s">
        <v>1405</v>
      </c>
      <c r="K937" s="7">
        <v>44397.445007654685</v>
      </c>
      <c r="L937" s="6">
        <v>27690</v>
      </c>
    </row>
    <row r="938" spans="1:12" hidden="1" x14ac:dyDescent="0.25">
      <c r="A938" s="4">
        <v>150</v>
      </c>
      <c r="B938" s="2" t="str">
        <f>HYPERLINK("https://my.zakupki.prom.ua/remote/dispatcher/state_purchase_view/28608404", "UA-2021-07-29-005515-b")</f>
        <v>UA-2021-07-29-005515-b</v>
      </c>
      <c r="C938" s="1" t="s">
        <v>407</v>
      </c>
      <c r="D938" s="1" t="s">
        <v>178</v>
      </c>
      <c r="E938" s="1" t="s">
        <v>470</v>
      </c>
      <c r="F938" s="5">
        <v>44406</v>
      </c>
      <c r="G938" s="1" t="s">
        <v>1398</v>
      </c>
      <c r="H938" s="6">
        <v>7400</v>
      </c>
      <c r="I938" s="1"/>
      <c r="J938" s="1" t="s">
        <v>1406</v>
      </c>
      <c r="K938" s="7">
        <v>44417.001943632502</v>
      </c>
      <c r="L938" s="1"/>
    </row>
    <row r="939" spans="1:12" hidden="1" x14ac:dyDescent="0.25">
      <c r="A939" s="4">
        <v>151</v>
      </c>
      <c r="B939" s="2" t="str">
        <f>HYPERLINK("https://my.zakupki.prom.ua/remote/dispatcher/state_purchase_view/30705871", "UA-2021-10-12-003954-b")</f>
        <v>UA-2021-10-12-003954-b</v>
      </c>
      <c r="C939" s="1" t="s">
        <v>1384</v>
      </c>
      <c r="D939" s="1" t="s">
        <v>109</v>
      </c>
      <c r="E939" s="1" t="s">
        <v>1086</v>
      </c>
      <c r="F939" s="5">
        <v>44481</v>
      </c>
      <c r="G939" s="1" t="s">
        <v>1398</v>
      </c>
      <c r="H939" s="6">
        <v>56288</v>
      </c>
      <c r="I939" s="1"/>
      <c r="J939" s="1" t="s">
        <v>1406</v>
      </c>
      <c r="K939" s="7">
        <v>44498.003479485764</v>
      </c>
      <c r="L939" s="1"/>
    </row>
    <row r="940" spans="1:12" x14ac:dyDescent="0.25">
      <c r="A940" s="4">
        <v>152</v>
      </c>
      <c r="B940" s="2" t="str">
        <f>HYPERLINK("https://my.zakupki.prom.ua/remote/dispatcher/state_purchase_view/28144164", "UA-2021-07-12-002979-c")</f>
        <v>UA-2021-07-12-002979-c</v>
      </c>
      <c r="C940" s="1" t="s">
        <v>788</v>
      </c>
      <c r="D940" s="1" t="s">
        <v>235</v>
      </c>
      <c r="E940" s="1" t="s">
        <v>390</v>
      </c>
      <c r="F940" s="5">
        <v>44389</v>
      </c>
      <c r="G940" s="7">
        <v>44406.577233796299</v>
      </c>
      <c r="H940" s="6">
        <v>884000</v>
      </c>
      <c r="I940" s="1" t="s">
        <v>1118</v>
      </c>
      <c r="J940" s="1" t="s">
        <v>1405</v>
      </c>
      <c r="K940" s="7">
        <v>44421.466731445813</v>
      </c>
      <c r="L940" s="6">
        <v>858097.65</v>
      </c>
    </row>
    <row r="941" spans="1:12" hidden="1" x14ac:dyDescent="0.25">
      <c r="A941" s="4">
        <v>153</v>
      </c>
      <c r="B941" s="2" t="str">
        <f>HYPERLINK("https://my.zakupki.prom.ua/remote/dispatcher/state_purchase_view/31621983", "UA-2021-11-10-007464-a")</f>
        <v>UA-2021-11-10-007464-a</v>
      </c>
      <c r="C941" s="1" t="s">
        <v>1004</v>
      </c>
      <c r="D941" s="1" t="s">
        <v>226</v>
      </c>
      <c r="E941" s="1" t="s">
        <v>1086</v>
      </c>
      <c r="F941" s="5">
        <v>44510</v>
      </c>
      <c r="G941" s="1" t="s">
        <v>1398</v>
      </c>
      <c r="H941" s="6">
        <v>1490000</v>
      </c>
      <c r="I941" s="1" t="s">
        <v>1332</v>
      </c>
      <c r="J941" s="1" t="s">
        <v>1405</v>
      </c>
      <c r="K941" s="7">
        <v>44537.733873370198</v>
      </c>
      <c r="L941" s="6">
        <v>1473575.99</v>
      </c>
    </row>
    <row r="942" spans="1:12" hidden="1" x14ac:dyDescent="0.25">
      <c r="A942" s="4">
        <v>154</v>
      </c>
      <c r="B942" s="2" t="str">
        <f>HYPERLINK("https://my.zakupki.prom.ua/remote/dispatcher/state_purchase_view/23113220", "UA-2021-01-21-001687-b")</f>
        <v>UA-2021-01-21-001687-b</v>
      </c>
      <c r="C942" s="1" t="s">
        <v>683</v>
      </c>
      <c r="D942" s="1" t="s">
        <v>217</v>
      </c>
      <c r="E942" s="1" t="s">
        <v>488</v>
      </c>
      <c r="F942" s="5">
        <v>44217</v>
      </c>
      <c r="G942" s="1" t="s">
        <v>1397</v>
      </c>
      <c r="H942" s="6">
        <v>108000</v>
      </c>
      <c r="I942" s="1" t="s">
        <v>599</v>
      </c>
      <c r="J942" s="1" t="s">
        <v>1405</v>
      </c>
      <c r="K942" s="7">
        <v>44217.435309198336</v>
      </c>
      <c r="L942" s="6">
        <v>108000</v>
      </c>
    </row>
    <row r="943" spans="1:12" hidden="1" x14ac:dyDescent="0.25">
      <c r="A943" s="4">
        <v>155</v>
      </c>
      <c r="B943" s="2" t="str">
        <f>HYPERLINK("https://my.zakupki.prom.ua/remote/dispatcher/state_purchase_view/33952319", "UA-2022-01-05-004827-c")</f>
        <v>UA-2022-01-05-004827-c</v>
      </c>
      <c r="C943" s="1" t="s">
        <v>888</v>
      </c>
      <c r="D943" s="1" t="s">
        <v>205</v>
      </c>
      <c r="E943" s="1" t="s">
        <v>488</v>
      </c>
      <c r="F943" s="5">
        <v>44566</v>
      </c>
      <c r="G943" s="1" t="s">
        <v>1397</v>
      </c>
      <c r="H943" s="6">
        <v>48945</v>
      </c>
      <c r="I943" s="1" t="s">
        <v>447</v>
      </c>
      <c r="J943" s="1" t="s">
        <v>1405</v>
      </c>
      <c r="K943" s="7">
        <v>44566.692164114967</v>
      </c>
      <c r="L943" s="6">
        <v>48945</v>
      </c>
    </row>
    <row r="944" spans="1:12" hidden="1" x14ac:dyDescent="0.25">
      <c r="A944" s="4">
        <v>156</v>
      </c>
      <c r="B944" s="2" t="str">
        <f>HYPERLINK("https://my.zakupki.prom.ua/remote/dispatcher/state_purchase_view/12549047", "UA-2019-08-15-000958-a")</f>
        <v>UA-2019-08-15-000958-a</v>
      </c>
      <c r="C944" s="1" t="s">
        <v>675</v>
      </c>
      <c r="D944" s="1" t="s">
        <v>111</v>
      </c>
      <c r="E944" s="1" t="s">
        <v>390</v>
      </c>
      <c r="F944" s="5">
        <v>43692</v>
      </c>
      <c r="G944" s="7">
        <v>43710.488043981481</v>
      </c>
      <c r="H944" s="6">
        <v>115000</v>
      </c>
      <c r="I944" s="1" t="s">
        <v>1313</v>
      </c>
      <c r="J944" s="1" t="s">
        <v>1405</v>
      </c>
      <c r="K944" s="7">
        <v>43721.399963257143</v>
      </c>
      <c r="L944" s="6">
        <v>113240</v>
      </c>
    </row>
    <row r="945" spans="1:12" hidden="1" x14ac:dyDescent="0.25">
      <c r="A945" s="4">
        <v>157</v>
      </c>
      <c r="B945" s="2" t="str">
        <f>HYPERLINK("https://my.zakupki.prom.ua/remote/dispatcher/state_purchase_view/11169332", "UA-2019-04-03-001532-a")</f>
        <v>UA-2019-04-03-001532-a</v>
      </c>
      <c r="C945" s="1" t="s">
        <v>529</v>
      </c>
      <c r="D945" s="1" t="s">
        <v>90</v>
      </c>
      <c r="E945" s="1" t="s">
        <v>470</v>
      </c>
      <c r="F945" s="5">
        <v>43558</v>
      </c>
      <c r="G945" s="7">
        <v>43567.664699074077</v>
      </c>
      <c r="H945" s="6">
        <v>23468</v>
      </c>
      <c r="I945" s="1" t="s">
        <v>1322</v>
      </c>
      <c r="J945" s="1" t="s">
        <v>1405</v>
      </c>
      <c r="K945" s="7">
        <v>43573.740360238553</v>
      </c>
      <c r="L945" s="6">
        <v>23468</v>
      </c>
    </row>
    <row r="946" spans="1:12" hidden="1" x14ac:dyDescent="0.25">
      <c r="A946" s="4">
        <v>158</v>
      </c>
      <c r="B946" s="2" t="str">
        <f>HYPERLINK("https://my.zakupki.prom.ua/remote/dispatcher/state_purchase_view/11127974", "UA-2019-04-01-000086-b")</f>
        <v>UA-2019-04-01-000086-b</v>
      </c>
      <c r="C946" s="1" t="s">
        <v>902</v>
      </c>
      <c r="D946" s="1" t="s">
        <v>221</v>
      </c>
      <c r="E946" s="1" t="s">
        <v>470</v>
      </c>
      <c r="F946" s="5">
        <v>43556</v>
      </c>
      <c r="G946" s="7">
        <v>43566.632534722223</v>
      </c>
      <c r="H946" s="6">
        <v>25000</v>
      </c>
      <c r="I946" s="1" t="s">
        <v>1199</v>
      </c>
      <c r="J946" s="1" t="s">
        <v>1405</v>
      </c>
      <c r="K946" s="7">
        <v>43572.392389317836</v>
      </c>
      <c r="L946" s="6">
        <v>19000</v>
      </c>
    </row>
    <row r="947" spans="1:12" hidden="1" x14ac:dyDescent="0.25">
      <c r="A947" s="4">
        <v>159</v>
      </c>
      <c r="B947" s="2" t="str">
        <f>HYPERLINK("https://my.zakupki.prom.ua/remote/dispatcher/state_purchase_view/12255106", "UA-2019-07-17-000456-b")</f>
        <v>UA-2019-07-17-000456-b</v>
      </c>
      <c r="C947" s="1" t="s">
        <v>794</v>
      </c>
      <c r="D947" s="1" t="s">
        <v>255</v>
      </c>
      <c r="E947" s="1" t="s">
        <v>390</v>
      </c>
      <c r="F947" s="5">
        <v>43663</v>
      </c>
      <c r="G947" s="7">
        <v>43679.527048611111</v>
      </c>
      <c r="H947" s="6">
        <v>78000</v>
      </c>
      <c r="I947" s="1" t="s">
        <v>1135</v>
      </c>
      <c r="J947" s="1" t="s">
        <v>1405</v>
      </c>
      <c r="K947" s="7">
        <v>43696.485652955751</v>
      </c>
      <c r="L947" s="6">
        <v>77751</v>
      </c>
    </row>
    <row r="948" spans="1:12" hidden="1" x14ac:dyDescent="0.25">
      <c r="A948" s="4">
        <v>160</v>
      </c>
      <c r="B948" s="2" t="str">
        <f>HYPERLINK("https://my.zakupki.prom.ua/remote/dispatcher/state_purchase_view/13042758", "UA-2019-10-02-000503-b")</f>
        <v>UA-2019-10-02-000503-b</v>
      </c>
      <c r="C948" s="1" t="s">
        <v>1076</v>
      </c>
      <c r="D948" s="1" t="s">
        <v>107</v>
      </c>
      <c r="E948" s="1" t="s">
        <v>470</v>
      </c>
      <c r="F948" s="5">
        <v>43740</v>
      </c>
      <c r="G948" s="7">
        <v>43748.50990740741</v>
      </c>
      <c r="H948" s="6">
        <v>59500</v>
      </c>
      <c r="I948" s="1" t="s">
        <v>1133</v>
      </c>
      <c r="J948" s="1" t="s">
        <v>1405</v>
      </c>
      <c r="K948" s="7">
        <v>43759.690676281956</v>
      </c>
      <c r="L948" s="6">
        <v>49920</v>
      </c>
    </row>
    <row r="949" spans="1:12" hidden="1" x14ac:dyDescent="0.25">
      <c r="A949" s="4">
        <v>161</v>
      </c>
      <c r="B949" s="2" t="str">
        <f>HYPERLINK("https://my.zakupki.prom.ua/remote/dispatcher/state_purchase_view/15093344", "UA-2020-02-05-000975-b")</f>
        <v>UA-2020-02-05-000975-b</v>
      </c>
      <c r="C949" s="1" t="s">
        <v>762</v>
      </c>
      <c r="D949" s="1" t="s">
        <v>233</v>
      </c>
      <c r="E949" s="1" t="s">
        <v>390</v>
      </c>
      <c r="F949" s="5">
        <v>43866</v>
      </c>
      <c r="G949" s="7">
        <v>43882.568888888891</v>
      </c>
      <c r="H949" s="6">
        <v>260000</v>
      </c>
      <c r="I949" s="1" t="s">
        <v>1118</v>
      </c>
      <c r="J949" s="1" t="s">
        <v>1405</v>
      </c>
      <c r="K949" s="7">
        <v>43900.422559623927</v>
      </c>
      <c r="L949" s="6">
        <v>258440.49</v>
      </c>
    </row>
    <row r="950" spans="1:12" hidden="1" x14ac:dyDescent="0.25">
      <c r="A950" s="4">
        <v>162</v>
      </c>
      <c r="B950" s="2" t="str">
        <f>HYPERLINK("https://my.zakupki.prom.ua/remote/dispatcher/state_purchase_view/15927911", "UA-2020-03-24-001471-b")</f>
        <v>UA-2020-03-24-001471-b</v>
      </c>
      <c r="C950" s="1" t="s">
        <v>618</v>
      </c>
      <c r="D950" s="1" t="s">
        <v>166</v>
      </c>
      <c r="E950" s="1" t="s">
        <v>390</v>
      </c>
      <c r="F950" s="5">
        <v>43914</v>
      </c>
      <c r="G950" s="1" t="s">
        <v>1398</v>
      </c>
      <c r="H950" s="6">
        <v>220000</v>
      </c>
      <c r="I950" s="1"/>
      <c r="J950" s="1" t="s">
        <v>1406</v>
      </c>
      <c r="K950" s="7">
        <v>43929.553311764117</v>
      </c>
      <c r="L950" s="1"/>
    </row>
    <row r="951" spans="1:12" hidden="1" x14ac:dyDescent="0.25">
      <c r="A951" s="4">
        <v>163</v>
      </c>
      <c r="B951" s="2" t="str">
        <f>HYPERLINK("https://my.zakupki.prom.ua/remote/dispatcher/state_purchase_view/20210835", "UA-2020-10-19-004633-c")</f>
        <v>UA-2020-10-19-004633-c</v>
      </c>
      <c r="C951" s="1" t="s">
        <v>1018</v>
      </c>
      <c r="D951" s="1" t="s">
        <v>191</v>
      </c>
      <c r="E951" s="1" t="s">
        <v>488</v>
      </c>
      <c r="F951" s="5">
        <v>44123</v>
      </c>
      <c r="G951" s="1" t="s">
        <v>1397</v>
      </c>
      <c r="H951" s="6">
        <v>6933.75</v>
      </c>
      <c r="I951" s="1" t="s">
        <v>703</v>
      </c>
      <c r="J951" s="1" t="s">
        <v>1405</v>
      </c>
      <c r="K951" s="7">
        <v>44123.515565269146</v>
      </c>
      <c r="L951" s="6">
        <v>6933.75</v>
      </c>
    </row>
    <row r="952" spans="1:12" hidden="1" x14ac:dyDescent="0.25">
      <c r="A952" s="4">
        <v>164</v>
      </c>
      <c r="B952" s="2" t="str">
        <f>HYPERLINK("https://my.zakupki.prom.ua/remote/dispatcher/state_purchase_view/17598848", "UA-2020-07-02-001588-a")</f>
        <v>UA-2020-07-02-001588-a</v>
      </c>
      <c r="C952" s="1" t="s">
        <v>959</v>
      </c>
      <c r="D952" s="1" t="s">
        <v>196</v>
      </c>
      <c r="E952" s="1" t="s">
        <v>470</v>
      </c>
      <c r="F952" s="5">
        <v>44014</v>
      </c>
      <c r="G952" s="1" t="s">
        <v>1398</v>
      </c>
      <c r="H952" s="6">
        <v>16575</v>
      </c>
      <c r="I952" s="1" t="s">
        <v>1340</v>
      </c>
      <c r="J952" s="1" t="s">
        <v>1405</v>
      </c>
      <c r="K952" s="7">
        <v>44028.367275181852</v>
      </c>
      <c r="L952" s="6">
        <v>16575</v>
      </c>
    </row>
    <row r="953" spans="1:12" hidden="1" x14ac:dyDescent="0.25">
      <c r="A953" s="4">
        <v>165</v>
      </c>
      <c r="B953" s="2" t="str">
        <f>HYPERLINK("https://my.zakupki.prom.ua/remote/dispatcher/state_purchase_view/20460619", "UA-2020-10-26-003185-a")</f>
        <v>UA-2020-10-26-003185-a</v>
      </c>
      <c r="C953" s="1" t="s">
        <v>849</v>
      </c>
      <c r="D953" s="1" t="s">
        <v>255</v>
      </c>
      <c r="E953" s="1" t="s">
        <v>488</v>
      </c>
      <c r="F953" s="5">
        <v>44130</v>
      </c>
      <c r="G953" s="1" t="s">
        <v>1397</v>
      </c>
      <c r="H953" s="6">
        <v>29924.65</v>
      </c>
      <c r="I953" s="1" t="s">
        <v>1203</v>
      </c>
      <c r="J953" s="1" t="s">
        <v>1405</v>
      </c>
      <c r="K953" s="7">
        <v>44130.493258577335</v>
      </c>
      <c r="L953" s="6">
        <v>29924.65</v>
      </c>
    </row>
    <row r="954" spans="1:12" hidden="1" x14ac:dyDescent="0.25">
      <c r="A954" s="4">
        <v>166</v>
      </c>
      <c r="B954" s="2" t="str">
        <f>HYPERLINK("https://my.zakupki.prom.ua/remote/dispatcher/state_purchase_view/19474832", "UA-2020-09-22-003774-b")</f>
        <v>UA-2020-09-22-003774-b</v>
      </c>
      <c r="C954" s="1" t="s">
        <v>1276</v>
      </c>
      <c r="D954" s="1" t="s">
        <v>111</v>
      </c>
      <c r="E954" s="1" t="s">
        <v>1086</v>
      </c>
      <c r="F954" s="5">
        <v>44096</v>
      </c>
      <c r="G954" s="1" t="s">
        <v>1398</v>
      </c>
      <c r="H954" s="6">
        <v>64600</v>
      </c>
      <c r="I954" s="1" t="s">
        <v>1151</v>
      </c>
      <c r="J954" s="1" t="s">
        <v>1405</v>
      </c>
      <c r="K954" s="7">
        <v>44116.524465936658</v>
      </c>
      <c r="L954" s="6">
        <v>64600</v>
      </c>
    </row>
    <row r="955" spans="1:12" hidden="1" x14ac:dyDescent="0.25">
      <c r="A955" s="4">
        <v>167</v>
      </c>
      <c r="B955" s="2" t="str">
        <f>HYPERLINK("https://my.zakupki.prom.ua/remote/dispatcher/state_purchase_view/20967233", "UA-2020-11-11-005087-a")</f>
        <v>UA-2020-11-11-005087-a</v>
      </c>
      <c r="C955" s="1" t="s">
        <v>498</v>
      </c>
      <c r="D955" s="1" t="s">
        <v>104</v>
      </c>
      <c r="E955" s="1" t="s">
        <v>488</v>
      </c>
      <c r="F955" s="5">
        <v>44146</v>
      </c>
      <c r="G955" s="1" t="s">
        <v>1397</v>
      </c>
      <c r="H955" s="6">
        <v>1000</v>
      </c>
      <c r="I955" s="1" t="s">
        <v>1227</v>
      </c>
      <c r="J955" s="1" t="s">
        <v>1405</v>
      </c>
      <c r="K955" s="7">
        <v>44146.552840757293</v>
      </c>
      <c r="L955" s="6">
        <v>1000</v>
      </c>
    </row>
    <row r="956" spans="1:12" hidden="1" x14ac:dyDescent="0.25">
      <c r="A956" s="4">
        <v>168</v>
      </c>
      <c r="B956" s="2" t="str">
        <f>HYPERLINK("https://my.zakupki.prom.ua/remote/dispatcher/state_purchase_view/23434973", "UA-2021-01-29-005874-b")</f>
        <v>UA-2021-01-29-005874-b</v>
      </c>
      <c r="C956" s="1" t="s">
        <v>603</v>
      </c>
      <c r="D956" s="1" t="s">
        <v>100</v>
      </c>
      <c r="E956" s="1" t="s">
        <v>488</v>
      </c>
      <c r="F956" s="5">
        <v>44225</v>
      </c>
      <c r="G956" s="1" t="s">
        <v>1397</v>
      </c>
      <c r="H956" s="6">
        <v>42900</v>
      </c>
      <c r="I956" s="1" t="s">
        <v>515</v>
      </c>
      <c r="J956" s="1" t="s">
        <v>1405</v>
      </c>
      <c r="K956" s="7">
        <v>44225.574089419628</v>
      </c>
      <c r="L956" s="6">
        <v>42900</v>
      </c>
    </row>
    <row r="957" spans="1:12" hidden="1" x14ac:dyDescent="0.25">
      <c r="A957" s="4">
        <v>169</v>
      </c>
      <c r="B957" s="2" t="str">
        <f>HYPERLINK("https://my.zakupki.prom.ua/remote/dispatcher/state_purchase_view/21671249", "UA-2020-12-02-010529-b")</f>
        <v>UA-2020-12-02-010529-b</v>
      </c>
      <c r="C957" s="1" t="s">
        <v>849</v>
      </c>
      <c r="D957" s="1" t="s">
        <v>255</v>
      </c>
      <c r="E957" s="1" t="s">
        <v>390</v>
      </c>
      <c r="F957" s="5">
        <v>44167</v>
      </c>
      <c r="G957" s="1" t="s">
        <v>1398</v>
      </c>
      <c r="H957" s="6">
        <v>276540</v>
      </c>
      <c r="I957" s="1"/>
      <c r="J957" s="1" t="s">
        <v>1406</v>
      </c>
      <c r="K957" s="7">
        <v>44183.675225061343</v>
      </c>
      <c r="L957" s="1"/>
    </row>
    <row r="958" spans="1:12" hidden="1" x14ac:dyDescent="0.25">
      <c r="A958" s="4">
        <v>170</v>
      </c>
      <c r="B958" s="2" t="str">
        <f>HYPERLINK("https://my.zakupki.prom.ua/remote/dispatcher/state_purchase_view/22706833", "UA-2020-12-28-003848-c")</f>
        <v>UA-2020-12-28-003848-c</v>
      </c>
      <c r="C958" s="1" t="s">
        <v>1065</v>
      </c>
      <c r="D958" s="1" t="s">
        <v>90</v>
      </c>
      <c r="E958" s="1" t="s">
        <v>390</v>
      </c>
      <c r="F958" s="5">
        <v>44193</v>
      </c>
      <c r="G958" s="1" t="s">
        <v>1398</v>
      </c>
      <c r="H958" s="6">
        <v>400000</v>
      </c>
      <c r="I958" s="1"/>
      <c r="J958" s="1" t="s">
        <v>1406</v>
      </c>
      <c r="K958" s="7">
        <v>44209.458876841447</v>
      </c>
      <c r="L958" s="1"/>
    </row>
    <row r="959" spans="1:12" hidden="1" x14ac:dyDescent="0.25">
      <c r="A959" s="4">
        <v>171</v>
      </c>
      <c r="B959" s="2" t="str">
        <f>HYPERLINK("https://my.zakupki.prom.ua/remote/dispatcher/state_purchase_view/24289303", "UA-2021-02-23-003002-b")</f>
        <v>UA-2021-02-23-003002-b</v>
      </c>
      <c r="C959" s="1" t="s">
        <v>620</v>
      </c>
      <c r="D959" s="1" t="s">
        <v>131</v>
      </c>
      <c r="E959" s="1" t="s">
        <v>470</v>
      </c>
      <c r="F959" s="5">
        <v>44250</v>
      </c>
      <c r="G959" s="1" t="s">
        <v>1398</v>
      </c>
      <c r="H959" s="6">
        <v>35814</v>
      </c>
      <c r="I959" s="1" t="s">
        <v>1329</v>
      </c>
      <c r="J959" s="1" t="s">
        <v>1405</v>
      </c>
      <c r="K959" s="7">
        <v>44265.408128661307</v>
      </c>
      <c r="L959" s="6">
        <v>35814</v>
      </c>
    </row>
    <row r="960" spans="1:12" hidden="1" x14ac:dyDescent="0.25">
      <c r="A960" s="4">
        <v>172</v>
      </c>
      <c r="B960" s="2" t="str">
        <f>HYPERLINK("https://my.zakupki.prom.ua/remote/dispatcher/state_purchase_view/24522787", "UA-2021-03-02-004249-b")</f>
        <v>UA-2021-03-02-004249-b</v>
      </c>
      <c r="C960" s="1" t="s">
        <v>850</v>
      </c>
      <c r="D960" s="1" t="s">
        <v>235</v>
      </c>
      <c r="E960" s="1" t="s">
        <v>390</v>
      </c>
      <c r="F960" s="5">
        <v>44257</v>
      </c>
      <c r="G960" s="1" t="s">
        <v>1398</v>
      </c>
      <c r="H960" s="6">
        <v>1504230</v>
      </c>
      <c r="I960" s="1"/>
      <c r="J960" s="1" t="s">
        <v>1419</v>
      </c>
      <c r="K960" s="7">
        <v>44290.041809819457</v>
      </c>
      <c r="L960" s="1"/>
    </row>
    <row r="961" spans="1:12" hidden="1" x14ac:dyDescent="0.25">
      <c r="A961" s="4">
        <v>173</v>
      </c>
      <c r="B961" s="2" t="str">
        <f>HYPERLINK("https://my.zakupki.prom.ua/remote/dispatcher/state_purchase_view/24689725", "UA-2021-03-09-002643-c")</f>
        <v>UA-2021-03-09-002643-c</v>
      </c>
      <c r="C961" s="1" t="s">
        <v>415</v>
      </c>
      <c r="D961" s="1" t="s">
        <v>54</v>
      </c>
      <c r="E961" s="1" t="s">
        <v>488</v>
      </c>
      <c r="F961" s="5">
        <v>44264</v>
      </c>
      <c r="G961" s="1" t="s">
        <v>1397</v>
      </c>
      <c r="H961" s="6">
        <v>2552.5500000000002</v>
      </c>
      <c r="I961" s="1" t="s">
        <v>692</v>
      </c>
      <c r="J961" s="1" t="s">
        <v>1405</v>
      </c>
      <c r="K961" s="7">
        <v>44264.447763488344</v>
      </c>
      <c r="L961" s="6">
        <v>2552.5500000000002</v>
      </c>
    </row>
    <row r="962" spans="1:12" hidden="1" x14ac:dyDescent="0.25">
      <c r="A962" s="4">
        <v>174</v>
      </c>
      <c r="B962" s="2" t="str">
        <f>HYPERLINK("https://my.zakupki.prom.ua/remote/dispatcher/state_purchase_view/26402708", "UA-2021-05-11-000823-a")</f>
        <v>UA-2021-05-11-000823-a</v>
      </c>
      <c r="C962" s="1" t="s">
        <v>304</v>
      </c>
      <c r="D962" s="1" t="s">
        <v>228</v>
      </c>
      <c r="E962" s="1" t="s">
        <v>488</v>
      </c>
      <c r="F962" s="5">
        <v>44327</v>
      </c>
      <c r="G962" s="1" t="s">
        <v>1397</v>
      </c>
      <c r="H962" s="6">
        <v>300</v>
      </c>
      <c r="I962" s="1" t="s">
        <v>1391</v>
      </c>
      <c r="J962" s="1" t="s">
        <v>1405</v>
      </c>
      <c r="K962" s="7">
        <v>44327.597268051308</v>
      </c>
      <c r="L962" s="6">
        <v>300</v>
      </c>
    </row>
    <row r="963" spans="1:12" hidden="1" x14ac:dyDescent="0.25">
      <c r="A963" s="4">
        <v>175</v>
      </c>
      <c r="B963" s="2" t="str">
        <f>HYPERLINK("https://my.zakupki.prom.ua/remote/dispatcher/state_purchase_view/26487977", "UA-2021-05-13-003129-b")</f>
        <v>UA-2021-05-13-003129-b</v>
      </c>
      <c r="C963" s="1" t="s">
        <v>927</v>
      </c>
      <c r="D963" s="1" t="s">
        <v>227</v>
      </c>
      <c r="E963" s="1" t="s">
        <v>488</v>
      </c>
      <c r="F963" s="5">
        <v>44329</v>
      </c>
      <c r="G963" s="1" t="s">
        <v>1397</v>
      </c>
      <c r="H963" s="6">
        <v>900</v>
      </c>
      <c r="I963" s="1" t="s">
        <v>1242</v>
      </c>
      <c r="J963" s="1" t="s">
        <v>1405</v>
      </c>
      <c r="K963" s="7">
        <v>44329.446494485623</v>
      </c>
      <c r="L963" s="6">
        <v>900</v>
      </c>
    </row>
    <row r="964" spans="1:12" hidden="1" x14ac:dyDescent="0.25">
      <c r="A964" s="4">
        <v>176</v>
      </c>
      <c r="B964" s="2" t="str">
        <f>HYPERLINK("https://my.zakupki.prom.ua/remote/dispatcher/state_purchase_view/25403839", "UA-2021-03-31-001592-a")</f>
        <v>UA-2021-03-31-001592-a</v>
      </c>
      <c r="C964" s="1" t="s">
        <v>327</v>
      </c>
      <c r="D964" s="1" t="s">
        <v>73</v>
      </c>
      <c r="E964" s="1" t="s">
        <v>1086</v>
      </c>
      <c r="F964" s="5">
        <v>44286</v>
      </c>
      <c r="G964" s="7">
        <v>44299.463136574072</v>
      </c>
      <c r="H964" s="6">
        <v>94000</v>
      </c>
      <c r="I964" s="1" t="s">
        <v>1354</v>
      </c>
      <c r="J964" s="1" t="s">
        <v>1405</v>
      </c>
      <c r="K964" s="7">
        <v>44308.520667034907</v>
      </c>
      <c r="L964" s="6">
        <v>78200</v>
      </c>
    </row>
    <row r="965" spans="1:12" hidden="1" x14ac:dyDescent="0.25">
      <c r="A965" s="4">
        <v>177</v>
      </c>
      <c r="B965" s="2" t="str">
        <f>HYPERLINK("https://my.zakupki.prom.ua/remote/dispatcher/state_purchase_view/26846043", "UA-2021-05-25-001976-b")</f>
        <v>UA-2021-05-25-001976-b</v>
      </c>
      <c r="C965" s="1" t="s">
        <v>409</v>
      </c>
      <c r="D965" s="1" t="s">
        <v>166</v>
      </c>
      <c r="E965" s="1" t="s">
        <v>470</v>
      </c>
      <c r="F965" s="5">
        <v>44341</v>
      </c>
      <c r="G965" s="1" t="s">
        <v>1398</v>
      </c>
      <c r="H965" s="6">
        <v>16200</v>
      </c>
      <c r="I965" s="1" t="s">
        <v>1330</v>
      </c>
      <c r="J965" s="1" t="s">
        <v>1405</v>
      </c>
      <c r="K965" s="7">
        <v>44355.4175989633</v>
      </c>
      <c r="L965" s="6">
        <v>16200</v>
      </c>
    </row>
    <row r="966" spans="1:12" hidden="1" x14ac:dyDescent="0.25">
      <c r="A966" s="4">
        <v>178</v>
      </c>
      <c r="B966" s="2" t="str">
        <f>HYPERLINK("https://my.zakupki.prom.ua/remote/dispatcher/state_purchase_view/29372399", "UA-2021-08-30-001722-a")</f>
        <v>UA-2021-08-30-001722-a</v>
      </c>
      <c r="C966" s="1" t="s">
        <v>408</v>
      </c>
      <c r="D966" s="1" t="s">
        <v>178</v>
      </c>
      <c r="E966" s="1" t="s">
        <v>470</v>
      </c>
      <c r="F966" s="5">
        <v>44438</v>
      </c>
      <c r="G966" s="7">
        <v>44449.471064814818</v>
      </c>
      <c r="H966" s="6">
        <v>11680</v>
      </c>
      <c r="I966" s="1"/>
      <c r="J966" s="1" t="s">
        <v>1406</v>
      </c>
      <c r="K966" s="7">
        <v>44455.002073611722</v>
      </c>
      <c r="L966" s="1"/>
    </row>
    <row r="967" spans="1:12" hidden="1" x14ac:dyDescent="0.25">
      <c r="A967" s="4">
        <v>179</v>
      </c>
      <c r="B967" s="2" t="str">
        <f>HYPERLINK("https://my.zakupki.prom.ua/remote/dispatcher/state_purchase_view/29286196", "UA-2021-08-26-010329-a")</f>
        <v>UA-2021-08-26-010329-a</v>
      </c>
      <c r="C967" s="1" t="s">
        <v>1252</v>
      </c>
      <c r="D967" s="1" t="s">
        <v>216</v>
      </c>
      <c r="E967" s="1" t="s">
        <v>488</v>
      </c>
      <c r="F967" s="5">
        <v>44434</v>
      </c>
      <c r="G967" s="1" t="s">
        <v>1397</v>
      </c>
      <c r="H967" s="6">
        <v>1792.44</v>
      </c>
      <c r="I967" s="1" t="s">
        <v>703</v>
      </c>
      <c r="J967" s="1" t="s">
        <v>1405</v>
      </c>
      <c r="K967" s="7">
        <v>44434.52863105102</v>
      </c>
      <c r="L967" s="6">
        <v>1792.44</v>
      </c>
    </row>
    <row r="968" spans="1:12" hidden="1" x14ac:dyDescent="0.25">
      <c r="A968" s="4">
        <v>180</v>
      </c>
      <c r="B968" s="2" t="str">
        <f>HYPERLINK("https://my.zakupki.prom.ua/remote/dispatcher/state_purchase_view/30913037", "UA-2021-10-20-007757-b")</f>
        <v>UA-2021-10-20-007757-b</v>
      </c>
      <c r="C968" s="1" t="s">
        <v>324</v>
      </c>
      <c r="D968" s="1" t="s">
        <v>63</v>
      </c>
      <c r="E968" s="1" t="s">
        <v>488</v>
      </c>
      <c r="F968" s="5">
        <v>44489</v>
      </c>
      <c r="G968" s="1" t="s">
        <v>1397</v>
      </c>
      <c r="H968" s="6">
        <v>2921.7</v>
      </c>
      <c r="I968" s="1" t="s">
        <v>1205</v>
      </c>
      <c r="J968" s="1" t="s">
        <v>1405</v>
      </c>
      <c r="K968" s="7">
        <v>44489.600813295379</v>
      </c>
      <c r="L968" s="6">
        <v>2921.7</v>
      </c>
    </row>
    <row r="969" spans="1:12" hidden="1" x14ac:dyDescent="0.25">
      <c r="A969" s="4">
        <v>181</v>
      </c>
      <c r="B969" s="2" t="str">
        <f>HYPERLINK("https://my.zakupki.prom.ua/remote/dispatcher/state_purchase_view/14526532", "UA-2020-01-16-000504-c")</f>
        <v>UA-2020-01-16-000504-c</v>
      </c>
      <c r="C969" s="1" t="s">
        <v>842</v>
      </c>
      <c r="D969" s="1" t="s">
        <v>241</v>
      </c>
      <c r="E969" s="1" t="s">
        <v>391</v>
      </c>
      <c r="F969" s="5">
        <v>43846</v>
      </c>
      <c r="G969" s="7">
        <v>43885.538240740738</v>
      </c>
      <c r="H969" s="6">
        <v>4870430</v>
      </c>
      <c r="I969" s="1" t="s">
        <v>1150</v>
      </c>
      <c r="J969" s="1" t="s">
        <v>1405</v>
      </c>
      <c r="K969" s="7">
        <v>43896.460725977857</v>
      </c>
      <c r="L969" s="6">
        <v>4846074</v>
      </c>
    </row>
    <row r="970" spans="1:12" hidden="1" x14ac:dyDescent="0.25">
      <c r="A970" s="4">
        <v>182</v>
      </c>
      <c r="B970" s="2" t="str">
        <f>HYPERLINK("https://my.zakupki.prom.ua/remote/dispatcher/state_purchase_view/29245688", "UA-2021-08-25-004469-a")</f>
        <v>UA-2021-08-25-004469-a</v>
      </c>
      <c r="C970" s="1" t="s">
        <v>1381</v>
      </c>
      <c r="D970" s="1" t="s">
        <v>132</v>
      </c>
      <c r="E970" s="1" t="s">
        <v>470</v>
      </c>
      <c r="F970" s="5">
        <v>44433</v>
      </c>
      <c r="G970" s="1" t="s">
        <v>1398</v>
      </c>
      <c r="H970" s="6">
        <v>48000</v>
      </c>
      <c r="I970" s="1" t="s">
        <v>1321</v>
      </c>
      <c r="J970" s="1" t="s">
        <v>1405</v>
      </c>
      <c r="K970" s="7">
        <v>44448.386061223078</v>
      </c>
      <c r="L970" s="6">
        <v>45360</v>
      </c>
    </row>
    <row r="971" spans="1:12" hidden="1" x14ac:dyDescent="0.25">
      <c r="A971" s="4">
        <v>183</v>
      </c>
      <c r="B971" s="2" t="str">
        <f>HYPERLINK("https://my.zakupki.prom.ua/remote/dispatcher/state_purchase_view/33034124", "UA-2021-12-14-001818-c")</f>
        <v>UA-2021-12-14-001818-c</v>
      </c>
      <c r="C971" s="1" t="s">
        <v>491</v>
      </c>
      <c r="D971" s="1" t="s">
        <v>47</v>
      </c>
      <c r="E971" s="1" t="s">
        <v>488</v>
      </c>
      <c r="F971" s="5">
        <v>44544</v>
      </c>
      <c r="G971" s="1" t="s">
        <v>1397</v>
      </c>
      <c r="H971" s="6">
        <v>14913</v>
      </c>
      <c r="I971" s="1" t="s">
        <v>447</v>
      </c>
      <c r="J971" s="1" t="s">
        <v>1405</v>
      </c>
      <c r="K971" s="7">
        <v>44544.393077320026</v>
      </c>
      <c r="L971" s="6">
        <v>14913</v>
      </c>
    </row>
    <row r="972" spans="1:12" hidden="1" x14ac:dyDescent="0.25">
      <c r="A972" s="4">
        <v>184</v>
      </c>
      <c r="B972" s="2" t="str">
        <f>HYPERLINK("https://my.zakupki.prom.ua/remote/dispatcher/state_purchase_view/32001469", "UA-2021-11-19-008733-a")</f>
        <v>UA-2021-11-19-008733-a</v>
      </c>
      <c r="C972" s="1" t="s">
        <v>609</v>
      </c>
      <c r="D972" s="1" t="s">
        <v>35</v>
      </c>
      <c r="E972" s="1" t="s">
        <v>1086</v>
      </c>
      <c r="F972" s="5">
        <v>44519</v>
      </c>
      <c r="G972" s="1" t="s">
        <v>1398</v>
      </c>
      <c r="H972" s="6">
        <v>20000</v>
      </c>
      <c r="I972" s="1" t="s">
        <v>449</v>
      </c>
      <c r="J972" s="1" t="s">
        <v>1405</v>
      </c>
      <c r="K972" s="7">
        <v>44536.690049849385</v>
      </c>
      <c r="L972" s="6">
        <v>19987.919999999998</v>
      </c>
    </row>
    <row r="973" spans="1:12" hidden="1" x14ac:dyDescent="0.25">
      <c r="A973" s="4">
        <v>185</v>
      </c>
      <c r="B973" s="2" t="str">
        <f>HYPERLINK("https://my.zakupki.prom.ua/remote/dispatcher/state_purchase_view/32153205", "UA-2021-11-24-005069-a")</f>
        <v>UA-2021-11-24-005069-a</v>
      </c>
      <c r="C973" s="1" t="s">
        <v>406</v>
      </c>
      <c r="D973" s="1" t="s">
        <v>178</v>
      </c>
      <c r="E973" s="1" t="s">
        <v>1086</v>
      </c>
      <c r="F973" s="5">
        <v>44524</v>
      </c>
      <c r="G973" s="7">
        <v>44538.567384259259</v>
      </c>
      <c r="H973" s="6">
        <v>22000</v>
      </c>
      <c r="I973" s="1" t="s">
        <v>1349</v>
      </c>
      <c r="J973" s="1" t="s">
        <v>1405</v>
      </c>
      <c r="K973" s="7">
        <v>44546.480371586862</v>
      </c>
      <c r="L973" s="6">
        <v>7000</v>
      </c>
    </row>
    <row r="974" spans="1:12" hidden="1" x14ac:dyDescent="0.25">
      <c r="A974" s="4">
        <v>186</v>
      </c>
      <c r="B974" s="2" t="str">
        <f>HYPERLINK("https://my.zakupki.prom.ua/remote/dispatcher/state_purchase_view/22767534", "UA-2020-12-29-005850-a")</f>
        <v>UA-2020-12-29-005850-a</v>
      </c>
      <c r="C974" s="1" t="s">
        <v>750</v>
      </c>
      <c r="D974" s="1" t="s">
        <v>237</v>
      </c>
      <c r="E974" s="1" t="s">
        <v>488</v>
      </c>
      <c r="F974" s="5">
        <v>44194</v>
      </c>
      <c r="G974" s="1" t="s">
        <v>1397</v>
      </c>
      <c r="H974" s="6">
        <v>180000</v>
      </c>
      <c r="I974" s="1" t="s">
        <v>1243</v>
      </c>
      <c r="J974" s="1" t="s">
        <v>1405</v>
      </c>
      <c r="K974" s="7">
        <v>44200.386430116414</v>
      </c>
      <c r="L974" s="6">
        <v>180000</v>
      </c>
    </row>
    <row r="975" spans="1:12" hidden="1" x14ac:dyDescent="0.25">
      <c r="A975" s="4">
        <v>187</v>
      </c>
      <c r="B975" s="2" t="str">
        <f>HYPERLINK("https://my.zakupki.prom.ua/remote/dispatcher/state_purchase_view/15300355", "UA-2020-02-14-002121-c")</f>
        <v>UA-2020-02-14-002121-c</v>
      </c>
      <c r="C975" s="1" t="s">
        <v>1052</v>
      </c>
      <c r="D975" s="1" t="s">
        <v>30</v>
      </c>
      <c r="E975" s="1" t="s">
        <v>390</v>
      </c>
      <c r="F975" s="5">
        <v>43875</v>
      </c>
      <c r="G975" s="1" t="s">
        <v>1398</v>
      </c>
      <c r="H975" s="6">
        <v>70000</v>
      </c>
      <c r="I975" s="1"/>
      <c r="J975" s="1" t="s">
        <v>1419</v>
      </c>
      <c r="K975" s="7">
        <v>43892.668517626698</v>
      </c>
      <c r="L975" s="1"/>
    </row>
    <row r="976" spans="1:12" hidden="1" x14ac:dyDescent="0.25">
      <c r="A976" s="4">
        <v>188</v>
      </c>
      <c r="B976" s="2" t="str">
        <f>HYPERLINK("https://my.zakupki.prom.ua/remote/dispatcher/state_purchase_view/11812206", "UA-2019-06-04-001816-b")</f>
        <v>UA-2019-06-04-001816-b</v>
      </c>
      <c r="C976" s="1" t="s">
        <v>409</v>
      </c>
      <c r="D976" s="1" t="s">
        <v>178</v>
      </c>
      <c r="E976" s="1" t="s">
        <v>470</v>
      </c>
      <c r="F976" s="5">
        <v>43620</v>
      </c>
      <c r="G976" s="7">
        <v>43628.578009259261</v>
      </c>
      <c r="H976" s="6">
        <v>6600</v>
      </c>
      <c r="I976" s="1" t="s">
        <v>313</v>
      </c>
      <c r="J976" s="1" t="s">
        <v>1405</v>
      </c>
      <c r="K976" s="7">
        <v>43635.675905945936</v>
      </c>
      <c r="L976" s="6">
        <v>6567</v>
      </c>
    </row>
    <row r="977" spans="1:12" hidden="1" x14ac:dyDescent="0.25">
      <c r="A977" s="4">
        <v>189</v>
      </c>
      <c r="B977" s="2" t="str">
        <f>HYPERLINK("https://my.zakupki.prom.ua/remote/dispatcher/state_purchase_view/15714882", "UA-2020-03-12-000112-b")</f>
        <v>UA-2020-03-12-000112-b</v>
      </c>
      <c r="C977" s="1" t="s">
        <v>930</v>
      </c>
      <c r="D977" s="1" t="s">
        <v>227</v>
      </c>
      <c r="E977" s="1" t="s">
        <v>488</v>
      </c>
      <c r="F977" s="5">
        <v>43902</v>
      </c>
      <c r="G977" s="1" t="s">
        <v>1397</v>
      </c>
      <c r="H977" s="6">
        <v>4500</v>
      </c>
      <c r="I977" s="1" t="s">
        <v>1190</v>
      </c>
      <c r="J977" s="1" t="s">
        <v>1405</v>
      </c>
      <c r="K977" s="7">
        <v>43902.379032149569</v>
      </c>
      <c r="L977" s="6">
        <v>4500</v>
      </c>
    </row>
    <row r="978" spans="1:12" hidden="1" x14ac:dyDescent="0.25">
      <c r="A978" s="4">
        <v>190</v>
      </c>
      <c r="B978" s="2" t="str">
        <f>HYPERLINK("https://my.zakupki.prom.ua/remote/dispatcher/state_purchase_view/16737766", "UA-2020-05-19-002368-c")</f>
        <v>UA-2020-05-19-002368-c</v>
      </c>
      <c r="C978" s="1" t="s">
        <v>815</v>
      </c>
      <c r="D978" s="1" t="s">
        <v>229</v>
      </c>
      <c r="E978" s="1" t="s">
        <v>488</v>
      </c>
      <c r="F978" s="5">
        <v>43970</v>
      </c>
      <c r="G978" s="1" t="s">
        <v>1397</v>
      </c>
      <c r="H978" s="6">
        <v>332</v>
      </c>
      <c r="I978" s="1" t="s">
        <v>1241</v>
      </c>
      <c r="J978" s="1" t="s">
        <v>1405</v>
      </c>
      <c r="K978" s="7">
        <v>43970.507993837295</v>
      </c>
      <c r="L978" s="6">
        <v>332</v>
      </c>
    </row>
    <row r="979" spans="1:12" hidden="1" x14ac:dyDescent="0.25">
      <c r="A979" s="4">
        <v>191</v>
      </c>
      <c r="B979" s="2" t="str">
        <f>HYPERLINK("https://my.zakupki.prom.ua/remote/dispatcher/state_purchase_view/14496874", "UA-2020-01-15-000773-c")</f>
        <v>UA-2020-01-15-000773-c</v>
      </c>
      <c r="C979" s="1" t="s">
        <v>858</v>
      </c>
      <c r="D979" s="1" t="s">
        <v>189</v>
      </c>
      <c r="E979" s="1" t="s">
        <v>470</v>
      </c>
      <c r="F979" s="5">
        <v>43845</v>
      </c>
      <c r="G979" s="1" t="s">
        <v>1398</v>
      </c>
      <c r="H979" s="6">
        <v>18300</v>
      </c>
      <c r="I979" s="1" t="s">
        <v>1322</v>
      </c>
      <c r="J979" s="1" t="s">
        <v>1405</v>
      </c>
      <c r="K979" s="7">
        <v>43859.427779129968</v>
      </c>
      <c r="L979" s="6">
        <v>18202.39</v>
      </c>
    </row>
    <row r="980" spans="1:12" hidden="1" x14ac:dyDescent="0.25">
      <c r="A980" s="4">
        <v>192</v>
      </c>
      <c r="B980" s="2" t="str">
        <f>HYPERLINK("https://my.zakupki.prom.ua/remote/dispatcher/state_purchase_view/14996756", "UA-2020-01-31-001792-a")</f>
        <v>UA-2020-01-31-001792-a</v>
      </c>
      <c r="C980" s="1" t="s">
        <v>912</v>
      </c>
      <c r="D980" s="1" t="s">
        <v>215</v>
      </c>
      <c r="E980" s="1" t="s">
        <v>488</v>
      </c>
      <c r="F980" s="5">
        <v>43861</v>
      </c>
      <c r="G980" s="1" t="s">
        <v>1397</v>
      </c>
      <c r="H980" s="6">
        <v>99916</v>
      </c>
      <c r="I980" s="1" t="s">
        <v>510</v>
      </c>
      <c r="J980" s="1" t="s">
        <v>1405</v>
      </c>
      <c r="K980" s="7">
        <v>43861.500815258609</v>
      </c>
      <c r="L980" s="6">
        <v>99916</v>
      </c>
    </row>
    <row r="981" spans="1:12" hidden="1" x14ac:dyDescent="0.25">
      <c r="A981" s="4">
        <v>193</v>
      </c>
      <c r="B981" s="2" t="str">
        <f>HYPERLINK("https://my.zakupki.prom.ua/remote/dispatcher/state_purchase_view/15928142", "UA-2020-03-24-001549-b")</f>
        <v>UA-2020-03-24-001549-b</v>
      </c>
      <c r="C981" s="1" t="s">
        <v>617</v>
      </c>
      <c r="D981" s="1" t="s">
        <v>153</v>
      </c>
      <c r="E981" s="1" t="s">
        <v>470</v>
      </c>
      <c r="F981" s="5">
        <v>43914</v>
      </c>
      <c r="G981" s="1" t="s">
        <v>1398</v>
      </c>
      <c r="H981" s="6">
        <v>88000</v>
      </c>
      <c r="I981" s="1" t="s">
        <v>1330</v>
      </c>
      <c r="J981" s="1" t="s">
        <v>1405</v>
      </c>
      <c r="K981" s="7">
        <v>43927.612000076573</v>
      </c>
      <c r="L981" s="6">
        <v>88000</v>
      </c>
    </row>
    <row r="982" spans="1:12" hidden="1" x14ac:dyDescent="0.25">
      <c r="A982" s="4">
        <v>194</v>
      </c>
      <c r="B982" s="2" t="str">
        <f>HYPERLINK("https://my.zakupki.prom.ua/remote/dispatcher/state_purchase_view/15974714", "UA-2020-03-26-001263-b")</f>
        <v>UA-2020-03-26-001263-b</v>
      </c>
      <c r="C982" s="1" t="s">
        <v>1093</v>
      </c>
      <c r="D982" s="1" t="s">
        <v>133</v>
      </c>
      <c r="E982" s="1" t="s">
        <v>470</v>
      </c>
      <c r="F982" s="5">
        <v>43916</v>
      </c>
      <c r="G982" s="7">
        <v>43924.663611111115</v>
      </c>
      <c r="H982" s="6">
        <v>146700</v>
      </c>
      <c r="I982" s="1" t="s">
        <v>1331</v>
      </c>
      <c r="J982" s="1" t="s">
        <v>1405</v>
      </c>
      <c r="K982" s="7">
        <v>43934.560745153241</v>
      </c>
      <c r="L982" s="6">
        <v>135000</v>
      </c>
    </row>
    <row r="983" spans="1:12" hidden="1" x14ac:dyDescent="0.25">
      <c r="A983" s="4">
        <v>195</v>
      </c>
      <c r="B983" s="2" t="str">
        <f>HYPERLINK("https://my.zakupki.prom.ua/remote/dispatcher/state_purchase_view/18270553", "UA-2020-08-03-003070-a")</f>
        <v>UA-2020-08-03-003070-a</v>
      </c>
      <c r="C983" s="1" t="s">
        <v>824</v>
      </c>
      <c r="D983" s="1" t="s">
        <v>246</v>
      </c>
      <c r="E983" s="1" t="s">
        <v>390</v>
      </c>
      <c r="F983" s="5">
        <v>44046</v>
      </c>
      <c r="G983" s="7">
        <v>44063.540694444448</v>
      </c>
      <c r="H983" s="6">
        <v>500000</v>
      </c>
      <c r="I983" s="1" t="s">
        <v>1301</v>
      </c>
      <c r="J983" s="1" t="s">
        <v>1405</v>
      </c>
      <c r="K983" s="7">
        <v>44081.479986799743</v>
      </c>
      <c r="L983" s="6">
        <v>495000</v>
      </c>
    </row>
    <row r="984" spans="1:12" hidden="1" x14ac:dyDescent="0.25">
      <c r="A984" s="4">
        <v>196</v>
      </c>
      <c r="B984" s="2" t="str">
        <f>HYPERLINK("https://my.zakupki.prom.ua/remote/dispatcher/state_purchase_view/17819970", "UA-2020-07-13-001344-c")</f>
        <v>UA-2020-07-13-001344-c</v>
      </c>
      <c r="C984" s="1" t="s">
        <v>813</v>
      </c>
      <c r="D984" s="1" t="s">
        <v>229</v>
      </c>
      <c r="E984" s="1" t="s">
        <v>488</v>
      </c>
      <c r="F984" s="5">
        <v>44025</v>
      </c>
      <c r="G984" s="1" t="s">
        <v>1397</v>
      </c>
      <c r="H984" s="6">
        <v>498</v>
      </c>
      <c r="I984" s="1" t="s">
        <v>1241</v>
      </c>
      <c r="J984" s="1" t="s">
        <v>1405</v>
      </c>
      <c r="K984" s="7">
        <v>44025.452187115385</v>
      </c>
      <c r="L984" s="6">
        <v>498</v>
      </c>
    </row>
    <row r="985" spans="1:12" hidden="1" x14ac:dyDescent="0.25">
      <c r="A985" s="4">
        <v>197</v>
      </c>
      <c r="B985" s="2" t="str">
        <f>HYPERLINK("https://my.zakupki.prom.ua/remote/dispatcher/state_purchase_view/17332858", "UA-2020-06-18-002556-c")</f>
        <v>UA-2020-06-18-002556-c</v>
      </c>
      <c r="C985" s="1" t="s">
        <v>413</v>
      </c>
      <c r="D985" s="1" t="s">
        <v>167</v>
      </c>
      <c r="E985" s="1" t="s">
        <v>470</v>
      </c>
      <c r="F985" s="5">
        <v>44000</v>
      </c>
      <c r="G985" s="7">
        <v>44013.522766203707</v>
      </c>
      <c r="H985" s="6">
        <v>7700</v>
      </c>
      <c r="I985" s="1" t="s">
        <v>1307</v>
      </c>
      <c r="J985" s="1" t="s">
        <v>1405</v>
      </c>
      <c r="K985" s="7">
        <v>44019.585314205695</v>
      </c>
      <c r="L985" s="6">
        <v>7435</v>
      </c>
    </row>
    <row r="986" spans="1:12" hidden="1" x14ac:dyDescent="0.25">
      <c r="A986" s="4">
        <v>198</v>
      </c>
      <c r="B986" s="2" t="str">
        <f>HYPERLINK("https://my.zakupki.prom.ua/remote/dispatcher/state_purchase_view/23998588", "UA-2021-02-15-001565-c")</f>
        <v>UA-2021-02-15-001565-c</v>
      </c>
      <c r="C986" s="1" t="s">
        <v>8</v>
      </c>
      <c r="D986" s="1" t="s">
        <v>105</v>
      </c>
      <c r="E986" s="1" t="s">
        <v>470</v>
      </c>
      <c r="F986" s="5">
        <v>44242</v>
      </c>
      <c r="G986" s="7">
        <v>44257.560740740744</v>
      </c>
      <c r="H986" s="6">
        <v>30000</v>
      </c>
      <c r="I986" s="1"/>
      <c r="J986" s="1" t="s">
        <v>1406</v>
      </c>
      <c r="K986" s="7">
        <v>44260.002940750659</v>
      </c>
      <c r="L986" s="1"/>
    </row>
    <row r="987" spans="1:12" hidden="1" x14ac:dyDescent="0.25">
      <c r="A987" s="4">
        <v>199</v>
      </c>
      <c r="B987" s="2" t="str">
        <f>HYPERLINK("https://my.zakupki.prom.ua/remote/dispatcher/state_purchase_view/22492234", "UA-2020-12-22-004627-c")</f>
        <v>UA-2020-12-22-004627-c</v>
      </c>
      <c r="C987" s="1" t="s">
        <v>786</v>
      </c>
      <c r="D987" s="1" t="s">
        <v>200</v>
      </c>
      <c r="E987" s="1" t="s">
        <v>1086</v>
      </c>
      <c r="F987" s="5">
        <v>44187</v>
      </c>
      <c r="G987" s="7">
        <v>44208.598819444444</v>
      </c>
      <c r="H987" s="6">
        <v>102960</v>
      </c>
      <c r="I987" s="1" t="s">
        <v>1318</v>
      </c>
      <c r="J987" s="1" t="s">
        <v>1405</v>
      </c>
      <c r="K987" s="7">
        <v>44211.532262829838</v>
      </c>
      <c r="L987" s="6">
        <v>93470</v>
      </c>
    </row>
    <row r="988" spans="1:12" hidden="1" x14ac:dyDescent="0.25">
      <c r="A988" s="4">
        <v>200</v>
      </c>
      <c r="B988" s="2" t="str">
        <f>HYPERLINK("https://my.zakupki.prom.ua/remote/dispatcher/state_purchase_view/23750379", "UA-2021-02-08-003407-a")</f>
        <v>UA-2021-02-08-003407-a</v>
      </c>
      <c r="C988" s="1" t="s">
        <v>925</v>
      </c>
      <c r="D988" s="1" t="s">
        <v>253</v>
      </c>
      <c r="E988" s="1" t="s">
        <v>488</v>
      </c>
      <c r="F988" s="5">
        <v>44235</v>
      </c>
      <c r="G988" s="1" t="s">
        <v>1397</v>
      </c>
      <c r="H988" s="6">
        <v>630</v>
      </c>
      <c r="I988" s="1" t="s">
        <v>430</v>
      </c>
      <c r="J988" s="1" t="s">
        <v>1405</v>
      </c>
      <c r="K988" s="7">
        <v>44235.477221569548</v>
      </c>
      <c r="L988" s="6">
        <v>630</v>
      </c>
    </row>
    <row r="989" spans="1:12" hidden="1" x14ac:dyDescent="0.25">
      <c r="A989" s="4">
        <v>201</v>
      </c>
      <c r="B989" s="2" t="str">
        <f>HYPERLINK("https://my.zakupki.prom.ua/remote/dispatcher/state_purchase_view/18583034", "UA-2020-08-17-002406-a")</f>
        <v>UA-2020-08-17-002406-a</v>
      </c>
      <c r="C989" s="1" t="s">
        <v>1020</v>
      </c>
      <c r="D989" s="1" t="s">
        <v>224</v>
      </c>
      <c r="E989" s="1" t="s">
        <v>488</v>
      </c>
      <c r="F989" s="5">
        <v>44060</v>
      </c>
      <c r="G989" s="1" t="s">
        <v>1397</v>
      </c>
      <c r="H989" s="6">
        <v>39264.21</v>
      </c>
      <c r="I989" s="1" t="s">
        <v>1049</v>
      </c>
      <c r="J989" s="1" t="s">
        <v>1405</v>
      </c>
      <c r="K989" s="7">
        <v>44063.625671782836</v>
      </c>
      <c r="L989" s="6">
        <v>39264.21</v>
      </c>
    </row>
    <row r="990" spans="1:12" hidden="1" x14ac:dyDescent="0.25">
      <c r="A990" s="4">
        <v>202</v>
      </c>
      <c r="B990" s="2" t="str">
        <f>HYPERLINK("https://my.zakupki.prom.ua/remote/dispatcher/state_purchase_view/16261779", "UA-2020-04-14-001995-b")</f>
        <v>UA-2020-04-14-001995-b</v>
      </c>
      <c r="C990" s="1" t="s">
        <v>956</v>
      </c>
      <c r="D990" s="1" t="s">
        <v>196</v>
      </c>
      <c r="E990" s="1" t="s">
        <v>470</v>
      </c>
      <c r="F990" s="5">
        <v>43935</v>
      </c>
      <c r="G990" s="1" t="s">
        <v>1398</v>
      </c>
      <c r="H990" s="6">
        <v>191820</v>
      </c>
      <c r="I990" s="1" t="s">
        <v>1340</v>
      </c>
      <c r="J990" s="1" t="s">
        <v>1405</v>
      </c>
      <c r="K990" s="7">
        <v>43950.565774661445</v>
      </c>
      <c r="L990" s="6">
        <v>191820</v>
      </c>
    </row>
    <row r="991" spans="1:12" x14ac:dyDescent="0.25">
      <c r="A991" s="4">
        <v>203</v>
      </c>
      <c r="B991" s="2" t="str">
        <f>HYPERLINK("https://my.zakupki.prom.ua/remote/dispatcher/state_purchase_view/22571219", "UA-2020-12-23-008276-c")</f>
        <v>UA-2020-12-23-008276-c</v>
      </c>
      <c r="C991" s="1" t="s">
        <v>474</v>
      </c>
      <c r="D991" s="1" t="s">
        <v>36</v>
      </c>
      <c r="E991" s="1" t="s">
        <v>390</v>
      </c>
      <c r="F991" s="5">
        <v>44188</v>
      </c>
      <c r="G991" s="7">
        <v>44207.635925925926</v>
      </c>
      <c r="H991" s="6">
        <v>1700000</v>
      </c>
      <c r="I991" s="1" t="s">
        <v>1125</v>
      </c>
      <c r="J991" s="1" t="s">
        <v>1405</v>
      </c>
      <c r="K991" s="7">
        <v>44228.484306997838</v>
      </c>
      <c r="L991" s="6">
        <v>1600125</v>
      </c>
    </row>
    <row r="992" spans="1:12" x14ac:dyDescent="0.25">
      <c r="A992" s="4">
        <v>204</v>
      </c>
      <c r="B992" s="2" t="str">
        <f>HYPERLINK("https://my.zakupki.prom.ua/remote/dispatcher/state_purchase_view/27480079", "UA-2021-06-15-004574-b")</f>
        <v>UA-2021-06-15-004574-b</v>
      </c>
      <c r="C992" s="1" t="s">
        <v>965</v>
      </c>
      <c r="D992" s="1" t="s">
        <v>196</v>
      </c>
      <c r="E992" s="1" t="s">
        <v>390</v>
      </c>
      <c r="F992" s="5">
        <v>44362</v>
      </c>
      <c r="G992" s="7">
        <v>44379.551423611112</v>
      </c>
      <c r="H992" s="6">
        <v>498140</v>
      </c>
      <c r="I992" s="1" t="s">
        <v>1143</v>
      </c>
      <c r="J992" s="1" t="s">
        <v>1405</v>
      </c>
      <c r="K992" s="7">
        <v>44397.442716988182</v>
      </c>
      <c r="L992" s="6">
        <v>483234.29</v>
      </c>
    </row>
    <row r="993" spans="1:12" hidden="1" x14ac:dyDescent="0.25">
      <c r="A993" s="4">
        <v>205</v>
      </c>
      <c r="B993" s="2" t="str">
        <f>HYPERLINK("https://my.zakupki.prom.ua/remote/dispatcher/state_purchase_view/27868158", "UA-2021-07-01-000657-c")</f>
        <v>UA-2021-07-01-000657-c</v>
      </c>
      <c r="C993" s="1" t="s">
        <v>1096</v>
      </c>
      <c r="D993" s="1" t="s">
        <v>55</v>
      </c>
      <c r="E993" s="1" t="s">
        <v>470</v>
      </c>
      <c r="F993" s="5">
        <v>44378</v>
      </c>
      <c r="G993" s="7">
        <v>44390.49627314815</v>
      </c>
      <c r="H993" s="6">
        <v>21080</v>
      </c>
      <c r="I993" s="1"/>
      <c r="J993" s="1" t="s">
        <v>1406</v>
      </c>
      <c r="K993" s="7">
        <v>44393.001977742861</v>
      </c>
      <c r="L993" s="1"/>
    </row>
    <row r="994" spans="1:12" hidden="1" x14ac:dyDescent="0.25">
      <c r="A994" s="4">
        <v>206</v>
      </c>
      <c r="B994" s="2" t="str">
        <f>HYPERLINK("https://my.zakupki.prom.ua/remote/dispatcher/state_purchase_view/32210722", "UA-2021-11-25-004178-a")</f>
        <v>UA-2021-11-25-004178-a</v>
      </c>
      <c r="C994" s="1" t="s">
        <v>1257</v>
      </c>
      <c r="D994" s="1" t="s">
        <v>141</v>
      </c>
      <c r="E994" s="1" t="s">
        <v>470</v>
      </c>
      <c r="F994" s="5">
        <v>44525</v>
      </c>
      <c r="G994" s="1" t="s">
        <v>1398</v>
      </c>
      <c r="H994" s="6">
        <v>25085</v>
      </c>
      <c r="I994" s="1"/>
      <c r="J994" s="1" t="s">
        <v>1406</v>
      </c>
      <c r="K994" s="7">
        <v>44536.464375649979</v>
      </c>
      <c r="L994" s="1"/>
    </row>
    <row r="995" spans="1:12" hidden="1" x14ac:dyDescent="0.25">
      <c r="A995" s="4">
        <v>207</v>
      </c>
      <c r="B995" s="2" t="str">
        <f>HYPERLINK("https://my.zakupki.prom.ua/remote/dispatcher/state_purchase_view/24783335", "UA-2021-03-11-003745-b")</f>
        <v>UA-2021-03-11-003745-b</v>
      </c>
      <c r="C995" s="1" t="s">
        <v>806</v>
      </c>
      <c r="D995" s="1" t="s">
        <v>224</v>
      </c>
      <c r="E995" s="1" t="s">
        <v>488</v>
      </c>
      <c r="F995" s="5">
        <v>44266</v>
      </c>
      <c r="G995" s="1" t="s">
        <v>1397</v>
      </c>
      <c r="H995" s="6">
        <v>3200.46</v>
      </c>
      <c r="I995" s="1" t="s">
        <v>509</v>
      </c>
      <c r="J995" s="1" t="s">
        <v>1405</v>
      </c>
      <c r="K995" s="7">
        <v>44266.472722735554</v>
      </c>
      <c r="L995" s="6">
        <v>3200.46</v>
      </c>
    </row>
    <row r="996" spans="1:12" hidden="1" x14ac:dyDescent="0.25">
      <c r="A996" s="4">
        <v>208</v>
      </c>
      <c r="B996" s="2" t="str">
        <f>HYPERLINK("https://my.zakupki.prom.ua/remote/dispatcher/state_purchase_view/21227466", "UA-2020-11-19-004479-c")</f>
        <v>UA-2020-11-19-004479-c</v>
      </c>
      <c r="C996" s="1" t="s">
        <v>577</v>
      </c>
      <c r="D996" s="1" t="s">
        <v>130</v>
      </c>
      <c r="E996" s="1" t="s">
        <v>390</v>
      </c>
      <c r="F996" s="5">
        <v>44154</v>
      </c>
      <c r="G996" s="7">
        <v>44172.524074074077</v>
      </c>
      <c r="H996" s="6">
        <v>510400</v>
      </c>
      <c r="I996" s="1" t="s">
        <v>1151</v>
      </c>
      <c r="J996" s="1" t="s">
        <v>1405</v>
      </c>
      <c r="K996" s="7">
        <v>44186.499379870926</v>
      </c>
      <c r="L996" s="6">
        <v>498800</v>
      </c>
    </row>
    <row r="997" spans="1:12" hidden="1" x14ac:dyDescent="0.25">
      <c r="A997" s="4">
        <v>209</v>
      </c>
      <c r="B997" s="2" t="str">
        <f>HYPERLINK("https://my.zakupki.prom.ua/remote/dispatcher/state_purchase_view/27770638", "UA-2021-06-25-001543-c")</f>
        <v>UA-2021-06-25-001543-c</v>
      </c>
      <c r="C997" s="1" t="s">
        <v>918</v>
      </c>
      <c r="D997" s="1" t="s">
        <v>221</v>
      </c>
      <c r="E997" s="1" t="s">
        <v>470</v>
      </c>
      <c r="F997" s="5">
        <v>44372</v>
      </c>
      <c r="G997" s="1" t="s">
        <v>1398</v>
      </c>
      <c r="H997" s="6">
        <v>40000</v>
      </c>
      <c r="I997" s="1" t="s">
        <v>1334</v>
      </c>
      <c r="J997" s="1" t="s">
        <v>1405</v>
      </c>
      <c r="K997" s="7">
        <v>44390.510736455326</v>
      </c>
      <c r="L997" s="6">
        <v>40000</v>
      </c>
    </row>
    <row r="998" spans="1:12" x14ac:dyDescent="0.25">
      <c r="A998" s="4">
        <v>210</v>
      </c>
      <c r="B998" s="2" t="str">
        <f>HYPERLINK("https://my.zakupki.prom.ua/remote/dispatcher/state_purchase_view/30143106", "UA-2021-09-23-001113-b")</f>
        <v>UA-2021-09-23-001113-b</v>
      </c>
      <c r="C998" s="1" t="s">
        <v>866</v>
      </c>
      <c r="D998" s="1" t="s">
        <v>255</v>
      </c>
      <c r="E998" s="1" t="s">
        <v>390</v>
      </c>
      <c r="F998" s="5">
        <v>44462</v>
      </c>
      <c r="G998" s="7">
        <v>44480.555497685185</v>
      </c>
      <c r="H998" s="6">
        <v>1574900</v>
      </c>
      <c r="I998" s="1" t="s">
        <v>1118</v>
      </c>
      <c r="J998" s="1" t="s">
        <v>1405</v>
      </c>
      <c r="K998" s="7">
        <v>44495.616847771504</v>
      </c>
      <c r="L998" s="6">
        <v>1562640</v>
      </c>
    </row>
    <row r="999" spans="1:12" hidden="1" x14ac:dyDescent="0.25">
      <c r="A999" s="4">
        <v>211</v>
      </c>
      <c r="B999" s="2" t="str">
        <f>HYPERLINK("https://my.zakupki.prom.ua/remote/dispatcher/state_purchase_view/14076450", "UA-2019-12-16-001508-b")</f>
        <v>UA-2019-12-16-001508-b</v>
      </c>
      <c r="C999" s="1" t="s">
        <v>780</v>
      </c>
      <c r="D999" s="1" t="s">
        <v>231</v>
      </c>
      <c r="E999" s="1" t="s">
        <v>470</v>
      </c>
      <c r="F999" s="5">
        <v>43815</v>
      </c>
      <c r="G999" s="1" t="s">
        <v>1398</v>
      </c>
      <c r="H999" s="6">
        <v>83976</v>
      </c>
      <c r="I999" s="1" t="s">
        <v>1183</v>
      </c>
      <c r="J999" s="1" t="s">
        <v>1405</v>
      </c>
      <c r="K999" s="7">
        <v>43826.690220521479</v>
      </c>
      <c r="L999" s="6">
        <v>83976</v>
      </c>
    </row>
    <row r="1000" spans="1:12" hidden="1" x14ac:dyDescent="0.25">
      <c r="A1000" s="4">
        <v>212</v>
      </c>
      <c r="B1000" s="2" t="str">
        <f>HYPERLINK("https://my.zakupki.prom.ua/remote/dispatcher/state_purchase_view/15134662", "UA-2020-02-06-002338-b")</f>
        <v>UA-2020-02-06-002338-b</v>
      </c>
      <c r="C1000" s="1" t="s">
        <v>825</v>
      </c>
      <c r="D1000" s="1" t="s">
        <v>246</v>
      </c>
      <c r="E1000" s="1" t="s">
        <v>390</v>
      </c>
      <c r="F1000" s="5">
        <v>43867</v>
      </c>
      <c r="G1000" s="1" t="s">
        <v>1398</v>
      </c>
      <c r="H1000" s="6">
        <v>3400000</v>
      </c>
      <c r="I1000" s="1"/>
      <c r="J1000" s="1" t="s">
        <v>1419</v>
      </c>
      <c r="K1000" s="7">
        <v>43886.679605162986</v>
      </c>
      <c r="L1000" s="1"/>
    </row>
    <row r="1001" spans="1:12" hidden="1" x14ac:dyDescent="0.25">
      <c r="A1001" s="4">
        <v>213</v>
      </c>
      <c r="B1001" s="2" t="str">
        <f>HYPERLINK("https://my.zakupki.prom.ua/remote/dispatcher/state_purchase_view/18456065", "UA-2020-08-11-004241-a")</f>
        <v>UA-2020-08-11-004241-a</v>
      </c>
      <c r="C1001" s="1" t="s">
        <v>371</v>
      </c>
      <c r="D1001" s="1" t="s">
        <v>222</v>
      </c>
      <c r="E1001" s="1" t="s">
        <v>488</v>
      </c>
      <c r="F1001" s="5">
        <v>44054</v>
      </c>
      <c r="G1001" s="1" t="s">
        <v>1397</v>
      </c>
      <c r="H1001" s="6">
        <v>49999</v>
      </c>
      <c r="I1001" s="1" t="s">
        <v>443</v>
      </c>
      <c r="J1001" s="1" t="s">
        <v>1405</v>
      </c>
      <c r="K1001" s="7">
        <v>44054.557678378114</v>
      </c>
      <c r="L1001" s="6">
        <v>49999</v>
      </c>
    </row>
    <row r="1002" spans="1:12" hidden="1" x14ac:dyDescent="0.25">
      <c r="A1002" s="4">
        <v>214</v>
      </c>
      <c r="B1002" s="2" t="str">
        <f>HYPERLINK("https://my.zakupki.prom.ua/remote/dispatcher/state_purchase_view/19656341", "UA-2020-09-28-006054-a")</f>
        <v>UA-2020-09-28-006054-a</v>
      </c>
      <c r="C1002" s="1" t="s">
        <v>1008</v>
      </c>
      <c r="D1002" s="1" t="s">
        <v>226</v>
      </c>
      <c r="E1002" s="1" t="s">
        <v>488</v>
      </c>
      <c r="F1002" s="5">
        <v>44102</v>
      </c>
      <c r="G1002" s="1" t="s">
        <v>1397</v>
      </c>
      <c r="H1002" s="6">
        <v>503883.45</v>
      </c>
      <c r="I1002" s="1" t="s">
        <v>600</v>
      </c>
      <c r="J1002" s="1" t="s">
        <v>1405</v>
      </c>
      <c r="K1002" s="7">
        <v>44102.617306718726</v>
      </c>
      <c r="L1002" s="6">
        <v>503883.45</v>
      </c>
    </row>
    <row r="1003" spans="1:12" hidden="1" x14ac:dyDescent="0.25">
      <c r="A1003" s="4">
        <v>215</v>
      </c>
      <c r="B1003" s="2" t="str">
        <f>HYPERLINK("https://my.zakupki.prom.ua/remote/dispatcher/state_purchase_view/18728236", "UA-2020-08-21-004953-a")</f>
        <v>UA-2020-08-21-004953-a</v>
      </c>
      <c r="C1003" s="1" t="s">
        <v>604</v>
      </c>
      <c r="D1003" s="1" t="s">
        <v>100</v>
      </c>
      <c r="E1003" s="1" t="s">
        <v>488</v>
      </c>
      <c r="F1003" s="5">
        <v>44064</v>
      </c>
      <c r="G1003" s="1" t="s">
        <v>1397</v>
      </c>
      <c r="H1003" s="6">
        <v>4000</v>
      </c>
      <c r="I1003" s="1" t="s">
        <v>696</v>
      </c>
      <c r="J1003" s="1" t="s">
        <v>1405</v>
      </c>
      <c r="K1003" s="7">
        <v>44064.557081278333</v>
      </c>
      <c r="L1003" s="6">
        <v>4000</v>
      </c>
    </row>
    <row r="1004" spans="1:12" hidden="1" x14ac:dyDescent="0.25">
      <c r="A1004" s="4">
        <v>216</v>
      </c>
      <c r="B1004" s="2" t="str">
        <f>HYPERLINK("https://my.zakupki.prom.ua/remote/dispatcher/state_purchase_view/18726991", "UA-2020-08-21-004605-a")</f>
        <v>UA-2020-08-21-004605-a</v>
      </c>
      <c r="C1004" s="1" t="s">
        <v>848</v>
      </c>
      <c r="D1004" s="1" t="s">
        <v>255</v>
      </c>
      <c r="E1004" s="1" t="s">
        <v>488</v>
      </c>
      <c r="F1004" s="5">
        <v>44064</v>
      </c>
      <c r="G1004" s="1" t="s">
        <v>1397</v>
      </c>
      <c r="H1004" s="6">
        <v>76300.759999999995</v>
      </c>
      <c r="I1004" s="1" t="s">
        <v>1203</v>
      </c>
      <c r="J1004" s="1" t="s">
        <v>1405</v>
      </c>
      <c r="K1004" s="7">
        <v>44064.542793252411</v>
      </c>
      <c r="L1004" s="6">
        <v>76300.759999999995</v>
      </c>
    </row>
    <row r="1005" spans="1:12" hidden="1" x14ac:dyDescent="0.25">
      <c r="A1005" s="4">
        <v>217</v>
      </c>
      <c r="B1005" s="2" t="str">
        <f>HYPERLINK("https://my.zakupki.prom.ua/remote/dispatcher/state_purchase_view/17819092", "UA-2020-07-13-001148-c")</f>
        <v>UA-2020-07-13-001148-c</v>
      </c>
      <c r="C1005" s="1" t="s">
        <v>303</v>
      </c>
      <c r="D1005" s="1" t="s">
        <v>228</v>
      </c>
      <c r="E1005" s="1" t="s">
        <v>488</v>
      </c>
      <c r="F1005" s="5">
        <v>44025</v>
      </c>
      <c r="G1005" s="1" t="s">
        <v>1397</v>
      </c>
      <c r="H1005" s="6">
        <v>300</v>
      </c>
      <c r="I1005" s="1" t="s">
        <v>1391</v>
      </c>
      <c r="J1005" s="1" t="s">
        <v>1405</v>
      </c>
      <c r="K1005" s="7">
        <v>44025.439032715869</v>
      </c>
      <c r="L1005" s="6">
        <v>300</v>
      </c>
    </row>
    <row r="1006" spans="1:12" hidden="1" x14ac:dyDescent="0.25">
      <c r="A1006" s="4">
        <v>218</v>
      </c>
      <c r="B1006" s="2" t="str">
        <f>HYPERLINK("https://my.zakupki.prom.ua/remote/dispatcher/state_purchase_view/18131259", "UA-2020-07-27-002775-c")</f>
        <v>UA-2020-07-27-002775-c</v>
      </c>
      <c r="C1006" s="1" t="s">
        <v>460</v>
      </c>
      <c r="D1006" s="1" t="s">
        <v>172</v>
      </c>
      <c r="E1006" s="1" t="s">
        <v>1086</v>
      </c>
      <c r="F1006" s="5">
        <v>44039</v>
      </c>
      <c r="G1006" s="1" t="s">
        <v>1398</v>
      </c>
      <c r="H1006" s="6">
        <v>55000</v>
      </c>
      <c r="I1006" s="1" t="s">
        <v>1313</v>
      </c>
      <c r="J1006" s="1" t="s">
        <v>1405</v>
      </c>
      <c r="K1006" s="7">
        <v>44060.675649873221</v>
      </c>
      <c r="L1006" s="6">
        <v>55000</v>
      </c>
    </row>
    <row r="1007" spans="1:12" hidden="1" x14ac:dyDescent="0.25">
      <c r="A1007" s="4">
        <v>219</v>
      </c>
      <c r="B1007" s="2" t="str">
        <f>HYPERLINK("https://my.zakupki.prom.ua/remote/dispatcher/state_purchase_view/18458594", "UA-2020-08-11-004933-a")</f>
        <v>UA-2020-08-11-004933-a</v>
      </c>
      <c r="C1007" s="1" t="s">
        <v>415</v>
      </c>
      <c r="D1007" s="1" t="s">
        <v>62</v>
      </c>
      <c r="E1007" s="1" t="s">
        <v>470</v>
      </c>
      <c r="F1007" s="5">
        <v>44054</v>
      </c>
      <c r="G1007" s="7">
        <v>44068.655706018515</v>
      </c>
      <c r="H1007" s="6">
        <v>30650</v>
      </c>
      <c r="I1007" s="1" t="s">
        <v>1329</v>
      </c>
      <c r="J1007" s="1" t="s">
        <v>1405</v>
      </c>
      <c r="K1007" s="7">
        <v>44076.608466564561</v>
      </c>
      <c r="L1007" s="6">
        <v>30623</v>
      </c>
    </row>
    <row r="1008" spans="1:12" hidden="1" x14ac:dyDescent="0.25">
      <c r="A1008" s="4">
        <v>220</v>
      </c>
      <c r="B1008" s="2" t="str">
        <f>HYPERLINK("https://my.zakupki.prom.ua/remote/dispatcher/state_purchase_view/25369000", "UA-2021-03-30-001050-c")</f>
        <v>UA-2021-03-30-001050-c</v>
      </c>
      <c r="C1008" s="1" t="s">
        <v>847</v>
      </c>
      <c r="D1008" s="1" t="s">
        <v>228</v>
      </c>
      <c r="E1008" s="1" t="s">
        <v>488</v>
      </c>
      <c r="F1008" s="5">
        <v>44285</v>
      </c>
      <c r="G1008" s="1" t="s">
        <v>1397</v>
      </c>
      <c r="H1008" s="6">
        <v>4500</v>
      </c>
      <c r="I1008" s="1" t="s">
        <v>1190</v>
      </c>
      <c r="J1008" s="1" t="s">
        <v>1405</v>
      </c>
      <c r="K1008" s="7">
        <v>44285.419806338439</v>
      </c>
      <c r="L1008" s="6">
        <v>4500</v>
      </c>
    </row>
    <row r="1009" spans="1:12" hidden="1" x14ac:dyDescent="0.25">
      <c r="A1009" s="4">
        <v>221</v>
      </c>
      <c r="B1009" s="2" t="str">
        <f>HYPERLINK("https://my.zakupki.prom.ua/remote/dispatcher/state_purchase_view/24690286", "UA-2021-03-09-002796-c")</f>
        <v>UA-2021-03-09-002796-c</v>
      </c>
      <c r="C1009" s="1" t="s">
        <v>415</v>
      </c>
      <c r="D1009" s="1" t="s">
        <v>110</v>
      </c>
      <c r="E1009" s="1" t="s">
        <v>488</v>
      </c>
      <c r="F1009" s="5">
        <v>44264</v>
      </c>
      <c r="G1009" s="1" t="s">
        <v>1397</v>
      </c>
      <c r="H1009" s="6">
        <v>2149.58</v>
      </c>
      <c r="I1009" s="1" t="s">
        <v>692</v>
      </c>
      <c r="J1009" s="1" t="s">
        <v>1405</v>
      </c>
      <c r="K1009" s="7">
        <v>44264.451487404389</v>
      </c>
      <c r="L1009" s="6">
        <v>2149.58</v>
      </c>
    </row>
    <row r="1010" spans="1:12" hidden="1" x14ac:dyDescent="0.25">
      <c r="A1010" s="4">
        <v>223</v>
      </c>
      <c r="B1010" s="2" t="str">
        <f>HYPERLINK("https://my.zakupki.prom.ua/remote/dispatcher/state_purchase_view/26304537", "UA-2021-05-05-004481-c")</f>
        <v>UA-2021-05-05-004481-c</v>
      </c>
      <c r="C1010" s="1" t="s">
        <v>984</v>
      </c>
      <c r="D1010" s="1" t="s">
        <v>220</v>
      </c>
      <c r="E1010" s="1" t="s">
        <v>1086</v>
      </c>
      <c r="F1010" s="5">
        <v>44321</v>
      </c>
      <c r="G1010" s="1" t="s">
        <v>1398</v>
      </c>
      <c r="H1010" s="6">
        <v>73000</v>
      </c>
      <c r="I1010" s="1" t="s">
        <v>1232</v>
      </c>
      <c r="J1010" s="1" t="s">
        <v>1405</v>
      </c>
      <c r="K1010" s="7">
        <v>44337.487211614723</v>
      </c>
      <c r="L1010" s="6">
        <v>72945.539999999994</v>
      </c>
    </row>
    <row r="1011" spans="1:12" hidden="1" x14ac:dyDescent="0.25">
      <c r="A1011" s="4">
        <v>224</v>
      </c>
      <c r="B1011" s="2" t="str">
        <f>HYPERLINK("https://my.zakupki.prom.ua/remote/dispatcher/state_purchase_view/29782473", "UA-2021-09-13-006459-b")</f>
        <v>UA-2021-09-13-006459-b</v>
      </c>
      <c r="C1011" s="1" t="s">
        <v>687</v>
      </c>
      <c r="D1011" s="1" t="s">
        <v>90</v>
      </c>
      <c r="E1011" s="1" t="s">
        <v>1086</v>
      </c>
      <c r="F1011" s="5">
        <v>44452</v>
      </c>
      <c r="G1011" s="1" t="s">
        <v>1398</v>
      </c>
      <c r="H1011" s="6">
        <v>68563</v>
      </c>
      <c r="I1011" s="1" t="s">
        <v>1326</v>
      </c>
      <c r="J1011" s="1" t="s">
        <v>1405</v>
      </c>
      <c r="K1011" s="7">
        <v>44470.639336199652</v>
      </c>
      <c r="L1011" s="6">
        <v>68562.899999999994</v>
      </c>
    </row>
    <row r="1012" spans="1:12" hidden="1" x14ac:dyDescent="0.25">
      <c r="A1012" s="4">
        <v>225</v>
      </c>
      <c r="B1012" s="2" t="str">
        <f>HYPERLINK("https://my.zakupki.prom.ua/remote/dispatcher/state_purchase_view/29212463", "UA-2021-08-20-007267-a")</f>
        <v>UA-2021-08-20-007267-a</v>
      </c>
      <c r="C1012" s="1" t="s">
        <v>919</v>
      </c>
      <c r="D1012" s="1" t="s">
        <v>216</v>
      </c>
      <c r="E1012" s="1" t="s">
        <v>488</v>
      </c>
      <c r="F1012" s="5">
        <v>44428</v>
      </c>
      <c r="G1012" s="1" t="s">
        <v>1397</v>
      </c>
      <c r="H1012" s="6">
        <v>171.04</v>
      </c>
      <c r="I1012" s="1" t="s">
        <v>703</v>
      </c>
      <c r="J1012" s="1" t="s">
        <v>1405</v>
      </c>
      <c r="K1012" s="7">
        <v>44428.589390528163</v>
      </c>
      <c r="L1012" s="6">
        <v>171.04</v>
      </c>
    </row>
    <row r="1013" spans="1:12" hidden="1" x14ac:dyDescent="0.25">
      <c r="A1013" s="4">
        <v>226</v>
      </c>
      <c r="B1013" s="2" t="str">
        <f>HYPERLINK("https://my.zakupki.prom.ua/remote/dispatcher/state_purchase_view/33938499", "UA-2022-01-05-000470-c")</f>
        <v>UA-2022-01-05-000470-c</v>
      </c>
      <c r="C1013" s="1" t="s">
        <v>911</v>
      </c>
      <c r="D1013" s="1" t="s">
        <v>214</v>
      </c>
      <c r="E1013" s="1" t="s">
        <v>723</v>
      </c>
      <c r="F1013" s="5">
        <v>44566</v>
      </c>
      <c r="G1013" s="1" t="s">
        <v>1397</v>
      </c>
      <c r="H1013" s="6">
        <v>430320</v>
      </c>
      <c r="I1013" s="1" t="s">
        <v>510</v>
      </c>
      <c r="J1013" s="1" t="s">
        <v>1396</v>
      </c>
      <c r="K1013" s="1"/>
      <c r="L1013" s="6">
        <v>430320</v>
      </c>
    </row>
    <row r="1014" spans="1:12" x14ac:dyDescent="0.25">
      <c r="A1014" s="4">
        <v>227</v>
      </c>
      <c r="B1014" s="2" t="str">
        <f>HYPERLINK("https://my.zakupki.prom.ua/remote/dispatcher/state_purchase_view/26254639", "UA-2021-04-29-003951-c")</f>
        <v>UA-2021-04-29-003951-c</v>
      </c>
      <c r="C1014" s="1" t="s">
        <v>838</v>
      </c>
      <c r="D1014" s="1" t="s">
        <v>241</v>
      </c>
      <c r="E1014" s="1" t="s">
        <v>391</v>
      </c>
      <c r="F1014" s="5">
        <v>44315</v>
      </c>
      <c r="G1014" s="7">
        <v>44354.542048611111</v>
      </c>
      <c r="H1014" s="6">
        <v>5374512</v>
      </c>
      <c r="I1014" s="1" t="s">
        <v>1149</v>
      </c>
      <c r="J1014" s="1" t="s">
        <v>1405</v>
      </c>
      <c r="K1014" s="7">
        <v>44365.384659593226</v>
      </c>
      <c r="L1014" s="6">
        <v>5374005</v>
      </c>
    </row>
    <row r="1015" spans="1:12" hidden="1" x14ac:dyDescent="0.25">
      <c r="A1015" s="4">
        <v>228</v>
      </c>
      <c r="B1015" s="2" t="str">
        <f>HYPERLINK("https://my.zakupki.prom.ua/remote/dispatcher/state_purchase_view/25677344", "UA-2021-04-09-002195-c")</f>
        <v>UA-2021-04-09-002195-c</v>
      </c>
      <c r="C1015" s="1" t="s">
        <v>980</v>
      </c>
      <c r="D1015" s="1" t="s">
        <v>220</v>
      </c>
      <c r="E1015" s="1" t="s">
        <v>1086</v>
      </c>
      <c r="F1015" s="5">
        <v>44295</v>
      </c>
      <c r="G1015" s="7">
        <v>44309.63722222222</v>
      </c>
      <c r="H1015" s="6">
        <v>1100000</v>
      </c>
      <c r="I1015" s="1" t="s">
        <v>1132</v>
      </c>
      <c r="J1015" s="1" t="s">
        <v>1405</v>
      </c>
      <c r="K1015" s="7">
        <v>44315.510064754759</v>
      </c>
      <c r="L1015" s="6">
        <v>1094500</v>
      </c>
    </row>
    <row r="1016" spans="1:12" x14ac:dyDescent="0.25">
      <c r="A1016" s="4">
        <v>229</v>
      </c>
      <c r="B1016" s="2" t="str">
        <f>HYPERLINK("https://my.zakupki.prom.ua/remote/dispatcher/state_purchase_view/30378281", "UA-2021-09-30-005051-b")</f>
        <v>UA-2021-09-30-005051-b</v>
      </c>
      <c r="C1016" s="1" t="s">
        <v>392</v>
      </c>
      <c r="D1016" s="1" t="s">
        <v>171</v>
      </c>
      <c r="E1016" s="1" t="s">
        <v>390</v>
      </c>
      <c r="F1016" s="5">
        <v>44469</v>
      </c>
      <c r="G1016" s="7">
        <v>44487.515428240738</v>
      </c>
      <c r="H1016" s="6">
        <v>300000</v>
      </c>
      <c r="I1016" s="1" t="s">
        <v>1158</v>
      </c>
      <c r="J1016" s="1" t="s">
        <v>1405</v>
      </c>
      <c r="K1016" s="7">
        <v>44501.529832286564</v>
      </c>
      <c r="L1016" s="6">
        <v>298500</v>
      </c>
    </row>
    <row r="1017" spans="1:12" x14ac:dyDescent="0.25">
      <c r="A1017" s="4">
        <v>230</v>
      </c>
      <c r="B1017" s="2" t="str">
        <f>HYPERLINK("https://my.zakupki.prom.ua/remote/dispatcher/state_purchase_view/30894991", "UA-2021-10-20-002195-b")</f>
        <v>UA-2021-10-20-002195-b</v>
      </c>
      <c r="C1017" s="1" t="s">
        <v>760</v>
      </c>
      <c r="D1017" s="1" t="s">
        <v>233</v>
      </c>
      <c r="E1017" s="1" t="s">
        <v>390</v>
      </c>
      <c r="F1017" s="5">
        <v>44489</v>
      </c>
      <c r="G1017" s="7">
        <v>44508.616967592592</v>
      </c>
      <c r="H1017" s="6">
        <v>1605218.05</v>
      </c>
      <c r="I1017" s="1" t="s">
        <v>1118</v>
      </c>
      <c r="J1017" s="1" t="s">
        <v>1405</v>
      </c>
      <c r="K1017" s="7">
        <v>44526.406114575628</v>
      </c>
      <c r="L1017" s="6">
        <v>1525892.13</v>
      </c>
    </row>
    <row r="1018" spans="1:12" hidden="1" x14ac:dyDescent="0.25">
      <c r="A1018" s="4">
        <v>231</v>
      </c>
      <c r="B1018" s="2" t="str">
        <f>HYPERLINK("https://my.zakupki.prom.ua/remote/dispatcher/state_purchase_view/31368941", "UA-2021-11-03-003475-a")</f>
        <v>UA-2021-11-03-003475-a</v>
      </c>
      <c r="C1018" s="1" t="s">
        <v>803</v>
      </c>
      <c r="D1018" s="1" t="s">
        <v>252</v>
      </c>
      <c r="E1018" s="1" t="s">
        <v>470</v>
      </c>
      <c r="F1018" s="5">
        <v>44503</v>
      </c>
      <c r="G1018" s="1" t="s">
        <v>1398</v>
      </c>
      <c r="H1018" s="6">
        <v>18080</v>
      </c>
      <c r="I1018" s="1"/>
      <c r="J1018" s="1" t="s">
        <v>1406</v>
      </c>
      <c r="K1018" s="7">
        <v>44512.44306777748</v>
      </c>
      <c r="L1018" s="1"/>
    </row>
    <row r="1019" spans="1:12" hidden="1" x14ac:dyDescent="0.25">
      <c r="A1019" s="4">
        <v>232</v>
      </c>
      <c r="B1019" s="2" t="str">
        <f>HYPERLINK("https://my.zakupki.prom.ua/remote/dispatcher/state_purchase_view/31379277", "UA-2021-11-03-007224-a")</f>
        <v>UA-2021-11-03-007224-a</v>
      </c>
      <c r="C1019" s="1" t="s">
        <v>299</v>
      </c>
      <c r="D1019" s="1" t="s">
        <v>66</v>
      </c>
      <c r="E1019" s="1" t="s">
        <v>470</v>
      </c>
      <c r="F1019" s="5">
        <v>44503</v>
      </c>
      <c r="G1019" s="1" t="s">
        <v>1398</v>
      </c>
      <c r="H1019" s="6">
        <v>4584</v>
      </c>
      <c r="I1019" s="1" t="s">
        <v>1171</v>
      </c>
      <c r="J1019" s="1" t="s">
        <v>1405</v>
      </c>
      <c r="K1019" s="7">
        <v>44518.61504080618</v>
      </c>
      <c r="L1019" s="6">
        <v>4584</v>
      </c>
    </row>
    <row r="1020" spans="1:12" hidden="1" x14ac:dyDescent="0.25">
      <c r="A1020" s="4">
        <v>233</v>
      </c>
      <c r="B1020" s="2" t="str">
        <f>HYPERLINK("https://my.zakupki.prom.ua/remote/dispatcher/state_purchase_view/33445238", "UA-2021-12-21-002797-c")</f>
        <v>UA-2021-12-21-002797-c</v>
      </c>
      <c r="C1020" s="1" t="s">
        <v>1257</v>
      </c>
      <c r="D1020" s="1" t="s">
        <v>141</v>
      </c>
      <c r="E1020" s="1" t="s">
        <v>488</v>
      </c>
      <c r="F1020" s="5">
        <v>44551</v>
      </c>
      <c r="G1020" s="1" t="s">
        <v>1397</v>
      </c>
      <c r="H1020" s="6">
        <v>25085</v>
      </c>
      <c r="I1020" s="1" t="s">
        <v>695</v>
      </c>
      <c r="J1020" s="1" t="s">
        <v>1405</v>
      </c>
      <c r="K1020" s="7">
        <v>44551.459629457881</v>
      </c>
      <c r="L1020" s="6">
        <v>25085</v>
      </c>
    </row>
    <row r="1021" spans="1:12" x14ac:dyDescent="0.25">
      <c r="A1021" s="4">
        <v>234</v>
      </c>
      <c r="B1021" s="2" t="str">
        <f>HYPERLINK("https://my.zakupki.prom.ua/remote/dispatcher/state_purchase_view/31883390", "UA-2021-11-17-005811-a")</f>
        <v>UA-2021-11-17-005811-a</v>
      </c>
      <c r="C1021" s="1" t="s">
        <v>993</v>
      </c>
      <c r="D1021" s="1" t="s">
        <v>190</v>
      </c>
      <c r="E1021" s="1" t="s">
        <v>390</v>
      </c>
      <c r="F1021" s="5">
        <v>44517</v>
      </c>
      <c r="G1021" s="7">
        <v>44536.461087962962</v>
      </c>
      <c r="H1021" s="6">
        <v>44558925.600000001</v>
      </c>
      <c r="I1021" s="1" t="s">
        <v>1116</v>
      </c>
      <c r="J1021" s="1" t="s">
        <v>1405</v>
      </c>
      <c r="K1021" s="7">
        <v>44550.639716036181</v>
      </c>
      <c r="L1021" s="6">
        <v>44262892</v>
      </c>
    </row>
    <row r="1022" spans="1:12" hidden="1" x14ac:dyDescent="0.25">
      <c r="A1022" s="4">
        <v>235</v>
      </c>
      <c r="B1022" s="2" t="str">
        <f>HYPERLINK("https://my.zakupki.prom.ua/remote/dispatcher/state_purchase_view/25465162", "UA-2021-04-01-006789-b")</f>
        <v>UA-2021-04-01-006789-b</v>
      </c>
      <c r="C1022" s="1" t="s">
        <v>562</v>
      </c>
      <c r="D1022" s="1" t="s">
        <v>154</v>
      </c>
      <c r="E1022" s="1" t="s">
        <v>1086</v>
      </c>
      <c r="F1022" s="5">
        <v>44287</v>
      </c>
      <c r="G1022" s="7">
        <v>44300.510104166664</v>
      </c>
      <c r="H1022" s="6">
        <v>54000</v>
      </c>
      <c r="I1022" s="1" t="s">
        <v>1294</v>
      </c>
      <c r="J1022" s="1" t="s">
        <v>1405</v>
      </c>
      <c r="K1022" s="7">
        <v>44306.375397254036</v>
      </c>
      <c r="L1022" s="6">
        <v>44064</v>
      </c>
    </row>
    <row r="1023" spans="1:12" x14ac:dyDescent="0.25">
      <c r="A1023" s="4">
        <v>236</v>
      </c>
      <c r="B1023" s="2" t="str">
        <f>HYPERLINK("https://my.zakupki.prom.ua/remote/dispatcher/state_purchase_view/25886804", "UA-2021-04-16-002401-b")</f>
        <v>UA-2021-04-16-002401-b</v>
      </c>
      <c r="C1023" s="1" t="s">
        <v>908</v>
      </c>
      <c r="D1023" s="1" t="s">
        <v>235</v>
      </c>
      <c r="E1023" s="1" t="s">
        <v>390</v>
      </c>
      <c r="F1023" s="5">
        <v>44302</v>
      </c>
      <c r="G1023" s="7">
        <v>44321.5077662037</v>
      </c>
      <c r="H1023" s="6">
        <v>2004223</v>
      </c>
      <c r="I1023" s="1" t="s">
        <v>1118</v>
      </c>
      <c r="J1023" s="1" t="s">
        <v>1405</v>
      </c>
      <c r="K1023" s="7">
        <v>44334.614332545985</v>
      </c>
      <c r="L1023" s="6">
        <v>1990736.87</v>
      </c>
    </row>
    <row r="1024" spans="1:12" hidden="1" x14ac:dyDescent="0.25">
      <c r="A1024" s="4">
        <v>237</v>
      </c>
      <c r="B1024" s="2" t="str">
        <f>HYPERLINK("https://my.zakupki.prom.ua/remote/dispatcher/state_purchase_view/28657667", "UA-2021-08-02-003199-b")</f>
        <v>UA-2021-08-02-003199-b</v>
      </c>
      <c r="C1024" s="1" t="s">
        <v>795</v>
      </c>
      <c r="D1024" s="1" t="s">
        <v>255</v>
      </c>
      <c r="E1024" s="1" t="s">
        <v>488</v>
      </c>
      <c r="F1024" s="5">
        <v>44410</v>
      </c>
      <c r="G1024" s="1" t="s">
        <v>1397</v>
      </c>
      <c r="H1024" s="6">
        <v>99339.36</v>
      </c>
      <c r="I1024" s="1" t="s">
        <v>1198</v>
      </c>
      <c r="J1024" s="1" t="s">
        <v>1405</v>
      </c>
      <c r="K1024" s="7">
        <v>44410.488606696432</v>
      </c>
      <c r="L1024" s="6">
        <v>99339.36</v>
      </c>
    </row>
    <row r="1025" spans="1:12" hidden="1" x14ac:dyDescent="0.25">
      <c r="A1025" s="4">
        <v>238</v>
      </c>
      <c r="B1025" s="2" t="str">
        <f>HYPERLINK("https://my.zakupki.prom.ua/remote/dispatcher/state_purchase_view/28633304", "UA-2021-07-30-005125-b")</f>
        <v>UA-2021-07-30-005125-b</v>
      </c>
      <c r="C1025" s="1" t="s">
        <v>1275</v>
      </c>
      <c r="D1025" s="1" t="s">
        <v>102</v>
      </c>
      <c r="E1025" s="1" t="s">
        <v>488</v>
      </c>
      <c r="F1025" s="5">
        <v>44407</v>
      </c>
      <c r="G1025" s="1" t="s">
        <v>1397</v>
      </c>
      <c r="H1025" s="6">
        <v>7177.8</v>
      </c>
      <c r="I1025" s="1" t="s">
        <v>1230</v>
      </c>
      <c r="J1025" s="1" t="s">
        <v>1405</v>
      </c>
      <c r="K1025" s="7">
        <v>44407.58253018494</v>
      </c>
      <c r="L1025" s="6">
        <v>7177.8</v>
      </c>
    </row>
    <row r="1026" spans="1:12" hidden="1" x14ac:dyDescent="0.25">
      <c r="A1026" s="4">
        <v>239</v>
      </c>
      <c r="B1026" s="2" t="str">
        <f>HYPERLINK("https://my.zakupki.prom.ua/remote/dispatcher/state_purchase_view/27691845", "UA-2021-06-23-004146-c")</f>
        <v>UA-2021-06-23-004146-c</v>
      </c>
      <c r="C1026" s="1" t="s">
        <v>727</v>
      </c>
      <c r="D1026" s="1" t="s">
        <v>65</v>
      </c>
      <c r="E1026" s="1" t="s">
        <v>488</v>
      </c>
      <c r="F1026" s="5">
        <v>44370</v>
      </c>
      <c r="G1026" s="1" t="s">
        <v>1397</v>
      </c>
      <c r="H1026" s="6">
        <v>2460</v>
      </c>
      <c r="I1026" s="1" t="s">
        <v>1220</v>
      </c>
      <c r="J1026" s="1" t="s">
        <v>1405</v>
      </c>
      <c r="K1026" s="7">
        <v>44370.466535130137</v>
      </c>
      <c r="L1026" s="6">
        <v>2460</v>
      </c>
    </row>
    <row r="1027" spans="1:12" hidden="1" x14ac:dyDescent="0.25">
      <c r="A1027" s="4">
        <v>240</v>
      </c>
      <c r="B1027" s="2" t="str">
        <f>HYPERLINK("https://my.zakupki.prom.ua/remote/dispatcher/state_purchase_view/32850543", "UA-2021-12-09-013496-c")</f>
        <v>UA-2021-12-09-013496-c</v>
      </c>
      <c r="C1027" s="1" t="s">
        <v>811</v>
      </c>
      <c r="D1027" s="1" t="s">
        <v>229</v>
      </c>
      <c r="E1027" s="1" t="s">
        <v>488</v>
      </c>
      <c r="F1027" s="5">
        <v>44539</v>
      </c>
      <c r="G1027" s="1" t="s">
        <v>1397</v>
      </c>
      <c r="H1027" s="6">
        <v>332</v>
      </c>
      <c r="I1027" s="1" t="s">
        <v>1241</v>
      </c>
      <c r="J1027" s="1" t="s">
        <v>1405</v>
      </c>
      <c r="K1027" s="7">
        <v>44539.63346841633</v>
      </c>
      <c r="L1027" s="6">
        <v>332</v>
      </c>
    </row>
    <row r="1028" spans="1:12" hidden="1" x14ac:dyDescent="0.25">
      <c r="A1028" s="4">
        <v>241</v>
      </c>
      <c r="B1028" s="2" t="str">
        <f>HYPERLINK("https://my.zakupki.prom.ua/remote/dispatcher/state_purchase_view/32738332", "UA-2021-12-08-002451-c")</f>
        <v>UA-2021-12-08-002451-c</v>
      </c>
      <c r="C1028" s="1" t="s">
        <v>787</v>
      </c>
      <c r="D1028" s="1" t="s">
        <v>200</v>
      </c>
      <c r="E1028" s="1" t="s">
        <v>488</v>
      </c>
      <c r="F1028" s="5">
        <v>44538</v>
      </c>
      <c r="G1028" s="1" t="s">
        <v>1397</v>
      </c>
      <c r="H1028" s="6">
        <v>45500</v>
      </c>
      <c r="I1028" s="1" t="s">
        <v>571</v>
      </c>
      <c r="J1028" s="1" t="s">
        <v>1405</v>
      </c>
      <c r="K1028" s="7">
        <v>44538.413453039073</v>
      </c>
      <c r="L1028" s="6">
        <v>45500</v>
      </c>
    </row>
    <row r="1029" spans="1:12" hidden="1" x14ac:dyDescent="0.25">
      <c r="A1029" s="4">
        <v>242</v>
      </c>
      <c r="B1029" s="2" t="str">
        <f>HYPERLINK("https://my.zakupki.prom.ua/remote/dispatcher/state_purchase_view/32161270", "UA-2021-11-24-006319-a")</f>
        <v>UA-2021-11-24-006319-a</v>
      </c>
      <c r="C1029" s="1" t="s">
        <v>801</v>
      </c>
      <c r="D1029" s="1" t="s">
        <v>252</v>
      </c>
      <c r="E1029" s="1" t="s">
        <v>488</v>
      </c>
      <c r="F1029" s="5">
        <v>44524</v>
      </c>
      <c r="G1029" s="1" t="s">
        <v>1397</v>
      </c>
      <c r="H1029" s="6">
        <v>18002.5</v>
      </c>
      <c r="I1029" s="1" t="s">
        <v>446</v>
      </c>
      <c r="J1029" s="1" t="s">
        <v>1405</v>
      </c>
      <c r="K1029" s="7">
        <v>44524.524278774479</v>
      </c>
      <c r="L1029" s="6">
        <v>18002.5</v>
      </c>
    </row>
    <row r="1030" spans="1:12" hidden="1" x14ac:dyDescent="0.25">
      <c r="A1030" s="4">
        <v>243</v>
      </c>
      <c r="B1030" s="2" t="str">
        <f>HYPERLINK("https://my.zakupki.prom.ua/remote/dispatcher/state_purchase_view/29829390", "UA-2021-09-14-005049-b")</f>
        <v>UA-2021-09-14-005049-b</v>
      </c>
      <c r="C1030" s="1" t="s">
        <v>869</v>
      </c>
      <c r="D1030" s="1" t="s">
        <v>262</v>
      </c>
      <c r="E1030" s="1" t="s">
        <v>488</v>
      </c>
      <c r="F1030" s="5">
        <v>44453</v>
      </c>
      <c r="G1030" s="1" t="s">
        <v>1397</v>
      </c>
      <c r="H1030" s="6">
        <v>24000</v>
      </c>
      <c r="I1030" s="1" t="s">
        <v>1048</v>
      </c>
      <c r="J1030" s="1" t="s">
        <v>1405</v>
      </c>
      <c r="K1030" s="7">
        <v>44453.523797395093</v>
      </c>
      <c r="L1030" s="6">
        <v>24000</v>
      </c>
    </row>
    <row r="1031" spans="1:12" hidden="1" x14ac:dyDescent="0.25">
      <c r="A1031" s="4">
        <v>244</v>
      </c>
      <c r="B1031" s="2" t="str">
        <f>HYPERLINK("https://my.zakupki.prom.ua/remote/dispatcher/state_purchase_view/27826860", "UA-2021-06-29-006314-c")</f>
        <v>UA-2021-06-29-006314-c</v>
      </c>
      <c r="C1031" s="1" t="s">
        <v>779</v>
      </c>
      <c r="D1031" s="1" t="s">
        <v>227</v>
      </c>
      <c r="E1031" s="1" t="s">
        <v>488</v>
      </c>
      <c r="F1031" s="5">
        <v>44376</v>
      </c>
      <c r="G1031" s="1" t="s">
        <v>1397</v>
      </c>
      <c r="H1031" s="6">
        <v>2400</v>
      </c>
      <c r="I1031" s="1" t="s">
        <v>705</v>
      </c>
      <c r="J1031" s="1" t="s">
        <v>1405</v>
      </c>
      <c r="K1031" s="7">
        <v>44376.646199459108</v>
      </c>
      <c r="L1031" s="6">
        <v>2400</v>
      </c>
    </row>
    <row r="1032" spans="1:12" hidden="1" x14ac:dyDescent="0.25">
      <c r="A1032" s="4">
        <v>245</v>
      </c>
      <c r="B1032" s="2" t="str">
        <f>HYPERLINK("https://my.zakupki.prom.ua/remote/dispatcher/state_purchase_view/30986471", "UA-2021-10-22-000951-b")</f>
        <v>UA-2021-10-22-000951-b</v>
      </c>
      <c r="C1032" s="1" t="s">
        <v>803</v>
      </c>
      <c r="D1032" s="1" t="s">
        <v>252</v>
      </c>
      <c r="E1032" s="1" t="s">
        <v>470</v>
      </c>
      <c r="F1032" s="5">
        <v>44491</v>
      </c>
      <c r="G1032" s="1" t="s">
        <v>1398</v>
      </c>
      <c r="H1032" s="6">
        <v>18080</v>
      </c>
      <c r="I1032" s="1"/>
      <c r="J1032" s="1" t="s">
        <v>1406</v>
      </c>
      <c r="K1032" s="7">
        <v>44503.388196066146</v>
      </c>
      <c r="L1032" s="1"/>
    </row>
    <row r="1033" spans="1:12" hidden="1" x14ac:dyDescent="0.25">
      <c r="A1033" s="4">
        <v>246</v>
      </c>
      <c r="B1033" s="2" t="str">
        <f>HYPERLINK("https://my.zakupki.prom.ua/remote/dispatcher/state_purchase_view/31716783", "UA-2021-11-12-003674-a")</f>
        <v>UA-2021-11-12-003674-a</v>
      </c>
      <c r="C1033" s="1" t="s">
        <v>610</v>
      </c>
      <c r="D1033" s="1" t="s">
        <v>34</v>
      </c>
      <c r="E1033" s="1" t="s">
        <v>488</v>
      </c>
      <c r="F1033" s="5">
        <v>44512</v>
      </c>
      <c r="G1033" s="1" t="s">
        <v>1397</v>
      </c>
      <c r="H1033" s="6">
        <v>658</v>
      </c>
      <c r="I1033" s="1" t="s">
        <v>704</v>
      </c>
      <c r="J1033" s="1" t="s">
        <v>1419</v>
      </c>
      <c r="K1033" s="7">
        <v>44512.479551869619</v>
      </c>
      <c r="L1033" s="6">
        <v>658</v>
      </c>
    </row>
    <row r="1034" spans="1:12" hidden="1" x14ac:dyDescent="0.25">
      <c r="A1034" s="4">
        <v>247</v>
      </c>
      <c r="B1034" s="2" t="str">
        <f>HYPERLINK("https://my.zakupki.prom.ua/remote/dispatcher/state_purchase_view/32043993", "UA-2021-11-22-004331-a")</f>
        <v>UA-2021-11-22-004331-a</v>
      </c>
      <c r="C1034" s="1" t="s">
        <v>409</v>
      </c>
      <c r="D1034" s="1" t="s">
        <v>178</v>
      </c>
      <c r="E1034" s="1" t="s">
        <v>470</v>
      </c>
      <c r="F1034" s="5">
        <v>44522</v>
      </c>
      <c r="G1034" s="1" t="s">
        <v>1398</v>
      </c>
      <c r="H1034" s="6">
        <v>22000</v>
      </c>
      <c r="I1034" s="1"/>
      <c r="J1034" s="1" t="s">
        <v>1419</v>
      </c>
      <c r="K1034" s="7">
        <v>44522.54981345353</v>
      </c>
      <c r="L1034" s="1"/>
    </row>
    <row r="1035" spans="1:12" hidden="1" x14ac:dyDescent="0.25">
      <c r="A1035" s="4">
        <v>248</v>
      </c>
      <c r="B1035" s="2" t="str">
        <f>HYPERLINK("https://my.zakupki.prom.ua/remote/dispatcher/state_purchase_view/30722018", "UA-2021-10-12-007914-b")</f>
        <v>UA-2021-10-12-007914-b</v>
      </c>
      <c r="C1035" s="1" t="s">
        <v>776</v>
      </c>
      <c r="D1035" s="1" t="s">
        <v>263</v>
      </c>
      <c r="E1035" s="1" t="s">
        <v>488</v>
      </c>
      <c r="F1035" s="5">
        <v>44481</v>
      </c>
      <c r="G1035" s="1" t="s">
        <v>1397</v>
      </c>
      <c r="H1035" s="6">
        <v>49990</v>
      </c>
      <c r="I1035" s="1" t="s">
        <v>486</v>
      </c>
      <c r="J1035" s="1" t="s">
        <v>1405</v>
      </c>
      <c r="K1035" s="7">
        <v>44481.59883390295</v>
      </c>
      <c r="L1035" s="6">
        <v>49990</v>
      </c>
    </row>
    <row r="1036" spans="1:12" hidden="1" x14ac:dyDescent="0.25">
      <c r="A1036" s="4">
        <v>249</v>
      </c>
      <c r="B1036" s="2" t="str">
        <f>HYPERLINK("https://my.zakupki.prom.ua/remote/dispatcher/state_purchase_view/28356574", "UA-2021-07-20-002538-b")</f>
        <v>UA-2021-07-20-002538-b</v>
      </c>
      <c r="C1036" s="1" t="s">
        <v>837</v>
      </c>
      <c r="D1036" s="1" t="s">
        <v>241</v>
      </c>
      <c r="E1036" s="1" t="s">
        <v>722</v>
      </c>
      <c r="F1036" s="5">
        <v>44397</v>
      </c>
      <c r="G1036" s="1" t="s">
        <v>1397</v>
      </c>
      <c r="H1036" s="6">
        <v>347238.55</v>
      </c>
      <c r="I1036" s="1" t="s">
        <v>1223</v>
      </c>
      <c r="J1036" s="1" t="s">
        <v>1405</v>
      </c>
      <c r="K1036" s="7">
        <v>44410.391679680564</v>
      </c>
      <c r="L1036" s="6">
        <v>347238.55</v>
      </c>
    </row>
    <row r="1037" spans="1:12" hidden="1" x14ac:dyDescent="0.25">
      <c r="A1037" s="4">
        <v>250</v>
      </c>
      <c r="B1037" s="2" t="str">
        <f>HYPERLINK("https://my.zakupki.prom.ua/remote/dispatcher/state_purchase_view/23115113", "UA-2021-01-21-002209-b")</f>
        <v>UA-2021-01-21-002209-b</v>
      </c>
      <c r="C1037" s="1" t="s">
        <v>683</v>
      </c>
      <c r="D1037" s="1" t="s">
        <v>217</v>
      </c>
      <c r="E1037" s="1" t="s">
        <v>488</v>
      </c>
      <c r="F1037" s="5">
        <v>44217</v>
      </c>
      <c r="G1037" s="1" t="s">
        <v>1397</v>
      </c>
      <c r="H1037" s="6">
        <v>306000</v>
      </c>
      <c r="I1037" s="1" t="s">
        <v>598</v>
      </c>
      <c r="J1037" s="1" t="s">
        <v>1405</v>
      </c>
      <c r="K1037" s="7">
        <v>44217.45476999064</v>
      </c>
      <c r="L1037" s="6">
        <v>306000</v>
      </c>
    </row>
    <row r="1038" spans="1:12" hidden="1" x14ac:dyDescent="0.25">
      <c r="A1038" s="4">
        <v>251</v>
      </c>
      <c r="B1038" s="2" t="str">
        <f>HYPERLINK("https://my.zakupki.prom.ua/remote/dispatcher/state_purchase_view/30210682", "UA-2021-09-24-006329-b")</f>
        <v>UA-2021-09-24-006329-b</v>
      </c>
      <c r="C1038" s="1" t="s">
        <v>781</v>
      </c>
      <c r="D1038" s="1" t="s">
        <v>231</v>
      </c>
      <c r="E1038" s="1" t="s">
        <v>488</v>
      </c>
      <c r="F1038" s="5">
        <v>44463</v>
      </c>
      <c r="G1038" s="1" t="s">
        <v>1397</v>
      </c>
      <c r="H1038" s="6">
        <v>46977</v>
      </c>
      <c r="I1038" s="1" t="s">
        <v>1234</v>
      </c>
      <c r="J1038" s="1" t="s">
        <v>1405</v>
      </c>
      <c r="K1038" s="7">
        <v>44463.549240100183</v>
      </c>
      <c r="L1038" s="6">
        <v>46977</v>
      </c>
    </row>
    <row r="1039" spans="1:12" hidden="1" x14ac:dyDescent="0.25">
      <c r="A1039" s="4">
        <v>252</v>
      </c>
      <c r="B1039" s="2" t="str">
        <f>HYPERLINK("https://my.zakupki.prom.ua/remote/dispatcher/state_purchase_view/23778178", "UA-2021-02-08-010758-a")</f>
        <v>UA-2021-02-08-010758-a</v>
      </c>
      <c r="C1039" s="1" t="s">
        <v>768</v>
      </c>
      <c r="D1039" s="1" t="s">
        <v>227</v>
      </c>
      <c r="E1039" s="1" t="s">
        <v>488</v>
      </c>
      <c r="F1039" s="5">
        <v>44235</v>
      </c>
      <c r="G1039" s="1" t="s">
        <v>1397</v>
      </c>
      <c r="H1039" s="6">
        <v>4800</v>
      </c>
      <c r="I1039" s="1" t="s">
        <v>1240</v>
      </c>
      <c r="J1039" s="1" t="s">
        <v>1405</v>
      </c>
      <c r="K1039" s="7">
        <v>44235.681960079586</v>
      </c>
      <c r="L1039" s="6">
        <v>4800</v>
      </c>
    </row>
    <row r="1040" spans="1:12" x14ac:dyDescent="0.25">
      <c r="A1040" s="4">
        <v>253</v>
      </c>
      <c r="B1040" s="2" t="str">
        <f>HYPERLINK("https://my.zakupki.prom.ua/remote/dispatcher/state_purchase_view/33042387", "UA-2021-12-14-004353-c")</f>
        <v>UA-2021-12-14-004353-c</v>
      </c>
      <c r="C1040" s="1" t="s">
        <v>474</v>
      </c>
      <c r="D1040" s="1" t="s">
        <v>36</v>
      </c>
      <c r="E1040" s="1" t="s">
        <v>390</v>
      </c>
      <c r="F1040" s="5">
        <v>44544</v>
      </c>
      <c r="G1040" s="7">
        <v>44561.662881944445</v>
      </c>
      <c r="H1040" s="6">
        <v>3735697.1</v>
      </c>
      <c r="I1040" s="1" t="s">
        <v>1206</v>
      </c>
      <c r="J1040" s="1" t="s">
        <v>1418</v>
      </c>
      <c r="K1040" s="1"/>
      <c r="L1040" s="6">
        <v>2778867.6</v>
      </c>
    </row>
    <row r="1041" spans="1:12" hidden="1" x14ac:dyDescent="0.25">
      <c r="A1041" s="4">
        <v>254</v>
      </c>
      <c r="B1041" s="2" t="str">
        <f>HYPERLINK("https://my.zakupki.prom.ua/remote/dispatcher/state_purchase_view/18721335", "UA-2020-08-21-002995-a")</f>
        <v>UA-2020-08-21-002995-a</v>
      </c>
      <c r="C1041" s="1" t="s">
        <v>751</v>
      </c>
      <c r="D1041" s="1" t="s">
        <v>237</v>
      </c>
      <c r="E1041" s="1" t="s">
        <v>488</v>
      </c>
      <c r="F1041" s="5">
        <v>44064</v>
      </c>
      <c r="G1041" s="1" t="s">
        <v>1397</v>
      </c>
      <c r="H1041" s="6">
        <v>60000</v>
      </c>
      <c r="I1041" s="1" t="s">
        <v>311</v>
      </c>
      <c r="J1041" s="1" t="s">
        <v>1405</v>
      </c>
      <c r="K1041" s="7">
        <v>44064.480550478904</v>
      </c>
      <c r="L1041" s="6">
        <v>60000</v>
      </c>
    </row>
    <row r="1042" spans="1:12" hidden="1" x14ac:dyDescent="0.25">
      <c r="A1042" s="4">
        <v>255</v>
      </c>
      <c r="B1042" s="2" t="str">
        <f>HYPERLINK("https://my.zakupki.prom.ua/remote/dispatcher/state_purchase_view/9076705", "UA-2018-11-28-001187-c")</f>
        <v>UA-2018-11-28-001187-c</v>
      </c>
      <c r="C1042" s="1" t="s">
        <v>475</v>
      </c>
      <c r="D1042" s="1" t="s">
        <v>36</v>
      </c>
      <c r="E1042" s="1" t="s">
        <v>390</v>
      </c>
      <c r="F1042" s="5">
        <v>43432</v>
      </c>
      <c r="G1042" s="1" t="s">
        <v>1398</v>
      </c>
      <c r="H1042" s="6">
        <v>966000</v>
      </c>
      <c r="I1042" s="1"/>
      <c r="J1042" s="1" t="s">
        <v>1406</v>
      </c>
      <c r="K1042" s="7">
        <v>43447.583821463493</v>
      </c>
      <c r="L1042" s="1"/>
    </row>
    <row r="1043" spans="1:12" hidden="1" x14ac:dyDescent="0.25">
      <c r="A1043" s="4">
        <v>256</v>
      </c>
      <c r="B1043" s="2" t="str">
        <f>HYPERLINK("https://my.zakupki.prom.ua/remote/dispatcher/state_purchase_view/11945937", "UA-2019-06-14-002414-b")</f>
        <v>UA-2019-06-14-002414-b</v>
      </c>
      <c r="C1043" s="1" t="s">
        <v>357</v>
      </c>
      <c r="D1043" s="1" t="s">
        <v>169</v>
      </c>
      <c r="E1043" s="1" t="s">
        <v>390</v>
      </c>
      <c r="F1043" s="5">
        <v>43630</v>
      </c>
      <c r="G1043" s="1" t="s">
        <v>1398</v>
      </c>
      <c r="H1043" s="6">
        <v>200000</v>
      </c>
      <c r="I1043" s="1" t="s">
        <v>1331</v>
      </c>
      <c r="J1043" s="1" t="s">
        <v>1419</v>
      </c>
      <c r="K1043" s="7">
        <v>43649.419956705635</v>
      </c>
      <c r="L1043" s="6">
        <v>197600</v>
      </c>
    </row>
    <row r="1044" spans="1:12" hidden="1" x14ac:dyDescent="0.25">
      <c r="A1044" s="4">
        <v>257</v>
      </c>
      <c r="B1044" s="2" t="str">
        <f>HYPERLINK("https://my.zakupki.prom.ua/remote/dispatcher/state_purchase_view/12434175", "UA-2019-08-05-001298-b")</f>
        <v>UA-2019-08-05-001298-b</v>
      </c>
      <c r="C1044" s="1" t="s">
        <v>901</v>
      </c>
      <c r="D1044" s="1" t="s">
        <v>221</v>
      </c>
      <c r="E1044" s="1" t="s">
        <v>470</v>
      </c>
      <c r="F1044" s="5">
        <v>43682</v>
      </c>
      <c r="G1044" s="7">
        <v>43690.585405092592</v>
      </c>
      <c r="H1044" s="6">
        <v>27000</v>
      </c>
      <c r="I1044" s="1" t="s">
        <v>1288</v>
      </c>
      <c r="J1044" s="1" t="s">
        <v>1405</v>
      </c>
      <c r="K1044" s="7">
        <v>43700.613320093471</v>
      </c>
      <c r="L1044" s="6">
        <v>25000</v>
      </c>
    </row>
    <row r="1045" spans="1:12" hidden="1" x14ac:dyDescent="0.25">
      <c r="A1045" s="4">
        <v>258</v>
      </c>
      <c r="B1045" s="2" t="str">
        <f>HYPERLINK("https://my.zakupki.prom.ua/remote/dispatcher/state_purchase_view/12623235", "UA-2019-08-22-001975-c")</f>
        <v>UA-2019-08-22-001975-c</v>
      </c>
      <c r="C1045" s="1" t="s">
        <v>627</v>
      </c>
      <c r="D1045" s="1" t="s">
        <v>170</v>
      </c>
      <c r="E1045" s="1" t="s">
        <v>390</v>
      </c>
      <c r="F1045" s="5">
        <v>43699</v>
      </c>
      <c r="G1045" s="7">
        <v>43718.594641203701</v>
      </c>
      <c r="H1045" s="6">
        <v>350000</v>
      </c>
      <c r="I1045" s="1" t="s">
        <v>1322</v>
      </c>
      <c r="J1045" s="1" t="s">
        <v>1405</v>
      </c>
      <c r="K1045" s="7">
        <v>43731.583186689226</v>
      </c>
      <c r="L1045" s="6">
        <v>349950</v>
      </c>
    </row>
    <row r="1046" spans="1:12" hidden="1" x14ac:dyDescent="0.25">
      <c r="A1046" s="4">
        <v>259</v>
      </c>
      <c r="B1046" s="2" t="str">
        <f>HYPERLINK("https://my.zakupki.prom.ua/remote/dispatcher/state_purchase_view/13356881", "UA-2019-10-29-001000-b")</f>
        <v>UA-2019-10-29-001000-b</v>
      </c>
      <c r="C1046" s="1" t="s">
        <v>1282</v>
      </c>
      <c r="D1046" s="1" t="s">
        <v>111</v>
      </c>
      <c r="E1046" s="1" t="s">
        <v>470</v>
      </c>
      <c r="F1046" s="5">
        <v>43767</v>
      </c>
      <c r="G1046" s="1" t="s">
        <v>1398</v>
      </c>
      <c r="H1046" s="6">
        <v>30600</v>
      </c>
      <c r="I1046" s="1" t="s">
        <v>1331</v>
      </c>
      <c r="J1046" s="1" t="s">
        <v>1405</v>
      </c>
      <c r="K1046" s="7">
        <v>43777.528660878343</v>
      </c>
      <c r="L1046" s="6">
        <v>30600</v>
      </c>
    </row>
    <row r="1047" spans="1:12" hidden="1" x14ac:dyDescent="0.25">
      <c r="A1047" s="4">
        <v>260</v>
      </c>
      <c r="B1047" s="2" t="str">
        <f>HYPERLINK("https://my.zakupki.prom.ua/remote/dispatcher/state_purchase_view/10588902", "UA-2019-02-15-001689-b")</f>
        <v>UA-2019-02-15-001689-b</v>
      </c>
      <c r="C1047" s="1" t="s">
        <v>359</v>
      </c>
      <c r="D1047" s="1" t="s">
        <v>38</v>
      </c>
      <c r="E1047" s="1" t="s">
        <v>488</v>
      </c>
      <c r="F1047" s="5">
        <v>43511</v>
      </c>
      <c r="G1047" s="1" t="s">
        <v>1397</v>
      </c>
      <c r="H1047" s="6">
        <v>17100</v>
      </c>
      <c r="I1047" s="1" t="s">
        <v>1357</v>
      </c>
      <c r="J1047" s="1" t="s">
        <v>1405</v>
      </c>
      <c r="K1047" s="7">
        <v>43511.605182312538</v>
      </c>
      <c r="L1047" s="6">
        <v>17100</v>
      </c>
    </row>
    <row r="1048" spans="1:12" hidden="1" x14ac:dyDescent="0.25">
      <c r="A1048" s="4">
        <v>261</v>
      </c>
      <c r="B1048" s="2" t="str">
        <f>HYPERLINK("https://my.zakupki.prom.ua/remote/dispatcher/state_purchase_view/13191362", "UA-2019-10-16-001497-b")</f>
        <v>UA-2019-10-16-001497-b</v>
      </c>
      <c r="C1048" s="1" t="s">
        <v>520</v>
      </c>
      <c r="D1048" s="1" t="s">
        <v>174</v>
      </c>
      <c r="E1048" s="1" t="s">
        <v>470</v>
      </c>
      <c r="F1048" s="5">
        <v>43754</v>
      </c>
      <c r="G1048" s="7">
        <v>43762.515763888892</v>
      </c>
      <c r="H1048" s="6">
        <v>14136</v>
      </c>
      <c r="I1048" s="1" t="s">
        <v>313</v>
      </c>
      <c r="J1048" s="1" t="s">
        <v>1405</v>
      </c>
      <c r="K1048" s="7">
        <v>43773.531137731225</v>
      </c>
      <c r="L1048" s="6">
        <v>13956</v>
      </c>
    </row>
    <row r="1049" spans="1:12" hidden="1" x14ac:dyDescent="0.25">
      <c r="A1049" s="4">
        <v>262</v>
      </c>
      <c r="B1049" s="2" t="str">
        <f>HYPERLINK("https://my.zakupki.prom.ua/remote/dispatcher/state_purchase_view/12168814", "UA-2019-07-09-000528-b")</f>
        <v>UA-2019-07-09-000528-b</v>
      </c>
      <c r="C1049" s="1" t="s">
        <v>602</v>
      </c>
      <c r="D1049" s="1" t="s">
        <v>170</v>
      </c>
      <c r="E1049" s="1" t="s">
        <v>390</v>
      </c>
      <c r="F1049" s="5">
        <v>43655</v>
      </c>
      <c r="G1049" s="7">
        <v>43671.656157407408</v>
      </c>
      <c r="H1049" s="6">
        <v>48000</v>
      </c>
      <c r="I1049" s="1" t="s">
        <v>1331</v>
      </c>
      <c r="J1049" s="1" t="s">
        <v>1405</v>
      </c>
      <c r="K1049" s="7">
        <v>43683.38778188685</v>
      </c>
      <c r="L1049" s="6">
        <v>47940</v>
      </c>
    </row>
    <row r="1050" spans="1:12" hidden="1" x14ac:dyDescent="0.25">
      <c r="A1050" s="4">
        <v>263</v>
      </c>
      <c r="B1050" s="2" t="str">
        <f>HYPERLINK("https://my.zakupki.prom.ua/remote/dispatcher/state_purchase_view/12973292", "UA-2019-09-25-001413-b")</f>
        <v>UA-2019-09-25-001413-b</v>
      </c>
      <c r="C1050" s="1" t="s">
        <v>996</v>
      </c>
      <c r="D1050" s="1" t="s">
        <v>220</v>
      </c>
      <c r="E1050" s="1" t="s">
        <v>488</v>
      </c>
      <c r="F1050" s="5">
        <v>43733</v>
      </c>
      <c r="G1050" s="1" t="s">
        <v>1397</v>
      </c>
      <c r="H1050" s="6">
        <v>360000</v>
      </c>
      <c r="I1050" s="1" t="s">
        <v>1360</v>
      </c>
      <c r="J1050" s="1" t="s">
        <v>1405</v>
      </c>
      <c r="K1050" s="7">
        <v>43733.589838263244</v>
      </c>
      <c r="L1050" s="6">
        <v>360000</v>
      </c>
    </row>
    <row r="1051" spans="1:12" hidden="1" x14ac:dyDescent="0.25">
      <c r="A1051" s="4">
        <v>264</v>
      </c>
      <c r="B1051" s="2" t="str">
        <f>HYPERLINK("https://my.zakupki.prom.ua/remote/dispatcher/state_purchase_view/19093934", "UA-2020-09-08-005465-b")</f>
        <v>UA-2020-09-08-005465-b</v>
      </c>
      <c r="C1051" s="1" t="s">
        <v>1001</v>
      </c>
      <c r="D1051" s="1" t="s">
        <v>192</v>
      </c>
      <c r="E1051" s="1" t="s">
        <v>1086</v>
      </c>
      <c r="F1051" s="5">
        <v>44082</v>
      </c>
      <c r="G1051" s="1" t="s">
        <v>1398</v>
      </c>
      <c r="H1051" s="6">
        <v>94124</v>
      </c>
      <c r="I1051" s="1" t="s">
        <v>1322</v>
      </c>
      <c r="J1051" s="1" t="s">
        <v>1405</v>
      </c>
      <c r="K1051" s="7">
        <v>44095.631015338324</v>
      </c>
      <c r="L1051" s="6">
        <v>94124</v>
      </c>
    </row>
    <row r="1052" spans="1:12" hidden="1" x14ac:dyDescent="0.25">
      <c r="A1052" s="4">
        <v>265</v>
      </c>
      <c r="B1052" s="2" t="str">
        <f>HYPERLINK("https://my.zakupki.prom.ua/remote/dispatcher/state_purchase_view/17362071", "UA-2020-06-19-001385-c")</f>
        <v>UA-2020-06-19-001385-c</v>
      </c>
      <c r="C1052" s="1" t="s">
        <v>415</v>
      </c>
      <c r="D1052" s="1" t="s">
        <v>166</v>
      </c>
      <c r="E1052" s="1" t="s">
        <v>470</v>
      </c>
      <c r="F1052" s="5">
        <v>44001</v>
      </c>
      <c r="G1052" s="7">
        <v>44014.459467592591</v>
      </c>
      <c r="H1052" s="6">
        <v>7538</v>
      </c>
      <c r="I1052" s="1" t="s">
        <v>1307</v>
      </c>
      <c r="J1052" s="1" t="s">
        <v>1405</v>
      </c>
      <c r="K1052" s="7">
        <v>44019.569726973103</v>
      </c>
      <c r="L1052" s="6">
        <v>7290</v>
      </c>
    </row>
    <row r="1053" spans="1:12" hidden="1" x14ac:dyDescent="0.25">
      <c r="A1053" s="4">
        <v>266</v>
      </c>
      <c r="B1053" s="2" t="str">
        <f>HYPERLINK("https://my.zakupki.prom.ua/remote/dispatcher/state_purchase_view/19103614", "UA-2020-09-08-008098-b")</f>
        <v>UA-2020-09-08-008098-b</v>
      </c>
      <c r="C1053" s="1" t="s">
        <v>950</v>
      </c>
      <c r="D1053" s="1" t="s">
        <v>188</v>
      </c>
      <c r="E1053" s="1" t="s">
        <v>1086</v>
      </c>
      <c r="F1053" s="5">
        <v>44082</v>
      </c>
      <c r="G1053" s="1" t="s">
        <v>1398</v>
      </c>
      <c r="H1053" s="6">
        <v>198980</v>
      </c>
      <c r="I1053" s="1" t="s">
        <v>1322</v>
      </c>
      <c r="J1053" s="1" t="s">
        <v>1405</v>
      </c>
      <c r="K1053" s="7">
        <v>44106.776945538011</v>
      </c>
      <c r="L1053" s="6">
        <v>198979.08</v>
      </c>
    </row>
    <row r="1054" spans="1:12" hidden="1" x14ac:dyDescent="0.25">
      <c r="A1054" s="4">
        <v>267</v>
      </c>
      <c r="B1054" s="2" t="str">
        <f>HYPERLINK("https://my.zakupki.prom.ua/remote/dispatcher/state_purchase_view/15758237", "UA-2020-03-13-002853-b")</f>
        <v>UA-2020-03-13-002853-b</v>
      </c>
      <c r="C1054" s="1" t="s">
        <v>308</v>
      </c>
      <c r="D1054" s="1" t="s">
        <v>176</v>
      </c>
      <c r="E1054" s="1" t="s">
        <v>470</v>
      </c>
      <c r="F1054" s="5">
        <v>43903</v>
      </c>
      <c r="G1054" s="7">
        <v>43913.615833333337</v>
      </c>
      <c r="H1054" s="6">
        <v>14000</v>
      </c>
      <c r="I1054" s="1" t="s">
        <v>1137</v>
      </c>
      <c r="J1054" s="1" t="s">
        <v>1405</v>
      </c>
      <c r="K1054" s="7">
        <v>43926.503579794189</v>
      </c>
      <c r="L1054" s="6">
        <v>13557.7</v>
      </c>
    </row>
    <row r="1055" spans="1:12" hidden="1" x14ac:dyDescent="0.25">
      <c r="A1055" s="4">
        <v>268</v>
      </c>
      <c r="B1055" s="2" t="str">
        <f>HYPERLINK("https://my.zakupki.prom.ua/remote/dispatcher/state_purchase_view/15806879", "UA-2020-03-17-002372-b")</f>
        <v>UA-2020-03-17-002372-b</v>
      </c>
      <c r="C1055" s="1" t="s">
        <v>359</v>
      </c>
      <c r="D1055" s="1" t="s">
        <v>37</v>
      </c>
      <c r="E1055" s="1" t="s">
        <v>470</v>
      </c>
      <c r="F1055" s="5">
        <v>43907</v>
      </c>
      <c r="G1055" s="1" t="s">
        <v>1398</v>
      </c>
      <c r="H1055" s="6">
        <v>50000</v>
      </c>
      <c r="I1055" s="1" t="s">
        <v>1143</v>
      </c>
      <c r="J1055" s="1" t="s">
        <v>1405</v>
      </c>
      <c r="K1055" s="7">
        <v>43922.572785967874</v>
      </c>
      <c r="L1055" s="6">
        <v>50000</v>
      </c>
    </row>
    <row r="1056" spans="1:12" hidden="1" x14ac:dyDescent="0.25">
      <c r="A1056" s="4">
        <v>269</v>
      </c>
      <c r="B1056" s="2" t="str">
        <f>HYPERLINK("https://my.zakupki.prom.ua/remote/dispatcher/state_purchase_view/15775892", "UA-2020-03-16-001332-b")</f>
        <v>UA-2020-03-16-001332-b</v>
      </c>
      <c r="C1056" s="1" t="s">
        <v>469</v>
      </c>
      <c r="D1056" s="1" t="s">
        <v>72</v>
      </c>
      <c r="E1056" s="1" t="s">
        <v>470</v>
      </c>
      <c r="F1056" s="5">
        <v>43906</v>
      </c>
      <c r="G1056" s="7">
        <v>43914.581655092596</v>
      </c>
      <c r="H1056" s="6">
        <v>20000</v>
      </c>
      <c r="I1056" s="1" t="s">
        <v>1244</v>
      </c>
      <c r="J1056" s="1" t="s">
        <v>1405</v>
      </c>
      <c r="K1056" s="7">
        <v>43922.430651362614</v>
      </c>
      <c r="L1056" s="6">
        <v>18092</v>
      </c>
    </row>
    <row r="1057" spans="1:12" hidden="1" x14ac:dyDescent="0.25">
      <c r="A1057" s="4">
        <v>270</v>
      </c>
      <c r="B1057" s="2" t="str">
        <f>HYPERLINK("https://my.zakupki.prom.ua/remote/dispatcher/state_purchase_view/24239363", "UA-2021-02-22-002495-b")</f>
        <v>UA-2021-02-22-002495-b</v>
      </c>
      <c r="C1057" s="1" t="s">
        <v>287</v>
      </c>
      <c r="D1057" s="1" t="s">
        <v>122</v>
      </c>
      <c r="E1057" s="1" t="s">
        <v>1086</v>
      </c>
      <c r="F1057" s="5">
        <v>44249</v>
      </c>
      <c r="G1057" s="1" t="s">
        <v>1398</v>
      </c>
      <c r="H1057" s="6">
        <v>53820</v>
      </c>
      <c r="I1057" s="1"/>
      <c r="J1057" s="1" t="s">
        <v>1419</v>
      </c>
      <c r="K1057" s="7">
        <v>44249.538082039442</v>
      </c>
      <c r="L1057" s="1"/>
    </row>
    <row r="1058" spans="1:12" hidden="1" x14ac:dyDescent="0.25">
      <c r="A1058" s="4">
        <v>271</v>
      </c>
      <c r="B1058" s="2" t="str">
        <f>HYPERLINK("https://my.zakupki.prom.ua/remote/dispatcher/state_purchase_view/24235621", "UA-2021-02-22-001086-b")</f>
        <v>UA-2021-02-22-001086-b</v>
      </c>
      <c r="C1058" s="1" t="s">
        <v>491</v>
      </c>
      <c r="D1058" s="1" t="s">
        <v>47</v>
      </c>
      <c r="E1058" s="1" t="s">
        <v>1086</v>
      </c>
      <c r="F1058" s="5">
        <v>44249</v>
      </c>
      <c r="G1058" s="1" t="s">
        <v>1398</v>
      </c>
      <c r="H1058" s="6">
        <v>85159</v>
      </c>
      <c r="I1058" s="1" t="s">
        <v>449</v>
      </c>
      <c r="J1058" s="1" t="s">
        <v>1405</v>
      </c>
      <c r="K1058" s="7">
        <v>44267.404827399725</v>
      </c>
      <c r="L1058" s="6">
        <v>85159</v>
      </c>
    </row>
    <row r="1059" spans="1:12" hidden="1" x14ac:dyDescent="0.25">
      <c r="A1059" s="4">
        <v>272</v>
      </c>
      <c r="B1059" s="2" t="str">
        <f>HYPERLINK("https://my.zakupki.prom.ua/remote/dispatcher/state_purchase_view/22899687", "UA-2021-01-11-002723-a")</f>
        <v>UA-2021-01-11-002723-a</v>
      </c>
      <c r="C1059" s="1" t="s">
        <v>837</v>
      </c>
      <c r="D1059" s="1" t="s">
        <v>241</v>
      </c>
      <c r="E1059" s="1" t="s">
        <v>723</v>
      </c>
      <c r="F1059" s="5">
        <v>44207</v>
      </c>
      <c r="G1059" s="1" t="s">
        <v>1397</v>
      </c>
      <c r="H1059" s="6">
        <v>892934.49</v>
      </c>
      <c r="I1059" s="1" t="s">
        <v>1224</v>
      </c>
      <c r="J1059" s="1" t="s">
        <v>1405</v>
      </c>
      <c r="K1059" s="7">
        <v>44214.412660963244</v>
      </c>
      <c r="L1059" s="6">
        <v>892934.49</v>
      </c>
    </row>
    <row r="1060" spans="1:12" hidden="1" x14ac:dyDescent="0.25">
      <c r="A1060" s="4">
        <v>273</v>
      </c>
      <c r="B1060" s="2" t="str">
        <f>HYPERLINK("https://my.zakupki.prom.ua/remote/dispatcher/state_purchase_view/23820305", "UA-2021-02-09-008825-a")</f>
        <v>UA-2021-02-09-008825-a</v>
      </c>
      <c r="C1060" s="1" t="s">
        <v>609</v>
      </c>
      <c r="D1060" s="1" t="s">
        <v>35</v>
      </c>
      <c r="E1060" s="1" t="s">
        <v>1086</v>
      </c>
      <c r="F1060" s="5">
        <v>44236</v>
      </c>
      <c r="G1060" s="7">
        <v>44250.533368055556</v>
      </c>
      <c r="H1060" s="6">
        <v>75390</v>
      </c>
      <c r="I1060" s="1" t="s">
        <v>1254</v>
      </c>
      <c r="J1060" s="1" t="s">
        <v>1405</v>
      </c>
      <c r="K1060" s="7">
        <v>44256.547647716667</v>
      </c>
      <c r="L1060" s="6">
        <v>49938</v>
      </c>
    </row>
    <row r="1061" spans="1:12" hidden="1" x14ac:dyDescent="0.25">
      <c r="A1061" s="4">
        <v>274</v>
      </c>
      <c r="B1061" s="2" t="str">
        <f>HYPERLINK("https://my.zakupki.prom.ua/remote/dispatcher/state_purchase_view/29282018", "UA-2021-08-28-007695-a")</f>
        <v>UA-2021-08-28-007695-a</v>
      </c>
      <c r="C1061" s="1" t="s">
        <v>1003</v>
      </c>
      <c r="D1061" s="1" t="s">
        <v>226</v>
      </c>
      <c r="E1061" s="1" t="s">
        <v>1086</v>
      </c>
      <c r="F1061" s="5">
        <v>44436</v>
      </c>
      <c r="G1061" s="7">
        <v>44448.582962962966</v>
      </c>
      <c r="H1061" s="6">
        <v>1498573.7</v>
      </c>
      <c r="I1061" s="1"/>
      <c r="J1061" s="1" t="s">
        <v>1406</v>
      </c>
      <c r="K1061" s="7">
        <v>44457.001545827683</v>
      </c>
      <c r="L1061" s="1"/>
    </row>
    <row r="1062" spans="1:12" hidden="1" x14ac:dyDescent="0.25">
      <c r="A1062" s="4">
        <v>275</v>
      </c>
      <c r="B1062" s="2" t="str">
        <f>HYPERLINK("https://my.zakupki.prom.ua/remote/dispatcher/state_purchase_view/28377885", "UA-2021-07-20-009362-b")</f>
        <v>UA-2021-07-20-009362-b</v>
      </c>
      <c r="C1062" s="1" t="s">
        <v>405</v>
      </c>
      <c r="D1062" s="1" t="s">
        <v>166</v>
      </c>
      <c r="E1062" s="1" t="s">
        <v>1086</v>
      </c>
      <c r="F1062" s="5">
        <v>44397</v>
      </c>
      <c r="G1062" s="1" t="s">
        <v>1398</v>
      </c>
      <c r="H1062" s="6">
        <v>13000</v>
      </c>
      <c r="I1062" s="1"/>
      <c r="J1062" s="1" t="s">
        <v>1406</v>
      </c>
      <c r="K1062" s="7">
        <v>44406.000378487348</v>
      </c>
      <c r="L1062" s="1"/>
    </row>
    <row r="1063" spans="1:12" hidden="1" x14ac:dyDescent="0.25">
      <c r="A1063" s="4">
        <v>276</v>
      </c>
      <c r="B1063" s="2" t="str">
        <f>HYPERLINK("https://my.zakupki.prom.ua/remote/dispatcher/state_purchase_view/29088144", "UA-2021-08-17-005799-a")</f>
        <v>UA-2021-08-17-005799-a</v>
      </c>
      <c r="C1063" s="1" t="s">
        <v>922</v>
      </c>
      <c r="D1063" s="1" t="s">
        <v>204</v>
      </c>
      <c r="E1063" s="1" t="s">
        <v>488</v>
      </c>
      <c r="F1063" s="5">
        <v>44425</v>
      </c>
      <c r="G1063" s="1" t="s">
        <v>1397</v>
      </c>
      <c r="H1063" s="6">
        <v>1076.3</v>
      </c>
      <c r="I1063" s="1" t="s">
        <v>703</v>
      </c>
      <c r="J1063" s="1" t="s">
        <v>1405</v>
      </c>
      <c r="K1063" s="7">
        <v>44425.562885472107</v>
      </c>
      <c r="L1063" s="6">
        <v>1076.3</v>
      </c>
    </row>
    <row r="1064" spans="1:12" hidden="1" x14ac:dyDescent="0.25">
      <c r="A1064" s="4">
        <v>277</v>
      </c>
      <c r="B1064" s="2" t="str">
        <f>HYPERLINK("https://my.zakupki.prom.ua/remote/dispatcher/state_purchase_view/25511538", "UA-2021-04-05-001451-a")</f>
        <v>UA-2021-04-05-001451-a</v>
      </c>
      <c r="C1064" s="1" t="s">
        <v>497</v>
      </c>
      <c r="D1064" s="1" t="s">
        <v>101</v>
      </c>
      <c r="E1064" s="1" t="s">
        <v>470</v>
      </c>
      <c r="F1064" s="5">
        <v>44291</v>
      </c>
      <c r="G1064" s="1" t="s">
        <v>1398</v>
      </c>
      <c r="H1064" s="6">
        <v>4260</v>
      </c>
      <c r="I1064" s="1"/>
      <c r="J1064" s="1" t="s">
        <v>1406</v>
      </c>
      <c r="K1064" s="7">
        <v>44300.459019870315</v>
      </c>
      <c r="L1064" s="1"/>
    </row>
    <row r="1065" spans="1:12" hidden="1" x14ac:dyDescent="0.25">
      <c r="A1065" s="4">
        <v>278</v>
      </c>
      <c r="B1065" s="2" t="str">
        <f>HYPERLINK("https://my.zakupki.prom.ua/remote/dispatcher/state_purchase_view/25960946", "UA-2021-04-20-006193-a")</f>
        <v>UA-2021-04-20-006193-a</v>
      </c>
      <c r="C1065" s="1" t="s">
        <v>316</v>
      </c>
      <c r="D1065" s="1" t="s">
        <v>220</v>
      </c>
      <c r="E1065" s="1" t="s">
        <v>488</v>
      </c>
      <c r="F1065" s="5">
        <v>44306</v>
      </c>
      <c r="G1065" s="1" t="s">
        <v>1397</v>
      </c>
      <c r="H1065" s="6">
        <v>49950</v>
      </c>
      <c r="I1065" s="1" t="s">
        <v>1232</v>
      </c>
      <c r="J1065" s="1" t="s">
        <v>1405</v>
      </c>
      <c r="K1065" s="7">
        <v>44306.539148385775</v>
      </c>
      <c r="L1065" s="6">
        <v>49950</v>
      </c>
    </row>
    <row r="1066" spans="1:12" hidden="1" x14ac:dyDescent="0.25">
      <c r="A1066" s="4">
        <v>279</v>
      </c>
      <c r="B1066" s="2" t="str">
        <f>HYPERLINK("https://my.zakupki.prom.ua/remote/dispatcher/state_purchase_view/31286105", "UA-2021-11-01-005423-a")</f>
        <v>UA-2021-11-01-005423-a</v>
      </c>
      <c r="C1066" s="1" t="s">
        <v>352</v>
      </c>
      <c r="D1066" s="1" t="s">
        <v>32</v>
      </c>
      <c r="E1066" s="1" t="s">
        <v>488</v>
      </c>
      <c r="F1066" s="5">
        <v>44501</v>
      </c>
      <c r="G1066" s="1" t="s">
        <v>1397</v>
      </c>
      <c r="H1066" s="6">
        <v>72300</v>
      </c>
      <c r="I1066" s="1" t="s">
        <v>1212</v>
      </c>
      <c r="J1066" s="1" t="s">
        <v>1405</v>
      </c>
      <c r="K1066" s="7">
        <v>44501.527612021055</v>
      </c>
      <c r="L1066" s="6">
        <v>72300</v>
      </c>
    </row>
    <row r="1067" spans="1:12" hidden="1" x14ac:dyDescent="0.25">
      <c r="A1067" s="4">
        <v>280</v>
      </c>
      <c r="B1067" s="2" t="str">
        <f>HYPERLINK("https://my.zakupki.prom.ua/remote/dispatcher/state_purchase_view/31383848", "UA-2021-11-03-008860-a")</f>
        <v>UA-2021-11-03-008860-a</v>
      </c>
      <c r="C1067" s="1" t="s">
        <v>978</v>
      </c>
      <c r="D1067" s="1" t="s">
        <v>220</v>
      </c>
      <c r="E1067" s="1" t="s">
        <v>1086</v>
      </c>
      <c r="F1067" s="5">
        <v>44503</v>
      </c>
      <c r="G1067" s="1" t="s">
        <v>1398</v>
      </c>
      <c r="H1067" s="6">
        <v>750000</v>
      </c>
      <c r="I1067" s="1" t="s">
        <v>1324</v>
      </c>
      <c r="J1067" s="1" t="s">
        <v>1405</v>
      </c>
      <c r="K1067" s="7">
        <v>44519.446290176907</v>
      </c>
      <c r="L1067" s="6">
        <v>737817.66</v>
      </c>
    </row>
    <row r="1068" spans="1:12" hidden="1" x14ac:dyDescent="0.25">
      <c r="A1068" s="4">
        <v>281</v>
      </c>
      <c r="B1068" s="2" t="str">
        <f>HYPERLINK("https://my.zakupki.prom.ua/remote/dispatcher/state_purchase_view/31619031", "UA-2021-11-10-005202-a")</f>
        <v>UA-2021-11-10-005202-a</v>
      </c>
      <c r="C1068" s="1" t="s">
        <v>976</v>
      </c>
      <c r="D1068" s="1" t="s">
        <v>151</v>
      </c>
      <c r="E1068" s="1" t="s">
        <v>488</v>
      </c>
      <c r="F1068" s="5">
        <v>44510</v>
      </c>
      <c r="G1068" s="1" t="s">
        <v>1397</v>
      </c>
      <c r="H1068" s="6">
        <v>6930</v>
      </c>
      <c r="I1068" s="1" t="s">
        <v>1309</v>
      </c>
      <c r="J1068" s="1" t="s">
        <v>1405</v>
      </c>
      <c r="K1068" s="7">
        <v>44516.380440737419</v>
      </c>
      <c r="L1068" s="6">
        <v>6930</v>
      </c>
    </row>
    <row r="1069" spans="1:12" hidden="1" x14ac:dyDescent="0.25">
      <c r="A1069" s="4">
        <v>282</v>
      </c>
      <c r="B1069" s="2" t="str">
        <f>HYPERLINK("https://my.zakupki.prom.ua/remote/dispatcher/state_purchase_view/31942984", "UA-2021-11-18-007049-a")</f>
        <v>UA-2021-11-18-007049-a</v>
      </c>
      <c r="C1069" s="1" t="s">
        <v>485</v>
      </c>
      <c r="D1069" s="1" t="s">
        <v>182</v>
      </c>
      <c r="E1069" s="1" t="s">
        <v>488</v>
      </c>
      <c r="F1069" s="5">
        <v>44518</v>
      </c>
      <c r="G1069" s="1" t="s">
        <v>1397</v>
      </c>
      <c r="H1069" s="6">
        <v>1612.08</v>
      </c>
      <c r="I1069" s="1" t="s">
        <v>1205</v>
      </c>
      <c r="J1069" s="1" t="s">
        <v>1405</v>
      </c>
      <c r="K1069" s="7">
        <v>44518.553497958128</v>
      </c>
      <c r="L1069" s="6">
        <v>1612.08</v>
      </c>
    </row>
    <row r="1070" spans="1:12" hidden="1" x14ac:dyDescent="0.25">
      <c r="A1070" s="4">
        <v>283</v>
      </c>
      <c r="B1070" s="2" t="str">
        <f>HYPERLINK("https://my.zakupki.prom.ua/remote/dispatcher/state_purchase_view/32319993", "UA-2021-11-29-001834-c")</f>
        <v>UA-2021-11-29-001834-c</v>
      </c>
      <c r="C1070" s="1" t="s">
        <v>1073</v>
      </c>
      <c r="D1070" s="1" t="s">
        <v>159</v>
      </c>
      <c r="E1070" s="1" t="s">
        <v>470</v>
      </c>
      <c r="F1070" s="5">
        <v>44529</v>
      </c>
      <c r="G1070" s="1" t="s">
        <v>1398</v>
      </c>
      <c r="H1070" s="6">
        <v>28377</v>
      </c>
      <c r="I1070" s="1"/>
      <c r="J1070" s="1" t="s">
        <v>1406</v>
      </c>
      <c r="K1070" s="7">
        <v>44541.00283745028</v>
      </c>
      <c r="L1070" s="1"/>
    </row>
    <row r="1071" spans="1:12" hidden="1" x14ac:dyDescent="0.25">
      <c r="A1071" s="4">
        <v>284</v>
      </c>
      <c r="B1071" s="2" t="str">
        <f>HYPERLINK("https://my.zakupki.prom.ua/remote/dispatcher/state_purchase_view/22465766", "UA-2020-12-21-014346-c")</f>
        <v>UA-2020-12-21-014346-c</v>
      </c>
      <c r="C1071" s="1" t="s">
        <v>849</v>
      </c>
      <c r="D1071" s="1" t="s">
        <v>255</v>
      </c>
      <c r="E1071" s="1" t="s">
        <v>1086</v>
      </c>
      <c r="F1071" s="5">
        <v>44186</v>
      </c>
      <c r="G1071" s="1" t="s">
        <v>1398</v>
      </c>
      <c r="H1071" s="6">
        <v>198660</v>
      </c>
      <c r="I1071" s="1" t="s">
        <v>1178</v>
      </c>
      <c r="J1071" s="1" t="s">
        <v>1405</v>
      </c>
      <c r="K1071" s="7">
        <v>44216.493053186161</v>
      </c>
      <c r="L1071" s="6">
        <v>198660</v>
      </c>
    </row>
    <row r="1072" spans="1:12" hidden="1" x14ac:dyDescent="0.25">
      <c r="A1072" s="4">
        <v>285</v>
      </c>
      <c r="B1072" s="2" t="str">
        <f>HYPERLINK("https://my.zakupki.prom.ua/remote/dispatcher/state_purchase_view/33833167", "UA-2021-12-29-005007-c")</f>
        <v>UA-2021-12-29-005007-c</v>
      </c>
      <c r="C1072" s="1" t="s">
        <v>1407</v>
      </c>
      <c r="D1072" s="1" t="s">
        <v>159</v>
      </c>
      <c r="E1072" s="1" t="s">
        <v>488</v>
      </c>
      <c r="F1072" s="5">
        <v>44559</v>
      </c>
      <c r="G1072" s="1" t="s">
        <v>1397</v>
      </c>
      <c r="H1072" s="6">
        <v>28377</v>
      </c>
      <c r="I1072" s="1" t="s">
        <v>393</v>
      </c>
      <c r="J1072" s="1" t="s">
        <v>1405</v>
      </c>
      <c r="K1072" s="7">
        <v>44559.51063292507</v>
      </c>
      <c r="L1072" s="6">
        <v>28377</v>
      </c>
    </row>
    <row r="1073" spans="1:12" hidden="1" x14ac:dyDescent="0.25">
      <c r="A1073" s="4">
        <v>286</v>
      </c>
      <c r="B1073" s="2" t="str">
        <f>HYPERLINK("https://my.zakupki.prom.ua/remote/dispatcher/state_purchase_view/33939029", "UA-2022-01-05-000633-c")</f>
        <v>UA-2022-01-05-000633-c</v>
      </c>
      <c r="C1073" s="1" t="s">
        <v>788</v>
      </c>
      <c r="D1073" s="1" t="s">
        <v>235</v>
      </c>
      <c r="E1073" s="1" t="s">
        <v>722</v>
      </c>
      <c r="F1073" s="5">
        <v>44566</v>
      </c>
      <c r="G1073" s="1" t="s">
        <v>1397</v>
      </c>
      <c r="H1073" s="6">
        <v>424586.32</v>
      </c>
      <c r="I1073" s="1" t="s">
        <v>1198</v>
      </c>
      <c r="J1073" s="1" t="s">
        <v>1405</v>
      </c>
      <c r="K1073" s="7">
        <v>44578.467628653576</v>
      </c>
      <c r="L1073" s="6">
        <v>424586.32</v>
      </c>
    </row>
    <row r="1074" spans="1:12" hidden="1" x14ac:dyDescent="0.25">
      <c r="A1074" s="4">
        <v>287</v>
      </c>
      <c r="B1074" s="2" t="str">
        <f>HYPERLINK("https://my.zakupki.prom.ua/remote/dispatcher/state_purchase_view/31619029", "UA-2021-11-10-005200-a")</f>
        <v>UA-2021-11-10-005200-a</v>
      </c>
      <c r="C1074" s="1" t="s">
        <v>720</v>
      </c>
      <c r="D1074" s="1" t="s">
        <v>103</v>
      </c>
      <c r="E1074" s="1" t="s">
        <v>488</v>
      </c>
      <c r="F1074" s="5">
        <v>44510</v>
      </c>
      <c r="G1074" s="1" t="s">
        <v>1397</v>
      </c>
      <c r="H1074" s="6">
        <v>6195</v>
      </c>
      <c r="I1074" s="1" t="s">
        <v>1309</v>
      </c>
      <c r="J1074" s="1" t="s">
        <v>1405</v>
      </c>
      <c r="K1074" s="7">
        <v>44516.381624046866</v>
      </c>
      <c r="L1074" s="6">
        <v>6195</v>
      </c>
    </row>
    <row r="1075" spans="1:12" hidden="1" x14ac:dyDescent="0.25">
      <c r="A1075" s="4">
        <v>288</v>
      </c>
      <c r="B1075" s="2" t="str">
        <f>HYPERLINK("https://my.zakupki.prom.ua/remote/dispatcher/state_purchase_view/30994713", "UA-2021-10-22-005543-b")</f>
        <v>UA-2021-10-22-005543-b</v>
      </c>
      <c r="C1075" s="1" t="s">
        <v>955</v>
      </c>
      <c r="D1075" s="1" t="s">
        <v>199</v>
      </c>
      <c r="E1075" s="1" t="s">
        <v>1086</v>
      </c>
      <c r="F1075" s="5">
        <v>44491</v>
      </c>
      <c r="G1075" s="1" t="s">
        <v>1398</v>
      </c>
      <c r="H1075" s="6">
        <v>107430</v>
      </c>
      <c r="I1075" s="1" t="s">
        <v>1340</v>
      </c>
      <c r="J1075" s="1" t="s">
        <v>1405</v>
      </c>
      <c r="K1075" s="7">
        <v>44505.41576891586</v>
      </c>
      <c r="L1075" s="6">
        <v>102300</v>
      </c>
    </row>
    <row r="1076" spans="1:12" hidden="1" x14ac:dyDescent="0.25">
      <c r="A1076" s="4">
        <v>289</v>
      </c>
      <c r="B1076" s="2" t="str">
        <f>HYPERLINK("https://my.zakupki.prom.ua/remote/dispatcher/state_purchase_view/30941894", "UA-2021-10-21-002114-b")</f>
        <v>UA-2021-10-21-002114-b</v>
      </c>
      <c r="C1076" s="1" t="s">
        <v>1053</v>
      </c>
      <c r="D1076" s="1" t="s">
        <v>40</v>
      </c>
      <c r="E1076" s="1" t="s">
        <v>390</v>
      </c>
      <c r="F1076" s="5">
        <v>44490</v>
      </c>
      <c r="G1076" s="1" t="s">
        <v>1398</v>
      </c>
      <c r="H1076" s="6">
        <v>686964</v>
      </c>
      <c r="I1076" s="1"/>
      <c r="J1076" s="1" t="s">
        <v>1406</v>
      </c>
      <c r="K1076" s="7">
        <v>44506.465417170519</v>
      </c>
      <c r="L1076" s="1"/>
    </row>
    <row r="1077" spans="1:12" hidden="1" x14ac:dyDescent="0.25">
      <c r="A1077" s="4">
        <v>290</v>
      </c>
      <c r="B1077" s="2" t="str">
        <f>HYPERLINK("https://my.zakupki.prom.ua/remote/dispatcher/state_purchase_view/24290690", "UA-2021-02-23-003351-b")</f>
        <v>UA-2021-02-23-003351-b</v>
      </c>
      <c r="C1077" s="1" t="s">
        <v>417</v>
      </c>
      <c r="D1077" s="1" t="s">
        <v>144</v>
      </c>
      <c r="E1077" s="1" t="s">
        <v>470</v>
      </c>
      <c r="F1077" s="5">
        <v>44250</v>
      </c>
      <c r="G1077" s="1" t="s">
        <v>1398</v>
      </c>
      <c r="H1077" s="6">
        <v>11400</v>
      </c>
      <c r="I1077" s="1" t="s">
        <v>1336</v>
      </c>
      <c r="J1077" s="1" t="s">
        <v>1405</v>
      </c>
      <c r="K1077" s="7">
        <v>44265.406403966525</v>
      </c>
      <c r="L1077" s="6">
        <v>10904.35</v>
      </c>
    </row>
    <row r="1078" spans="1:12" hidden="1" x14ac:dyDescent="0.25">
      <c r="A1078" s="4">
        <v>291</v>
      </c>
      <c r="B1078" s="2" t="str">
        <f>HYPERLINK("https://my.zakupki.prom.ua/remote/dispatcher/state_purchase_view/24291093", "UA-2021-02-23-003505-b")</f>
        <v>UA-2021-02-23-003505-b</v>
      </c>
      <c r="C1078" s="1" t="s">
        <v>415</v>
      </c>
      <c r="D1078" s="1" t="s">
        <v>181</v>
      </c>
      <c r="E1078" s="1" t="s">
        <v>470</v>
      </c>
      <c r="F1078" s="5">
        <v>44250</v>
      </c>
      <c r="G1078" s="1" t="s">
        <v>1398</v>
      </c>
      <c r="H1078" s="6">
        <v>7410</v>
      </c>
      <c r="I1078" s="1" t="s">
        <v>1329</v>
      </c>
      <c r="J1078" s="1" t="s">
        <v>1405</v>
      </c>
      <c r="K1078" s="7">
        <v>44265.404376009086</v>
      </c>
      <c r="L1078" s="6">
        <v>7110</v>
      </c>
    </row>
    <row r="1079" spans="1:12" hidden="1" x14ac:dyDescent="0.25">
      <c r="A1079" s="4">
        <v>292</v>
      </c>
      <c r="B1079" s="2" t="str">
        <f>HYPERLINK("https://my.zakupki.prom.ua/remote/dispatcher/state_purchase_view/23442824", "UA-2021-01-29-007938-b")</f>
        <v>UA-2021-01-29-007938-b</v>
      </c>
      <c r="C1079" s="1" t="s">
        <v>905</v>
      </c>
      <c r="D1079" s="1" t="s">
        <v>245</v>
      </c>
      <c r="E1079" s="1" t="s">
        <v>390</v>
      </c>
      <c r="F1079" s="5">
        <v>44225</v>
      </c>
      <c r="G1079" s="1" t="s">
        <v>1398</v>
      </c>
      <c r="H1079" s="6">
        <v>300000</v>
      </c>
      <c r="I1079" s="1"/>
      <c r="J1079" s="1" t="s">
        <v>1406</v>
      </c>
      <c r="K1079" s="7">
        <v>44241.606779837566</v>
      </c>
      <c r="L1079" s="1"/>
    </row>
    <row r="1080" spans="1:12" hidden="1" x14ac:dyDescent="0.25">
      <c r="A1080" s="4">
        <v>293</v>
      </c>
      <c r="B1080" s="2" t="str">
        <f>HYPERLINK("https://my.zakupki.prom.ua/remote/dispatcher/state_purchase_view/23045136", "UA-2021-01-19-001276-a")</f>
        <v>UA-2021-01-19-001276-a</v>
      </c>
      <c r="C1080" s="1" t="s">
        <v>351</v>
      </c>
      <c r="D1080" s="1" t="s">
        <v>32</v>
      </c>
      <c r="E1080" s="1" t="s">
        <v>1086</v>
      </c>
      <c r="F1080" s="5">
        <v>44215</v>
      </c>
      <c r="G1080" s="7">
        <v>44225.606851851851</v>
      </c>
      <c r="H1080" s="6">
        <v>151800</v>
      </c>
      <c r="I1080" s="1" t="s">
        <v>1212</v>
      </c>
      <c r="J1080" s="1" t="s">
        <v>1405</v>
      </c>
      <c r="K1080" s="7">
        <v>44238.550883637196</v>
      </c>
      <c r="L1080" s="6">
        <v>141900</v>
      </c>
    </row>
    <row r="1081" spans="1:12" hidden="1" x14ac:dyDescent="0.25">
      <c r="A1081" s="4">
        <v>294</v>
      </c>
      <c r="B1081" s="2" t="str">
        <f>HYPERLINK("https://my.zakupki.prom.ua/remote/dispatcher/state_purchase_view/21565348", "UA-2020-11-30-004642-b")</f>
        <v>UA-2020-11-30-004642-b</v>
      </c>
      <c r="C1081" s="1" t="s">
        <v>772</v>
      </c>
      <c r="D1081" s="1" t="s">
        <v>262</v>
      </c>
      <c r="E1081" s="1" t="s">
        <v>390</v>
      </c>
      <c r="F1081" s="5">
        <v>44165</v>
      </c>
      <c r="G1081" s="7">
        <v>44182.533043981479</v>
      </c>
      <c r="H1081" s="6">
        <v>504000</v>
      </c>
      <c r="I1081" s="1" t="s">
        <v>1287</v>
      </c>
      <c r="J1081" s="1" t="s">
        <v>1405</v>
      </c>
      <c r="K1081" s="7">
        <v>44216.45125014009</v>
      </c>
      <c r="L1081" s="6">
        <v>475200</v>
      </c>
    </row>
    <row r="1082" spans="1:12" hidden="1" x14ac:dyDescent="0.25">
      <c r="A1082" s="4">
        <v>295</v>
      </c>
      <c r="B1082" s="2" t="str">
        <f>HYPERLINK("https://my.zakupki.prom.ua/remote/dispatcher/state_purchase_view/24072784", "UA-2021-02-16-013346-a")</f>
        <v>UA-2021-02-16-013346-a</v>
      </c>
      <c r="C1082" s="1" t="s">
        <v>876</v>
      </c>
      <c r="D1082" s="1" t="s">
        <v>251</v>
      </c>
      <c r="E1082" s="1" t="s">
        <v>1086</v>
      </c>
      <c r="F1082" s="5">
        <v>44243</v>
      </c>
      <c r="G1082" s="1" t="s">
        <v>1398</v>
      </c>
      <c r="H1082" s="6">
        <v>90000</v>
      </c>
      <c r="I1082" s="1" t="s">
        <v>1342</v>
      </c>
      <c r="J1082" s="1" t="s">
        <v>1405</v>
      </c>
      <c r="K1082" s="7">
        <v>44264.428931985094</v>
      </c>
      <c r="L1082" s="6">
        <v>87000</v>
      </c>
    </row>
    <row r="1083" spans="1:12" hidden="1" x14ac:dyDescent="0.25">
      <c r="A1083" s="4">
        <v>296</v>
      </c>
      <c r="B1083" s="2" t="str">
        <f>HYPERLINK("https://my.zakupki.prom.ua/remote/dispatcher/state_purchase_view/25186378", "UA-2021-03-24-002333-b")</f>
        <v>UA-2021-03-24-002333-b</v>
      </c>
      <c r="C1083" s="1" t="s">
        <v>765</v>
      </c>
      <c r="D1083" s="1" t="s">
        <v>221</v>
      </c>
      <c r="E1083" s="1" t="s">
        <v>488</v>
      </c>
      <c r="F1083" s="5">
        <v>44279</v>
      </c>
      <c r="G1083" s="1" t="s">
        <v>1397</v>
      </c>
      <c r="H1083" s="6">
        <v>2990</v>
      </c>
      <c r="I1083" s="1" t="s">
        <v>691</v>
      </c>
      <c r="J1083" s="1" t="s">
        <v>1405</v>
      </c>
      <c r="K1083" s="7">
        <v>44279.424499279048</v>
      </c>
      <c r="L1083" s="6">
        <v>2990</v>
      </c>
    </row>
    <row r="1084" spans="1:12" hidden="1" x14ac:dyDescent="0.25">
      <c r="A1084" s="4">
        <v>297</v>
      </c>
      <c r="B1084" s="2" t="str">
        <f>HYPERLINK("https://my.zakupki.prom.ua/remote/dispatcher/state_purchase_view/25335086", "UA-2021-03-29-002439-c")</f>
        <v>UA-2021-03-29-002439-c</v>
      </c>
      <c r="C1084" s="1" t="s">
        <v>929</v>
      </c>
      <c r="D1084" s="1" t="s">
        <v>227</v>
      </c>
      <c r="E1084" s="1" t="s">
        <v>488</v>
      </c>
      <c r="F1084" s="5">
        <v>44284</v>
      </c>
      <c r="G1084" s="1" t="s">
        <v>1397</v>
      </c>
      <c r="H1084" s="6">
        <v>1600</v>
      </c>
      <c r="I1084" s="1" t="s">
        <v>1242</v>
      </c>
      <c r="J1084" s="1" t="s">
        <v>1405</v>
      </c>
      <c r="K1084" s="7">
        <v>44284.464790884711</v>
      </c>
      <c r="L1084" s="6">
        <v>1600</v>
      </c>
    </row>
    <row r="1085" spans="1:12" hidden="1" x14ac:dyDescent="0.25">
      <c r="A1085" s="4">
        <v>298</v>
      </c>
      <c r="B1085" s="2" t="str">
        <f>HYPERLINK("https://my.zakupki.prom.ua/remote/dispatcher/state_purchase_view/26771585", "UA-2021-05-21-008807-b")</f>
        <v>UA-2021-05-21-008807-b</v>
      </c>
      <c r="C1085" s="1" t="s">
        <v>740</v>
      </c>
      <c r="D1085" s="1" t="s">
        <v>78</v>
      </c>
      <c r="E1085" s="1" t="s">
        <v>1086</v>
      </c>
      <c r="F1085" s="5">
        <v>44337</v>
      </c>
      <c r="G1085" s="1" t="s">
        <v>1398</v>
      </c>
      <c r="H1085" s="6">
        <v>135000</v>
      </c>
      <c r="I1085" s="1"/>
      <c r="J1085" s="1" t="s">
        <v>1406</v>
      </c>
      <c r="K1085" s="7">
        <v>44348.335128984123</v>
      </c>
      <c r="L1085" s="1"/>
    </row>
    <row r="1086" spans="1:12" hidden="1" x14ac:dyDescent="0.25">
      <c r="A1086" s="4">
        <v>299</v>
      </c>
      <c r="B1086" s="2" t="str">
        <f>HYPERLINK("https://my.zakupki.prom.ua/remote/dispatcher/state_purchase_view/26947199", "UA-2021-05-27-006254-b")</f>
        <v>UA-2021-05-27-006254-b</v>
      </c>
      <c r="C1086" s="1" t="s">
        <v>413</v>
      </c>
      <c r="D1086" s="1" t="s">
        <v>179</v>
      </c>
      <c r="E1086" s="1" t="s">
        <v>470</v>
      </c>
      <c r="F1086" s="5">
        <v>44343</v>
      </c>
      <c r="G1086" s="7">
        <v>44355.533888888887</v>
      </c>
      <c r="H1086" s="6">
        <v>27300</v>
      </c>
      <c r="I1086" s="1" t="s">
        <v>1330</v>
      </c>
      <c r="J1086" s="1" t="s">
        <v>1405</v>
      </c>
      <c r="K1086" s="7">
        <v>44358.458032868737</v>
      </c>
      <c r="L1086" s="6">
        <v>27160</v>
      </c>
    </row>
    <row r="1087" spans="1:12" hidden="1" x14ac:dyDescent="0.25">
      <c r="A1087" s="4">
        <v>300</v>
      </c>
      <c r="B1087" s="2" t="str">
        <f>HYPERLINK("https://my.zakupki.prom.ua/remote/dispatcher/state_purchase_view/26843804", "UA-2021-05-25-001252-b")</f>
        <v>UA-2021-05-25-001252-b</v>
      </c>
      <c r="C1087" s="1" t="s">
        <v>410</v>
      </c>
      <c r="D1087" s="1" t="s">
        <v>178</v>
      </c>
      <c r="E1087" s="1" t="s">
        <v>470</v>
      </c>
      <c r="F1087" s="5">
        <v>44341</v>
      </c>
      <c r="G1087" s="1" t="s">
        <v>1398</v>
      </c>
      <c r="H1087" s="6">
        <v>23700</v>
      </c>
      <c r="I1087" s="1" t="s">
        <v>1330</v>
      </c>
      <c r="J1087" s="1" t="s">
        <v>1405</v>
      </c>
      <c r="K1087" s="7">
        <v>44355.421537248891</v>
      </c>
      <c r="L1087" s="6">
        <v>23700</v>
      </c>
    </row>
    <row r="1088" spans="1:12" hidden="1" x14ac:dyDescent="0.25">
      <c r="A1088" s="4">
        <v>301</v>
      </c>
      <c r="B1088" s="2" t="str">
        <f>HYPERLINK("https://my.zakupki.prom.ua/remote/dispatcher/state_purchase_view/24555156", "UA-2021-03-03-001966-c")</f>
        <v>UA-2021-03-03-001966-c</v>
      </c>
      <c r="C1088" s="1" t="s">
        <v>415</v>
      </c>
      <c r="D1088" s="1" t="s">
        <v>141</v>
      </c>
      <c r="E1088" s="1" t="s">
        <v>470</v>
      </c>
      <c r="F1088" s="5">
        <v>44258</v>
      </c>
      <c r="G1088" s="7">
        <v>44273.491840277777</v>
      </c>
      <c r="H1088" s="6">
        <v>5742</v>
      </c>
      <c r="I1088" s="1"/>
      <c r="J1088" s="1" t="s">
        <v>1406</v>
      </c>
      <c r="K1088" s="7">
        <v>44280.702061035438</v>
      </c>
      <c r="L1088" s="1"/>
    </row>
    <row r="1089" spans="1:12" hidden="1" x14ac:dyDescent="0.25">
      <c r="A1089" s="4">
        <v>302</v>
      </c>
      <c r="B1089" s="2" t="str">
        <f>HYPERLINK("https://my.zakupki.prom.ua/remote/dispatcher/state_purchase_view/26949705", "UA-2021-05-27-007117-b")</f>
        <v>UA-2021-05-27-007117-b</v>
      </c>
      <c r="C1089" s="1" t="s">
        <v>917</v>
      </c>
      <c r="D1089" s="1" t="s">
        <v>221</v>
      </c>
      <c r="E1089" s="1" t="s">
        <v>470</v>
      </c>
      <c r="F1089" s="5">
        <v>44343</v>
      </c>
      <c r="G1089" s="7">
        <v>44355.554548611108</v>
      </c>
      <c r="H1089" s="6">
        <v>40000</v>
      </c>
      <c r="I1089" s="1"/>
      <c r="J1089" s="1" t="s">
        <v>1406</v>
      </c>
      <c r="K1089" s="7">
        <v>44365.003426109513</v>
      </c>
      <c r="L1089" s="1"/>
    </row>
    <row r="1090" spans="1:12" hidden="1" x14ac:dyDescent="0.25">
      <c r="A1090" s="4">
        <v>303</v>
      </c>
      <c r="B1090" s="2" t="str">
        <f>HYPERLINK("https://my.zakupki.prom.ua/remote/dispatcher/state_purchase_view/33827166", "UA-2021-12-29-003295-c")</f>
        <v>UA-2021-12-29-003295-c</v>
      </c>
      <c r="C1090" s="1" t="s">
        <v>750</v>
      </c>
      <c r="D1090" s="1" t="s">
        <v>237</v>
      </c>
      <c r="E1090" s="1" t="s">
        <v>488</v>
      </c>
      <c r="F1090" s="5">
        <v>44559</v>
      </c>
      <c r="G1090" s="1" t="s">
        <v>1397</v>
      </c>
      <c r="H1090" s="6">
        <v>198000</v>
      </c>
      <c r="I1090" s="1" t="s">
        <v>1243</v>
      </c>
      <c r="J1090" s="1" t="s">
        <v>1405</v>
      </c>
      <c r="K1090" s="7">
        <v>44559.466741105483</v>
      </c>
      <c r="L1090" s="6">
        <v>198000</v>
      </c>
    </row>
    <row r="1091" spans="1:12" hidden="1" x14ac:dyDescent="0.25">
      <c r="A1091" s="4">
        <v>304</v>
      </c>
      <c r="B1091" s="2" t="str">
        <f>HYPERLINK("https://my.zakupki.prom.ua/remote/dispatcher/state_purchase_view/27809293", "UA-2021-06-29-002838-c")</f>
        <v>UA-2021-06-29-002838-c</v>
      </c>
      <c r="C1091" s="1" t="s">
        <v>555</v>
      </c>
      <c r="D1091" s="1" t="s">
        <v>166</v>
      </c>
      <c r="E1091" s="1" t="s">
        <v>1086</v>
      </c>
      <c r="F1091" s="5">
        <v>44376</v>
      </c>
      <c r="G1091" s="1" t="s">
        <v>1398</v>
      </c>
      <c r="H1091" s="6">
        <v>85614</v>
      </c>
      <c r="I1091" s="1" t="s">
        <v>1330</v>
      </c>
      <c r="J1091" s="1" t="s">
        <v>1405</v>
      </c>
      <c r="K1091" s="7">
        <v>44391.422917448472</v>
      </c>
      <c r="L1091" s="6">
        <v>85614</v>
      </c>
    </row>
    <row r="1092" spans="1:12" hidden="1" x14ac:dyDescent="0.25">
      <c r="A1092" s="4">
        <v>305</v>
      </c>
      <c r="B1092" s="2" t="str">
        <f>HYPERLINK("https://my.zakupki.prom.ua/remote/dispatcher/state_purchase_view/29907216", "UA-2021-09-16-001142-b")</f>
        <v>UA-2021-09-16-001142-b</v>
      </c>
      <c r="C1092" s="1" t="s">
        <v>364</v>
      </c>
      <c r="D1092" s="1" t="s">
        <v>182</v>
      </c>
      <c r="E1092" s="1" t="s">
        <v>470</v>
      </c>
      <c r="F1092" s="5">
        <v>44455</v>
      </c>
      <c r="G1092" s="7">
        <v>44467.603773148148</v>
      </c>
      <c r="H1092" s="6">
        <v>20000</v>
      </c>
      <c r="I1092" s="1" t="s">
        <v>1326</v>
      </c>
      <c r="J1092" s="1" t="s">
        <v>1405</v>
      </c>
      <c r="K1092" s="7">
        <v>44470.392854626341</v>
      </c>
      <c r="L1092" s="6">
        <v>20000</v>
      </c>
    </row>
    <row r="1093" spans="1:12" x14ac:dyDescent="0.25">
      <c r="A1093" s="4">
        <v>306</v>
      </c>
      <c r="B1093" s="2" t="str">
        <f>HYPERLINK("https://my.zakupki.prom.ua/remote/dispatcher/state_purchase_view/31381237", "UA-2021-11-03-007922-a")</f>
        <v>UA-2021-11-03-007922-a</v>
      </c>
      <c r="C1093" s="1" t="s">
        <v>537</v>
      </c>
      <c r="D1093" s="1" t="s">
        <v>190</v>
      </c>
      <c r="E1093" s="1" t="s">
        <v>390</v>
      </c>
      <c r="F1093" s="5">
        <v>44503</v>
      </c>
      <c r="G1093" s="7">
        <v>44522.536053240743</v>
      </c>
      <c r="H1093" s="6">
        <v>152337993.12</v>
      </c>
      <c r="I1093" s="1" t="s">
        <v>1131</v>
      </c>
      <c r="J1093" s="1" t="s">
        <v>1405</v>
      </c>
      <c r="K1093" s="7">
        <v>44537.719807100708</v>
      </c>
      <c r="L1093" s="6">
        <v>150368000</v>
      </c>
    </row>
    <row r="1094" spans="1:12" hidden="1" x14ac:dyDescent="0.25">
      <c r="A1094" s="4">
        <v>307</v>
      </c>
      <c r="B1094" s="2" t="str">
        <f>HYPERLINK("https://my.zakupki.prom.ua/remote/dispatcher/state_purchase_view/29240049", "UA-2021-08-25-003039-a")</f>
        <v>UA-2021-08-25-003039-a</v>
      </c>
      <c r="C1094" s="1" t="s">
        <v>665</v>
      </c>
      <c r="D1094" s="1" t="s">
        <v>81</v>
      </c>
      <c r="E1094" s="1" t="s">
        <v>470</v>
      </c>
      <c r="F1094" s="5">
        <v>44433</v>
      </c>
      <c r="G1094" s="7">
        <v>44447.569988425923</v>
      </c>
      <c r="H1094" s="6">
        <v>3409</v>
      </c>
      <c r="I1094" s="1" t="s">
        <v>1326</v>
      </c>
      <c r="J1094" s="1" t="s">
        <v>1405</v>
      </c>
      <c r="K1094" s="7">
        <v>44459.585528527386</v>
      </c>
      <c r="L1094" s="6">
        <v>2840</v>
      </c>
    </row>
    <row r="1095" spans="1:12" hidden="1" x14ac:dyDescent="0.25">
      <c r="A1095" s="4">
        <v>308</v>
      </c>
      <c r="B1095" s="2" t="str">
        <f>HYPERLINK("https://my.zakupki.prom.ua/remote/dispatcher/state_purchase_view/33950051", "UA-2022-01-05-004128-c")</f>
        <v>UA-2022-01-05-004128-c</v>
      </c>
      <c r="C1095" s="1" t="s">
        <v>772</v>
      </c>
      <c r="D1095" s="1" t="s">
        <v>262</v>
      </c>
      <c r="E1095" s="1" t="s">
        <v>488</v>
      </c>
      <c r="F1095" s="5">
        <v>44566</v>
      </c>
      <c r="G1095" s="1" t="s">
        <v>1397</v>
      </c>
      <c r="H1095" s="6">
        <v>198000</v>
      </c>
      <c r="I1095" s="1" t="s">
        <v>507</v>
      </c>
      <c r="J1095" s="1" t="s">
        <v>1405</v>
      </c>
      <c r="K1095" s="7">
        <v>44566.67141517649</v>
      </c>
      <c r="L1095" s="6">
        <v>198000</v>
      </c>
    </row>
    <row r="1096" spans="1:12" hidden="1" x14ac:dyDescent="0.25">
      <c r="A1096" s="4">
        <v>309</v>
      </c>
      <c r="B1096" s="2" t="str">
        <f>HYPERLINK("https://my.zakupki.prom.ua/remote/dispatcher/state_purchase_view/21869033", "UA-2020-12-08-005020-c")</f>
        <v>UA-2020-12-08-005020-c</v>
      </c>
      <c r="C1096" s="1" t="s">
        <v>780</v>
      </c>
      <c r="D1096" s="1" t="s">
        <v>231</v>
      </c>
      <c r="E1096" s="1" t="s">
        <v>1086</v>
      </c>
      <c r="F1096" s="5">
        <v>44173</v>
      </c>
      <c r="G1096" s="1" t="s">
        <v>1398</v>
      </c>
      <c r="H1096" s="6">
        <v>83976</v>
      </c>
      <c r="I1096" s="1" t="s">
        <v>1183</v>
      </c>
      <c r="J1096" s="1" t="s">
        <v>1405</v>
      </c>
      <c r="K1096" s="7">
        <v>44187.632300725825</v>
      </c>
      <c r="L1096" s="6">
        <v>83976</v>
      </c>
    </row>
    <row r="1097" spans="1:12" hidden="1" x14ac:dyDescent="0.25">
      <c r="A1097" s="4">
        <v>310</v>
      </c>
      <c r="B1097" s="2" t="str">
        <f>HYPERLINK("https://my.zakupki.prom.ua/remote/dispatcher/state_purchase_view/33009406", "UA-2021-12-13-015525-c")</f>
        <v>UA-2021-12-13-015525-c</v>
      </c>
      <c r="C1097" s="1" t="s">
        <v>1073</v>
      </c>
      <c r="D1097" s="1" t="s">
        <v>159</v>
      </c>
      <c r="E1097" s="1" t="s">
        <v>470</v>
      </c>
      <c r="F1097" s="5">
        <v>44543</v>
      </c>
      <c r="G1097" s="1" t="s">
        <v>1398</v>
      </c>
      <c r="H1097" s="6">
        <v>28377</v>
      </c>
      <c r="I1097" s="1"/>
      <c r="J1097" s="1" t="s">
        <v>1406</v>
      </c>
      <c r="K1097" s="7">
        <v>44552.6697805808</v>
      </c>
      <c r="L1097" s="1"/>
    </row>
    <row r="1098" spans="1:12" hidden="1" x14ac:dyDescent="0.25">
      <c r="A1098" s="4">
        <v>311</v>
      </c>
      <c r="B1098" s="2" t="str">
        <f>HYPERLINK("https://my.zakupki.prom.ua/remote/dispatcher/state_purchase_view/33949538", "UA-2022-01-05-003902-c")</f>
        <v>UA-2022-01-05-003902-c</v>
      </c>
      <c r="C1098" s="1" t="s">
        <v>786</v>
      </c>
      <c r="D1098" s="1" t="s">
        <v>200</v>
      </c>
      <c r="E1098" s="1" t="s">
        <v>1086</v>
      </c>
      <c r="F1098" s="5">
        <v>44566</v>
      </c>
      <c r="G1098" s="1" t="s">
        <v>1398</v>
      </c>
      <c r="H1098" s="6">
        <v>113235</v>
      </c>
      <c r="I1098" s="1" t="s">
        <v>1318</v>
      </c>
      <c r="J1098" s="1" t="s">
        <v>1418</v>
      </c>
      <c r="K1098" s="1"/>
      <c r="L1098" s="6">
        <v>95907</v>
      </c>
    </row>
    <row r="1099" spans="1:12" hidden="1" x14ac:dyDescent="0.25">
      <c r="A1099" s="4">
        <v>312</v>
      </c>
      <c r="B1099" s="2" t="str">
        <f>HYPERLINK("https://my.zakupki.prom.ua/remote/dispatcher/state_purchase_view/20875366", "UA-2020-11-09-000710-c")</f>
        <v>UA-2020-11-09-000710-c</v>
      </c>
      <c r="C1099" s="1" t="s">
        <v>495</v>
      </c>
      <c r="D1099" s="1" t="s">
        <v>104</v>
      </c>
      <c r="E1099" s="1" t="s">
        <v>488</v>
      </c>
      <c r="F1099" s="5">
        <v>44144</v>
      </c>
      <c r="G1099" s="1" t="s">
        <v>1397</v>
      </c>
      <c r="H1099" s="6">
        <v>2250</v>
      </c>
      <c r="I1099" s="1"/>
      <c r="J1099" s="1" t="s">
        <v>1419</v>
      </c>
      <c r="K1099" s="7">
        <v>44144.424937222233</v>
      </c>
      <c r="L1099" s="1"/>
    </row>
    <row r="1100" spans="1:12" hidden="1" x14ac:dyDescent="0.25">
      <c r="A1100" s="4">
        <v>313</v>
      </c>
      <c r="B1100" s="2" t="str">
        <f>HYPERLINK("https://my.zakupki.prom.ua/remote/dispatcher/state_purchase_view/23046391", "UA-2021-01-19-001611-a")</f>
        <v>UA-2021-01-19-001611-a</v>
      </c>
      <c r="C1100" s="1" t="s">
        <v>474</v>
      </c>
      <c r="D1100" s="1" t="s">
        <v>36</v>
      </c>
      <c r="E1100" s="1" t="s">
        <v>723</v>
      </c>
      <c r="F1100" s="5">
        <v>44215</v>
      </c>
      <c r="G1100" s="1" t="s">
        <v>1397</v>
      </c>
      <c r="H1100" s="6">
        <v>955582.91</v>
      </c>
      <c r="I1100" s="1" t="s">
        <v>431</v>
      </c>
      <c r="J1100" s="1" t="s">
        <v>1405</v>
      </c>
      <c r="K1100" s="7">
        <v>44221.443910965878</v>
      </c>
      <c r="L1100" s="6">
        <v>955582.91</v>
      </c>
    </row>
    <row r="1101" spans="1:12" hidden="1" x14ac:dyDescent="0.25">
      <c r="A1101" s="4">
        <v>314</v>
      </c>
      <c r="B1101" s="2" t="str">
        <f>HYPERLINK("https://my.zakupki.prom.ua/remote/dispatcher/state_purchase_view/21081882", "UA-2020-11-16-001212-c")</f>
        <v>UA-2020-11-16-001212-c</v>
      </c>
      <c r="C1101" s="1" t="s">
        <v>339</v>
      </c>
      <c r="D1101" s="1" t="s">
        <v>30</v>
      </c>
      <c r="E1101" s="1" t="s">
        <v>390</v>
      </c>
      <c r="F1101" s="5">
        <v>44151</v>
      </c>
      <c r="G1101" s="7">
        <v>44168.472245370373</v>
      </c>
      <c r="H1101" s="6">
        <v>295000</v>
      </c>
      <c r="I1101" s="1" t="s">
        <v>1322</v>
      </c>
      <c r="J1101" s="1" t="s">
        <v>1405</v>
      </c>
      <c r="K1101" s="7">
        <v>44180.453683001113</v>
      </c>
      <c r="L1101" s="6">
        <v>294950</v>
      </c>
    </row>
    <row r="1102" spans="1:12" hidden="1" x14ac:dyDescent="0.25">
      <c r="A1102" s="4">
        <v>315</v>
      </c>
      <c r="B1102" s="2" t="str">
        <f>HYPERLINK("https://my.zakupki.prom.ua/remote/dispatcher/state_purchase_view/28381544", "UA-2021-07-20-009826-b")</f>
        <v>UA-2021-07-20-009826-b</v>
      </c>
      <c r="C1102" s="1" t="s">
        <v>407</v>
      </c>
      <c r="D1102" s="1" t="s">
        <v>178</v>
      </c>
      <c r="E1102" s="1" t="s">
        <v>470</v>
      </c>
      <c r="F1102" s="5">
        <v>44397</v>
      </c>
      <c r="G1102" s="1" t="s">
        <v>1398</v>
      </c>
      <c r="H1102" s="6">
        <v>7400</v>
      </c>
      <c r="I1102" s="1"/>
      <c r="J1102" s="1" t="s">
        <v>1406</v>
      </c>
      <c r="K1102" s="7">
        <v>44411.002684197767</v>
      </c>
      <c r="L1102" s="1"/>
    </row>
    <row r="1103" spans="1:12" hidden="1" x14ac:dyDescent="0.25">
      <c r="A1103" s="4">
        <v>316</v>
      </c>
      <c r="B1103" s="2" t="str">
        <f>HYPERLINK("https://my.zakupki.prom.ua/remote/dispatcher/state_purchase_view/25475806", "UA-2021-04-02-001784-c")</f>
        <v>UA-2021-04-02-001784-c</v>
      </c>
      <c r="C1103" s="1" t="s">
        <v>415</v>
      </c>
      <c r="D1103" s="1" t="s">
        <v>152</v>
      </c>
      <c r="E1103" s="1" t="s">
        <v>470</v>
      </c>
      <c r="F1103" s="5">
        <v>44288</v>
      </c>
      <c r="G1103" s="7">
        <v>44300.658043981479</v>
      </c>
      <c r="H1103" s="6">
        <v>8880</v>
      </c>
      <c r="I1103" s="1" t="s">
        <v>1330</v>
      </c>
      <c r="J1103" s="1" t="s">
        <v>1405</v>
      </c>
      <c r="K1103" s="7">
        <v>44308.52714994597</v>
      </c>
      <c r="L1103" s="6">
        <v>5550</v>
      </c>
    </row>
    <row r="1104" spans="1:12" hidden="1" x14ac:dyDescent="0.25">
      <c r="A1104" s="4">
        <v>317</v>
      </c>
      <c r="B1104" s="2" t="str">
        <f>HYPERLINK("https://my.zakupki.prom.ua/remote/dispatcher/state_purchase_view/23537603", "UA-2021-02-02-007282-a")</f>
        <v>UA-2021-02-02-007282-a</v>
      </c>
      <c r="C1104" s="1" t="s">
        <v>923</v>
      </c>
      <c r="D1104" s="1" t="s">
        <v>211</v>
      </c>
      <c r="E1104" s="1" t="s">
        <v>1086</v>
      </c>
      <c r="F1104" s="5">
        <v>44229</v>
      </c>
      <c r="G1104" s="1" t="s">
        <v>1398</v>
      </c>
      <c r="H1104" s="6">
        <v>199874</v>
      </c>
      <c r="I1104" s="1" t="s">
        <v>1118</v>
      </c>
      <c r="J1104" s="1" t="s">
        <v>1405</v>
      </c>
      <c r="K1104" s="7">
        <v>44245.431297278483</v>
      </c>
      <c r="L1104" s="6">
        <v>192993.46</v>
      </c>
    </row>
    <row r="1105" spans="1:12" hidden="1" x14ac:dyDescent="0.25">
      <c r="A1105" s="4">
        <v>318</v>
      </c>
      <c r="B1105" s="2" t="str">
        <f>HYPERLINK("https://my.zakupki.prom.ua/remote/dispatcher/state_purchase_view/23497581", "UA-2021-02-01-010747-a")</f>
        <v>UA-2021-02-01-010747-a</v>
      </c>
      <c r="C1105" s="1" t="s">
        <v>532</v>
      </c>
      <c r="D1105" s="1" t="s">
        <v>75</v>
      </c>
      <c r="E1105" s="1" t="s">
        <v>1086</v>
      </c>
      <c r="F1105" s="5">
        <v>44228</v>
      </c>
      <c r="G1105" s="7">
        <v>44239.482662037037</v>
      </c>
      <c r="H1105" s="6">
        <v>63350</v>
      </c>
      <c r="I1105" s="1" t="s">
        <v>1343</v>
      </c>
      <c r="J1105" s="1" t="s">
        <v>1405</v>
      </c>
      <c r="K1105" s="7">
        <v>44249.516306311089</v>
      </c>
      <c r="L1105" s="6">
        <v>42300</v>
      </c>
    </row>
    <row r="1106" spans="1:12" hidden="1" x14ac:dyDescent="0.25">
      <c r="A1106" s="4">
        <v>319</v>
      </c>
      <c r="B1106" s="2" t="str">
        <f>HYPERLINK("https://my.zakupki.prom.ua/remote/dispatcher/state_purchase_view/23508812", "UA-2021-02-01-013701-a")</f>
        <v>UA-2021-02-01-013701-a</v>
      </c>
      <c r="C1106" s="1" t="s">
        <v>888</v>
      </c>
      <c r="D1106" s="1" t="s">
        <v>205</v>
      </c>
      <c r="E1106" s="1" t="s">
        <v>1086</v>
      </c>
      <c r="F1106" s="5">
        <v>44228</v>
      </c>
      <c r="G1106" s="1" t="s">
        <v>1398</v>
      </c>
      <c r="H1106" s="6">
        <v>99975</v>
      </c>
      <c r="I1106" s="1" t="s">
        <v>449</v>
      </c>
      <c r="J1106" s="1" t="s">
        <v>1405</v>
      </c>
      <c r="K1106" s="7">
        <v>44249.558652485946</v>
      </c>
      <c r="L1106" s="6">
        <v>99975</v>
      </c>
    </row>
    <row r="1107" spans="1:12" hidden="1" x14ac:dyDescent="0.25">
      <c r="A1107" s="4">
        <v>320</v>
      </c>
      <c r="B1107" s="2" t="str">
        <f>HYPERLINK("https://my.zakupki.prom.ua/remote/dispatcher/state_purchase_view/24255686", "UA-2021-02-22-010281-b")</f>
        <v>UA-2021-02-22-010281-b</v>
      </c>
      <c r="C1107" s="1" t="s">
        <v>839</v>
      </c>
      <c r="D1107" s="1" t="s">
        <v>241</v>
      </c>
      <c r="E1107" s="1" t="s">
        <v>723</v>
      </c>
      <c r="F1107" s="5">
        <v>44249</v>
      </c>
      <c r="G1107" s="1" t="s">
        <v>1397</v>
      </c>
      <c r="H1107" s="6">
        <v>479135.58</v>
      </c>
      <c r="I1107" s="1" t="s">
        <v>1224</v>
      </c>
      <c r="J1107" s="1" t="s">
        <v>1405</v>
      </c>
      <c r="K1107" s="7">
        <v>44256.539421833113</v>
      </c>
      <c r="L1107" s="6">
        <v>479135.58</v>
      </c>
    </row>
    <row r="1108" spans="1:12" hidden="1" x14ac:dyDescent="0.25">
      <c r="A1108" s="4">
        <v>321</v>
      </c>
      <c r="B1108" s="2" t="str">
        <f>HYPERLINK("https://my.zakupki.prom.ua/remote/dispatcher/state_purchase_view/24116237", "UA-2021-02-17-002773-b")</f>
        <v>UA-2021-02-17-002773-b</v>
      </c>
      <c r="C1108" s="1" t="s">
        <v>1375</v>
      </c>
      <c r="D1108" s="1" t="s">
        <v>148</v>
      </c>
      <c r="E1108" s="1" t="s">
        <v>470</v>
      </c>
      <c r="F1108" s="5">
        <v>44244</v>
      </c>
      <c r="G1108" s="1" t="s">
        <v>1398</v>
      </c>
      <c r="H1108" s="6">
        <v>5198</v>
      </c>
      <c r="I1108" s="1" t="s">
        <v>1329</v>
      </c>
      <c r="J1108" s="1" t="s">
        <v>1405</v>
      </c>
      <c r="K1108" s="7">
        <v>44264.439735771317</v>
      </c>
      <c r="L1108" s="6">
        <v>5198</v>
      </c>
    </row>
    <row r="1109" spans="1:12" hidden="1" x14ac:dyDescent="0.25">
      <c r="A1109" s="4">
        <v>322</v>
      </c>
      <c r="B1109" s="2" t="str">
        <f>HYPERLINK("https://my.zakupki.prom.ua/remote/dispatcher/state_purchase_view/26673300", "UA-2021-05-19-004378-b")</f>
        <v>UA-2021-05-19-004378-b</v>
      </c>
      <c r="C1109" s="1" t="s">
        <v>936</v>
      </c>
      <c r="D1109" s="1" t="s">
        <v>204</v>
      </c>
      <c r="E1109" s="1" t="s">
        <v>488</v>
      </c>
      <c r="F1109" s="5">
        <v>44335</v>
      </c>
      <c r="G1109" s="1" t="s">
        <v>1397</v>
      </c>
      <c r="H1109" s="6">
        <v>510</v>
      </c>
      <c r="I1109" s="1" t="s">
        <v>1217</v>
      </c>
      <c r="J1109" s="1" t="s">
        <v>1405</v>
      </c>
      <c r="K1109" s="7">
        <v>44335.489713010233</v>
      </c>
      <c r="L1109" s="6">
        <v>510</v>
      </c>
    </row>
    <row r="1110" spans="1:12" hidden="1" x14ac:dyDescent="0.25">
      <c r="A1110" s="4">
        <v>323</v>
      </c>
      <c r="B1110" s="2" t="str">
        <f>HYPERLINK("https://my.zakupki.prom.ua/remote/dispatcher/state_purchase_view/24876457", "UA-2021-03-15-012246-b")</f>
        <v>UA-2021-03-15-012246-b</v>
      </c>
      <c r="C1110" s="1" t="s">
        <v>980</v>
      </c>
      <c r="D1110" s="1" t="s">
        <v>220</v>
      </c>
      <c r="E1110" s="1" t="s">
        <v>1086</v>
      </c>
      <c r="F1110" s="5">
        <v>44270</v>
      </c>
      <c r="G1110" s="1" t="s">
        <v>1398</v>
      </c>
      <c r="H1110" s="6">
        <v>1100000</v>
      </c>
      <c r="I1110" s="1"/>
      <c r="J1110" s="1" t="s">
        <v>1406</v>
      </c>
      <c r="K1110" s="7">
        <v>44279.420637257208</v>
      </c>
      <c r="L1110" s="1"/>
    </row>
    <row r="1111" spans="1:12" hidden="1" x14ac:dyDescent="0.25">
      <c r="A1111" s="4">
        <v>324</v>
      </c>
      <c r="B1111" s="2" t="str">
        <f>HYPERLINK("https://my.zakupki.prom.ua/remote/dispatcher/state_purchase_view/30123101", "UA-2021-09-22-009598-b")</f>
        <v>UA-2021-09-22-009598-b</v>
      </c>
      <c r="C1111" s="1" t="s">
        <v>845</v>
      </c>
      <c r="D1111" s="1" t="s">
        <v>211</v>
      </c>
      <c r="E1111" s="1" t="s">
        <v>488</v>
      </c>
      <c r="F1111" s="5">
        <v>44461</v>
      </c>
      <c r="G1111" s="1" t="s">
        <v>1397</v>
      </c>
      <c r="H1111" s="6">
        <v>33660</v>
      </c>
      <c r="I1111" s="1" t="s">
        <v>1229</v>
      </c>
      <c r="J1111" s="1" t="s">
        <v>1405</v>
      </c>
      <c r="K1111" s="7">
        <v>44461.639270285857</v>
      </c>
      <c r="L1111" s="6">
        <v>33660</v>
      </c>
    </row>
    <row r="1112" spans="1:12" hidden="1" x14ac:dyDescent="0.25">
      <c r="A1112" s="4">
        <v>325</v>
      </c>
      <c r="B1112" s="2" t="str">
        <f>HYPERLINK("https://my.zakupki.prom.ua/remote/dispatcher/state_purchase_view/16717990", "UA-2020-05-18-003170-c")</f>
        <v>UA-2020-05-18-003170-c</v>
      </c>
      <c r="C1112" s="1" t="s">
        <v>1032</v>
      </c>
      <c r="D1112" s="1" t="s">
        <v>220</v>
      </c>
      <c r="E1112" s="1" t="s">
        <v>488</v>
      </c>
      <c r="F1112" s="5">
        <v>43969</v>
      </c>
      <c r="G1112" s="1" t="s">
        <v>1397</v>
      </c>
      <c r="H1112" s="6">
        <v>279450</v>
      </c>
      <c r="I1112" s="1" t="s">
        <v>697</v>
      </c>
      <c r="J1112" s="1" t="s">
        <v>1405</v>
      </c>
      <c r="K1112" s="7">
        <v>43969.59616695156</v>
      </c>
      <c r="L1112" s="6">
        <v>279450</v>
      </c>
    </row>
    <row r="1113" spans="1:12" hidden="1" x14ac:dyDescent="0.25">
      <c r="A1113" s="4">
        <v>326</v>
      </c>
      <c r="B1113" s="2" t="str">
        <f>HYPERLINK("https://my.zakupki.prom.ua/remote/dispatcher/state_purchase_view/33923931", "UA-2022-01-04-001481-c")</f>
        <v>UA-2022-01-04-001481-c</v>
      </c>
      <c r="C1113" s="1" t="s">
        <v>684</v>
      </c>
      <c r="D1113" s="1" t="s">
        <v>217</v>
      </c>
      <c r="E1113" s="1" t="s">
        <v>488</v>
      </c>
      <c r="F1113" s="5">
        <v>44565</v>
      </c>
      <c r="G1113" s="1" t="s">
        <v>1397</v>
      </c>
      <c r="H1113" s="6">
        <v>908640</v>
      </c>
      <c r="I1113" s="1" t="s">
        <v>1193</v>
      </c>
      <c r="J1113" s="1" t="s">
        <v>1405</v>
      </c>
      <c r="K1113" s="7">
        <v>44565.67122955183</v>
      </c>
      <c r="L1113" s="6">
        <v>908640</v>
      </c>
    </row>
    <row r="1114" spans="1:12" hidden="1" x14ac:dyDescent="0.25">
      <c r="A1114" s="4">
        <v>327</v>
      </c>
      <c r="B1114" s="2" t="str">
        <f>HYPERLINK("https://my.zakupki.prom.ua/remote/dispatcher/state_purchase_view/24784916", "UA-2021-03-11-004229-b")</f>
        <v>UA-2021-03-11-004229-b</v>
      </c>
      <c r="C1114" s="1" t="s">
        <v>804</v>
      </c>
      <c r="D1114" s="1" t="s">
        <v>224</v>
      </c>
      <c r="E1114" s="1" t="s">
        <v>488</v>
      </c>
      <c r="F1114" s="5">
        <v>44266</v>
      </c>
      <c r="G1114" s="1" t="s">
        <v>1397</v>
      </c>
      <c r="H1114" s="6">
        <v>3200.46</v>
      </c>
      <c r="I1114" s="1" t="s">
        <v>509</v>
      </c>
      <c r="J1114" s="1" t="s">
        <v>1405</v>
      </c>
      <c r="K1114" s="7">
        <v>44266.484181716078</v>
      </c>
      <c r="L1114" s="6">
        <v>3200.46</v>
      </c>
    </row>
    <row r="1115" spans="1:12" hidden="1" x14ac:dyDescent="0.25">
      <c r="A1115" s="4">
        <v>328</v>
      </c>
      <c r="B1115" s="2" t="str">
        <f>HYPERLINK("https://my.zakupki.prom.ua/remote/dispatcher/state_purchase_view/32412463", "UA-2021-12-01-000764-c")</f>
        <v>UA-2021-12-01-000764-c</v>
      </c>
      <c r="C1115" s="1" t="s">
        <v>358</v>
      </c>
      <c r="D1115" s="1" t="s">
        <v>61</v>
      </c>
      <c r="E1115" s="1" t="s">
        <v>470</v>
      </c>
      <c r="F1115" s="5">
        <v>44531</v>
      </c>
      <c r="G1115" s="1" t="s">
        <v>1398</v>
      </c>
      <c r="H1115" s="6">
        <v>15500</v>
      </c>
      <c r="I1115" s="1" t="s">
        <v>1374</v>
      </c>
      <c r="J1115" s="1" t="s">
        <v>1405</v>
      </c>
      <c r="K1115" s="7">
        <v>44546.478948875199</v>
      </c>
      <c r="L1115" s="6">
        <v>15500</v>
      </c>
    </row>
    <row r="1116" spans="1:12" x14ac:dyDescent="0.25">
      <c r="A1116" s="4">
        <v>329</v>
      </c>
      <c r="B1116" s="2" t="str">
        <f>HYPERLINK("https://my.zakupki.prom.ua/remote/dispatcher/state_purchase_view/32602476", "UA-2021-12-06-002066-c")</f>
        <v>UA-2021-12-06-002066-c</v>
      </c>
      <c r="C1116" s="1" t="s">
        <v>849</v>
      </c>
      <c r="D1116" s="1" t="s">
        <v>255</v>
      </c>
      <c r="E1116" s="1" t="s">
        <v>390</v>
      </c>
      <c r="F1116" s="5">
        <v>44536</v>
      </c>
      <c r="G1116" s="7">
        <v>44553.487835648149</v>
      </c>
      <c r="H1116" s="6">
        <v>419130</v>
      </c>
      <c r="I1116" s="1" t="s">
        <v>1178</v>
      </c>
      <c r="J1116" s="1" t="s">
        <v>1405</v>
      </c>
      <c r="K1116" s="7">
        <v>44571.741969008159</v>
      </c>
      <c r="L1116" s="6">
        <v>411950</v>
      </c>
    </row>
    <row r="1117" spans="1:12" hidden="1" x14ac:dyDescent="0.25">
      <c r="A1117" s="4">
        <v>330</v>
      </c>
      <c r="B1117" s="2" t="str">
        <f>HYPERLINK("https://my.zakupki.prom.ua/remote/dispatcher/state_purchase_view/29906662", "UA-2021-09-16-001010-b")</f>
        <v>UA-2021-09-16-001010-b</v>
      </c>
      <c r="C1117" s="1" t="s">
        <v>525</v>
      </c>
      <c r="D1117" s="1" t="s">
        <v>85</v>
      </c>
      <c r="E1117" s="1" t="s">
        <v>470</v>
      </c>
      <c r="F1117" s="5">
        <v>44455</v>
      </c>
      <c r="G1117" s="1" t="s">
        <v>1398</v>
      </c>
      <c r="H1117" s="6">
        <v>4106</v>
      </c>
      <c r="I1117" s="1" t="s">
        <v>1326</v>
      </c>
      <c r="J1117" s="1" t="s">
        <v>1405</v>
      </c>
      <c r="K1117" s="7">
        <v>44469.407443500822</v>
      </c>
      <c r="L1117" s="6">
        <v>4105.9799999999996</v>
      </c>
    </row>
    <row r="1118" spans="1:12" hidden="1" x14ac:dyDescent="0.25">
      <c r="A1118" s="4">
        <v>331</v>
      </c>
      <c r="B1118" s="2" t="str">
        <f>HYPERLINK("https://my.zakupki.prom.ua/remote/dispatcher/state_purchase_view/27070655", "UA-2021-06-01-009937-b")</f>
        <v>UA-2021-06-01-009937-b</v>
      </c>
      <c r="C1118" s="1" t="s">
        <v>811</v>
      </c>
      <c r="D1118" s="1" t="s">
        <v>229</v>
      </c>
      <c r="E1118" s="1" t="s">
        <v>488</v>
      </c>
      <c r="F1118" s="5">
        <v>44348</v>
      </c>
      <c r="G1118" s="1" t="s">
        <v>1397</v>
      </c>
      <c r="H1118" s="6">
        <v>498</v>
      </c>
      <c r="I1118" s="1" t="s">
        <v>1241</v>
      </c>
      <c r="J1118" s="1" t="s">
        <v>1405</v>
      </c>
      <c r="K1118" s="7">
        <v>44348.667065372174</v>
      </c>
      <c r="L1118" s="6">
        <v>498</v>
      </c>
    </row>
    <row r="1119" spans="1:12" hidden="1" x14ac:dyDescent="0.25">
      <c r="A1119" s="4">
        <v>332</v>
      </c>
      <c r="B1119" s="2" t="str">
        <f>HYPERLINK("https://my.zakupki.prom.ua/remote/dispatcher/state_purchase_view/26805404", "UA-2021-05-24-003775-b")</f>
        <v>UA-2021-05-24-003775-b</v>
      </c>
      <c r="C1119" s="1" t="s">
        <v>361</v>
      </c>
      <c r="D1119" s="1" t="s">
        <v>182</v>
      </c>
      <c r="E1119" s="1" t="s">
        <v>470</v>
      </c>
      <c r="F1119" s="5">
        <v>44340</v>
      </c>
      <c r="G1119" s="7">
        <v>44350.539224537039</v>
      </c>
      <c r="H1119" s="6">
        <v>15107.2</v>
      </c>
      <c r="I1119" s="1" t="s">
        <v>1330</v>
      </c>
      <c r="J1119" s="1" t="s">
        <v>1405</v>
      </c>
      <c r="K1119" s="7">
        <v>44356.401603322774</v>
      </c>
      <c r="L1119" s="6">
        <v>14844.4</v>
      </c>
    </row>
    <row r="1120" spans="1:12" hidden="1" x14ac:dyDescent="0.25">
      <c r="A1120" s="4">
        <v>333</v>
      </c>
      <c r="B1120" s="2" t="str">
        <f>HYPERLINK("https://my.zakupki.prom.ua/remote/dispatcher/state_purchase_view/32747106", "UA-2021-12-08-004902-c")</f>
        <v>UA-2021-12-08-004902-c</v>
      </c>
      <c r="C1120" s="1" t="s">
        <v>314</v>
      </c>
      <c r="D1120" s="1" t="s">
        <v>220</v>
      </c>
      <c r="E1120" s="1" t="s">
        <v>488</v>
      </c>
      <c r="F1120" s="5">
        <v>44538</v>
      </c>
      <c r="G1120" s="1" t="s">
        <v>1397</v>
      </c>
      <c r="H1120" s="6">
        <v>480600</v>
      </c>
      <c r="I1120" s="1" t="s">
        <v>1204</v>
      </c>
      <c r="J1120" s="1" t="s">
        <v>1405</v>
      </c>
      <c r="K1120" s="7">
        <v>44538.460190819344</v>
      </c>
      <c r="L1120" s="6">
        <v>480600</v>
      </c>
    </row>
    <row r="1121" spans="1:12" hidden="1" x14ac:dyDescent="0.25">
      <c r="A1121" s="4">
        <v>334</v>
      </c>
      <c r="B1121" s="2" t="str">
        <f>HYPERLINK("https://my.zakupki.prom.ua/remote/dispatcher/state_purchase_view/33448309", "UA-2021-12-21-003740-c")</f>
        <v>UA-2021-12-21-003740-c</v>
      </c>
      <c r="C1121" s="1" t="s">
        <v>810</v>
      </c>
      <c r="D1121" s="1" t="s">
        <v>235</v>
      </c>
      <c r="E1121" s="1" t="s">
        <v>390</v>
      </c>
      <c r="F1121" s="5">
        <v>44551</v>
      </c>
      <c r="G1121" s="7">
        <v>44571.57571759259</v>
      </c>
      <c r="H1121" s="6">
        <v>581366</v>
      </c>
      <c r="I1121" s="1" t="s">
        <v>1246</v>
      </c>
      <c r="J1121" s="1" t="s">
        <v>1418</v>
      </c>
      <c r="K1121" s="1"/>
      <c r="L1121" s="6">
        <v>581365.27</v>
      </c>
    </row>
    <row r="1122" spans="1:12" hidden="1" x14ac:dyDescent="0.25">
      <c r="A1122" s="4">
        <v>335</v>
      </c>
      <c r="B1122" s="2" t="str">
        <f>HYPERLINK("https://my.zakupki.prom.ua/remote/dispatcher/state_purchase_view/33273997", "UA-2021-12-17-001565-c")</f>
        <v>UA-2021-12-17-001565-c</v>
      </c>
      <c r="C1122" s="1" t="s">
        <v>686</v>
      </c>
      <c r="D1122" s="1" t="s">
        <v>90</v>
      </c>
      <c r="E1122" s="1" t="s">
        <v>1086</v>
      </c>
      <c r="F1122" s="5">
        <v>44547</v>
      </c>
      <c r="G1122" s="1" t="s">
        <v>1398</v>
      </c>
      <c r="H1122" s="6">
        <v>22000</v>
      </c>
      <c r="I1122" s="1" t="s">
        <v>1208</v>
      </c>
      <c r="J1122" s="1" t="s">
        <v>1405</v>
      </c>
      <c r="K1122" s="7">
        <v>44565.618898761561</v>
      </c>
      <c r="L1122" s="6">
        <v>19680</v>
      </c>
    </row>
    <row r="1123" spans="1:12" hidden="1" x14ac:dyDescent="0.25">
      <c r="A1123" s="4">
        <v>336</v>
      </c>
      <c r="B1123" s="2" t="str">
        <f>HYPERLINK("https://my.zakupki.prom.ua/remote/dispatcher/state_purchase_view/18991029", "UA-2020-09-03-007516-b")</f>
        <v>UA-2020-09-03-007516-b</v>
      </c>
      <c r="C1123" s="1" t="s">
        <v>1091</v>
      </c>
      <c r="D1123" s="1" t="s">
        <v>168</v>
      </c>
      <c r="E1123" s="1" t="s">
        <v>1086</v>
      </c>
      <c r="F1123" s="5">
        <v>44077</v>
      </c>
      <c r="G1123" s="1" t="s">
        <v>1398</v>
      </c>
      <c r="H1123" s="6">
        <v>54905</v>
      </c>
      <c r="I1123" s="1" t="s">
        <v>1331</v>
      </c>
      <c r="J1123" s="1" t="s">
        <v>1405</v>
      </c>
      <c r="K1123" s="7">
        <v>44095.68687591589</v>
      </c>
      <c r="L1123" s="6">
        <v>54904.93</v>
      </c>
    </row>
    <row r="1124" spans="1:12" hidden="1" x14ac:dyDescent="0.25">
      <c r="A1124" s="4">
        <v>337</v>
      </c>
      <c r="B1124" s="2" t="str">
        <f>HYPERLINK("https://my.zakupki.prom.ua/remote/dispatcher/state_purchase_view/19284421", "UA-2020-09-15-005400-a")</f>
        <v>UA-2020-09-15-005400-a</v>
      </c>
      <c r="C1124" s="1" t="s">
        <v>398</v>
      </c>
      <c r="D1124" s="1" t="s">
        <v>29</v>
      </c>
      <c r="E1124" s="1" t="s">
        <v>390</v>
      </c>
      <c r="F1124" s="5">
        <v>44089</v>
      </c>
      <c r="G1124" s="7">
        <v>44106.605671296296</v>
      </c>
      <c r="H1124" s="6">
        <v>854000</v>
      </c>
      <c r="I1124" s="1" t="s">
        <v>1322</v>
      </c>
      <c r="J1124" s="1" t="s">
        <v>1405</v>
      </c>
      <c r="K1124" s="7">
        <v>44123.384009473724</v>
      </c>
      <c r="L1124" s="6">
        <v>853832</v>
      </c>
    </row>
    <row r="1125" spans="1:12" hidden="1" x14ac:dyDescent="0.25">
      <c r="A1125" s="4">
        <v>338</v>
      </c>
      <c r="B1125" s="2" t="str">
        <f>HYPERLINK("https://my.zakupki.prom.ua/remote/dispatcher/state_purchase_view/18561834", "UA-2020-08-14-006347-a")</f>
        <v>UA-2020-08-14-006347-a</v>
      </c>
      <c r="C1125" s="1" t="s">
        <v>923</v>
      </c>
      <c r="D1125" s="1" t="s">
        <v>211</v>
      </c>
      <c r="E1125" s="1" t="s">
        <v>1086</v>
      </c>
      <c r="F1125" s="5">
        <v>44057</v>
      </c>
      <c r="G1125" s="1" t="s">
        <v>1398</v>
      </c>
      <c r="H1125" s="6">
        <v>90000</v>
      </c>
      <c r="I1125" s="1" t="s">
        <v>1118</v>
      </c>
      <c r="J1125" s="1" t="s">
        <v>1405</v>
      </c>
      <c r="K1125" s="7">
        <v>44075.564462300565</v>
      </c>
      <c r="L1125" s="6">
        <v>89997.3</v>
      </c>
    </row>
    <row r="1126" spans="1:12" hidden="1" x14ac:dyDescent="0.25">
      <c r="A1126" s="4">
        <v>339</v>
      </c>
      <c r="B1126" s="2" t="str">
        <f>HYPERLINK("https://my.zakupki.prom.ua/remote/dispatcher/state_purchase_view/19854632", "UA-2020-10-06-003797-a")</f>
        <v>UA-2020-10-06-003797-a</v>
      </c>
      <c r="C1126" s="1" t="s">
        <v>607</v>
      </c>
      <c r="D1126" s="1" t="s">
        <v>34</v>
      </c>
      <c r="E1126" s="1" t="s">
        <v>470</v>
      </c>
      <c r="F1126" s="5">
        <v>44110</v>
      </c>
      <c r="G1126" s="7">
        <v>44123.665243055555</v>
      </c>
      <c r="H1126" s="6">
        <v>45200</v>
      </c>
      <c r="I1126" s="1" t="s">
        <v>449</v>
      </c>
      <c r="J1126" s="1" t="s">
        <v>1405</v>
      </c>
      <c r="K1126" s="7">
        <v>44132.417337814259</v>
      </c>
      <c r="L1126" s="6">
        <v>42495</v>
      </c>
    </row>
    <row r="1127" spans="1:12" x14ac:dyDescent="0.25">
      <c r="A1127" s="4">
        <v>340</v>
      </c>
      <c r="B1127" s="2" t="str">
        <f>HYPERLINK("https://my.zakupki.prom.ua/remote/dispatcher/state_purchase_view/28039098", "UA-2021-07-07-005810-c")</f>
        <v>UA-2021-07-07-005810-c</v>
      </c>
      <c r="C1127" s="1" t="s">
        <v>1064</v>
      </c>
      <c r="D1127" s="1" t="s">
        <v>90</v>
      </c>
      <c r="E1127" s="1" t="s">
        <v>390</v>
      </c>
      <c r="F1127" s="5">
        <v>44384</v>
      </c>
      <c r="G1127" s="7">
        <v>44403.546388888892</v>
      </c>
      <c r="H1127" s="6">
        <v>561000</v>
      </c>
      <c r="I1127" s="1" t="s">
        <v>1300</v>
      </c>
      <c r="J1127" s="1" t="s">
        <v>1405</v>
      </c>
      <c r="K1127" s="7">
        <v>44417.654552075292</v>
      </c>
      <c r="L1127" s="6">
        <v>544258.5</v>
      </c>
    </row>
    <row r="1128" spans="1:12" x14ac:dyDescent="0.25">
      <c r="A1128" s="4">
        <v>341</v>
      </c>
      <c r="B1128" s="2" t="str">
        <f>HYPERLINK("https://my.zakupki.prom.ua/remote/dispatcher/state_purchase_view/27483501", "UA-2021-06-15-005740-b")</f>
        <v>UA-2021-06-15-005740-b</v>
      </c>
      <c r="C1128" s="1" t="s">
        <v>943</v>
      </c>
      <c r="D1128" s="1" t="s">
        <v>194</v>
      </c>
      <c r="E1128" s="1" t="s">
        <v>390</v>
      </c>
      <c r="F1128" s="5">
        <v>44362</v>
      </c>
      <c r="G1128" s="7">
        <v>44379.659467592595</v>
      </c>
      <c r="H1128" s="6">
        <v>686750</v>
      </c>
      <c r="I1128" s="1" t="s">
        <v>1143</v>
      </c>
      <c r="J1128" s="1" t="s">
        <v>1405</v>
      </c>
      <c r="K1128" s="7">
        <v>44397.513052598231</v>
      </c>
      <c r="L1128" s="6">
        <v>666705.37</v>
      </c>
    </row>
    <row r="1129" spans="1:12" hidden="1" x14ac:dyDescent="0.25">
      <c r="A1129" s="4">
        <v>342</v>
      </c>
      <c r="B1129" s="2" t="str">
        <f>HYPERLINK("https://my.zakupki.prom.ua/remote/dispatcher/state_purchase_view/28961780", "UA-2021-08-12-003052-a")</f>
        <v>UA-2021-08-12-003052-a</v>
      </c>
      <c r="C1129" s="1" t="s">
        <v>299</v>
      </c>
      <c r="D1129" s="1" t="s">
        <v>66</v>
      </c>
      <c r="E1129" s="1" t="s">
        <v>470</v>
      </c>
      <c r="F1129" s="5">
        <v>44420</v>
      </c>
      <c r="G1129" s="7">
        <v>44435.554918981485</v>
      </c>
      <c r="H1129" s="6">
        <v>3600</v>
      </c>
      <c r="I1129" s="1"/>
      <c r="J1129" s="1" t="s">
        <v>1406</v>
      </c>
      <c r="K1129" s="7">
        <v>44440.003260880709</v>
      </c>
      <c r="L1129" s="1"/>
    </row>
    <row r="1130" spans="1:12" hidden="1" x14ac:dyDescent="0.25">
      <c r="A1130" s="4">
        <v>343</v>
      </c>
      <c r="B1130" s="2" t="str">
        <f>HYPERLINK("https://my.zakupki.prom.ua/remote/dispatcher/state_purchase_view/33951143", "UA-2022-01-05-004430-c")</f>
        <v>UA-2022-01-05-004430-c</v>
      </c>
      <c r="C1130" s="1" t="s">
        <v>923</v>
      </c>
      <c r="D1130" s="1" t="s">
        <v>211</v>
      </c>
      <c r="E1130" s="1" t="s">
        <v>488</v>
      </c>
      <c r="F1130" s="5">
        <v>44566</v>
      </c>
      <c r="G1130" s="1" t="s">
        <v>1397</v>
      </c>
      <c r="H1130" s="6">
        <v>95987.51</v>
      </c>
      <c r="I1130" s="1" t="s">
        <v>1198</v>
      </c>
      <c r="J1130" s="1" t="s">
        <v>1405</v>
      </c>
      <c r="K1130" s="7">
        <v>44566.671749913876</v>
      </c>
      <c r="L1130" s="6">
        <v>95987.51</v>
      </c>
    </row>
    <row r="1131" spans="1:12" hidden="1" x14ac:dyDescent="0.25">
      <c r="A1131" s="4">
        <v>344</v>
      </c>
      <c r="B1131" s="2" t="str">
        <f>HYPERLINK("https://my.zakupki.prom.ua/remote/dispatcher/state_purchase_view/31532402", "UA-2021-11-08-010835-b")</f>
        <v>UA-2021-11-08-010835-b</v>
      </c>
      <c r="C1131" s="1" t="s">
        <v>1277</v>
      </c>
      <c r="D1131" s="1" t="s">
        <v>111</v>
      </c>
      <c r="E1131" s="1" t="s">
        <v>1086</v>
      </c>
      <c r="F1131" s="5">
        <v>44508</v>
      </c>
      <c r="G1131" s="1" t="s">
        <v>1398</v>
      </c>
      <c r="H1131" s="6">
        <v>102000</v>
      </c>
      <c r="I1131" s="1" t="s">
        <v>1331</v>
      </c>
      <c r="J1131" s="1" t="s">
        <v>1405</v>
      </c>
      <c r="K1131" s="7">
        <v>44523.460090072775</v>
      </c>
      <c r="L1131" s="6">
        <v>93500</v>
      </c>
    </row>
    <row r="1132" spans="1:12" hidden="1" x14ac:dyDescent="0.25">
      <c r="A1132" s="4">
        <v>345</v>
      </c>
      <c r="B1132" s="2" t="str">
        <f>HYPERLINK("https://my.zakupki.prom.ua/remote/dispatcher/state_purchase_view/24784230", "UA-2021-03-11-003956-b")</f>
        <v>UA-2021-03-11-003956-b</v>
      </c>
      <c r="C1132" s="1" t="s">
        <v>807</v>
      </c>
      <c r="D1132" s="1" t="s">
        <v>224</v>
      </c>
      <c r="E1132" s="1" t="s">
        <v>488</v>
      </c>
      <c r="F1132" s="5">
        <v>44266</v>
      </c>
      <c r="G1132" s="1" t="s">
        <v>1397</v>
      </c>
      <c r="H1132" s="6">
        <v>3200.46</v>
      </c>
      <c r="I1132" s="1" t="s">
        <v>509</v>
      </c>
      <c r="J1132" s="1" t="s">
        <v>1405</v>
      </c>
      <c r="K1132" s="7">
        <v>44266.481075288844</v>
      </c>
      <c r="L1132" s="6">
        <v>3200.46</v>
      </c>
    </row>
    <row r="1133" spans="1:12" hidden="1" x14ac:dyDescent="0.25">
      <c r="A1133" s="4">
        <v>346</v>
      </c>
      <c r="B1133" s="2" t="str">
        <f>HYPERLINK("https://my.zakupki.prom.ua/remote/dispatcher/state_purchase_view/29241468", "UA-2021-08-25-003135-a")</f>
        <v>UA-2021-08-25-003135-a</v>
      </c>
      <c r="C1133" s="1" t="s">
        <v>666</v>
      </c>
      <c r="D1133" s="1" t="s">
        <v>88</v>
      </c>
      <c r="E1133" s="1" t="s">
        <v>470</v>
      </c>
      <c r="F1133" s="5">
        <v>44433</v>
      </c>
      <c r="G1133" s="1" t="s">
        <v>1398</v>
      </c>
      <c r="H1133" s="6">
        <v>16975</v>
      </c>
      <c r="I1133" s="1" t="s">
        <v>1326</v>
      </c>
      <c r="J1133" s="1" t="s">
        <v>1405</v>
      </c>
      <c r="K1133" s="7">
        <v>44454.658254246642</v>
      </c>
      <c r="L1133" s="6">
        <v>16975</v>
      </c>
    </row>
    <row r="1134" spans="1:12" hidden="1" x14ac:dyDescent="0.25">
      <c r="A1134" s="4">
        <v>347</v>
      </c>
      <c r="B1134" s="2" t="str">
        <f>HYPERLINK("https://my.zakupki.prom.ua/remote/dispatcher/state_purchase_view/20626547", "UA-2020-10-30-004501-c")</f>
        <v>UA-2020-10-30-004501-c</v>
      </c>
      <c r="C1134" s="1" t="s">
        <v>775</v>
      </c>
      <c r="D1134" s="1" t="s">
        <v>204</v>
      </c>
      <c r="E1134" s="1" t="s">
        <v>488</v>
      </c>
      <c r="F1134" s="5">
        <v>44134</v>
      </c>
      <c r="G1134" s="1" t="s">
        <v>1397</v>
      </c>
      <c r="H1134" s="6">
        <v>4500</v>
      </c>
      <c r="I1134" s="1" t="s">
        <v>1217</v>
      </c>
      <c r="J1134" s="1" t="s">
        <v>1405</v>
      </c>
      <c r="K1134" s="7">
        <v>44134.583194803323</v>
      </c>
      <c r="L1134" s="6">
        <v>4500</v>
      </c>
    </row>
    <row r="1135" spans="1:12" hidden="1" x14ac:dyDescent="0.25">
      <c r="A1135" s="4">
        <v>348</v>
      </c>
      <c r="B1135" s="2" t="str">
        <f>HYPERLINK("https://my.zakupki.prom.ua/remote/dispatcher/state_purchase_view/18298863", "UA-2020-08-04-004888-a")</f>
        <v>UA-2020-08-04-004888-a</v>
      </c>
      <c r="C1135" s="1" t="s">
        <v>463</v>
      </c>
      <c r="D1135" s="1" t="s">
        <v>172</v>
      </c>
      <c r="E1135" s="1" t="s">
        <v>390</v>
      </c>
      <c r="F1135" s="5">
        <v>44047</v>
      </c>
      <c r="G1135" s="7">
        <v>44064.487951388888</v>
      </c>
      <c r="H1135" s="6">
        <v>225000</v>
      </c>
      <c r="I1135" s="1" t="s">
        <v>1143</v>
      </c>
      <c r="J1135" s="1" t="s">
        <v>1405</v>
      </c>
      <c r="K1135" s="7">
        <v>44081.397650961932</v>
      </c>
      <c r="L1135" s="6">
        <v>218744.35</v>
      </c>
    </row>
    <row r="1136" spans="1:12" hidden="1" x14ac:dyDescent="0.25">
      <c r="A1136" s="4">
        <v>349</v>
      </c>
      <c r="B1136" s="2" t="str">
        <f>HYPERLINK("https://my.zakupki.prom.ua/remote/dispatcher/state_purchase_view/18232844", "UA-2020-07-31-000642-c")</f>
        <v>UA-2020-07-31-000642-c</v>
      </c>
      <c r="C1136" s="1" t="s">
        <v>270</v>
      </c>
      <c r="D1136" s="1" t="s">
        <v>222</v>
      </c>
      <c r="E1136" s="1" t="s">
        <v>488</v>
      </c>
      <c r="F1136" s="5">
        <v>44043</v>
      </c>
      <c r="G1136" s="1" t="s">
        <v>1397</v>
      </c>
      <c r="H1136" s="6">
        <v>130000</v>
      </c>
      <c r="I1136" s="1" t="s">
        <v>697</v>
      </c>
      <c r="J1136" s="1" t="s">
        <v>1405</v>
      </c>
      <c r="K1136" s="7">
        <v>44043.397821633218</v>
      </c>
      <c r="L1136" s="6">
        <v>130000</v>
      </c>
    </row>
    <row r="1137" spans="1:12" hidden="1" x14ac:dyDescent="0.25">
      <c r="A1137" s="4">
        <v>350</v>
      </c>
      <c r="B1137" s="2" t="str">
        <f>HYPERLINK("https://my.zakupki.prom.ua/remote/dispatcher/state_purchase_view/18238171", "UA-2020-07-31-002420-c")</f>
        <v>UA-2020-07-31-002420-c</v>
      </c>
      <c r="C1137" s="1" t="s">
        <v>837</v>
      </c>
      <c r="D1137" s="1" t="s">
        <v>241</v>
      </c>
      <c r="E1137" s="1" t="s">
        <v>390</v>
      </c>
      <c r="F1137" s="5">
        <v>44043</v>
      </c>
      <c r="G1137" s="7">
        <v>44060.584826388891</v>
      </c>
      <c r="H1137" s="6">
        <v>1969950</v>
      </c>
      <c r="I1137" s="1" t="s">
        <v>1150</v>
      </c>
      <c r="J1137" s="1" t="s">
        <v>1405</v>
      </c>
      <c r="K1137" s="7">
        <v>44078.440580740462</v>
      </c>
      <c r="L1137" s="6">
        <v>1960100</v>
      </c>
    </row>
    <row r="1138" spans="1:12" hidden="1" x14ac:dyDescent="0.25">
      <c r="A1138" s="4">
        <v>351</v>
      </c>
      <c r="B1138" s="2" t="str">
        <f>HYPERLINK("https://my.zakupki.prom.ua/remote/dispatcher/state_purchase_view/19799556", "UA-2020-10-02-009478-a")</f>
        <v>UA-2020-10-02-009478-a</v>
      </c>
      <c r="C1138" s="1" t="s">
        <v>718</v>
      </c>
      <c r="D1138" s="1" t="s">
        <v>133</v>
      </c>
      <c r="E1138" s="1" t="s">
        <v>1086</v>
      </c>
      <c r="F1138" s="5">
        <v>44106</v>
      </c>
      <c r="G1138" s="1" t="s">
        <v>1398</v>
      </c>
      <c r="H1138" s="6">
        <v>187000</v>
      </c>
      <c r="I1138" s="1" t="s">
        <v>1151</v>
      </c>
      <c r="J1138" s="1" t="s">
        <v>1405</v>
      </c>
      <c r="K1138" s="7">
        <v>44123.41385022398</v>
      </c>
      <c r="L1138" s="6">
        <v>187000</v>
      </c>
    </row>
    <row r="1139" spans="1:12" hidden="1" x14ac:dyDescent="0.25">
      <c r="A1139" s="4">
        <v>352</v>
      </c>
      <c r="B1139" s="2" t="str">
        <f>HYPERLINK("https://my.zakupki.prom.ua/remote/dispatcher/state_purchase_view/21132746", "UA-2020-11-17-003249-c")</f>
        <v>UA-2020-11-17-003249-c</v>
      </c>
      <c r="C1139" s="1" t="s">
        <v>336</v>
      </c>
      <c r="D1139" s="1" t="s">
        <v>170</v>
      </c>
      <c r="E1139" s="1" t="s">
        <v>390</v>
      </c>
      <c r="F1139" s="5">
        <v>44152</v>
      </c>
      <c r="G1139" s="7">
        <v>44169.543599537035</v>
      </c>
      <c r="H1139" s="6">
        <v>283500</v>
      </c>
      <c r="I1139" s="1" t="s">
        <v>1151</v>
      </c>
      <c r="J1139" s="1" t="s">
        <v>1405</v>
      </c>
      <c r="K1139" s="7">
        <v>44188.61485837942</v>
      </c>
      <c r="L1139" s="6">
        <v>271800</v>
      </c>
    </row>
    <row r="1140" spans="1:12" hidden="1" x14ac:dyDescent="0.25">
      <c r="A1140" s="4">
        <v>353</v>
      </c>
      <c r="B1140" s="2" t="str">
        <f>HYPERLINK("https://my.zakupki.prom.ua/remote/dispatcher/state_purchase_view/18942551", "UA-2020-09-02-004817-b")</f>
        <v>UA-2020-09-02-004817-b</v>
      </c>
      <c r="C1140" s="1" t="s">
        <v>947</v>
      </c>
      <c r="D1140" s="1" t="s">
        <v>196</v>
      </c>
      <c r="E1140" s="1" t="s">
        <v>390</v>
      </c>
      <c r="F1140" s="5">
        <v>44076</v>
      </c>
      <c r="G1140" s="7">
        <v>44095.58011574074</v>
      </c>
      <c r="H1140" s="6">
        <v>318650</v>
      </c>
      <c r="I1140" s="1" t="s">
        <v>1313</v>
      </c>
      <c r="J1140" s="1" t="s">
        <v>1405</v>
      </c>
      <c r="K1140" s="7">
        <v>44113.727063898288</v>
      </c>
      <c r="L1140" s="6">
        <v>311435.19</v>
      </c>
    </row>
    <row r="1141" spans="1:12" hidden="1" x14ac:dyDescent="0.25">
      <c r="A1141" s="4">
        <v>354</v>
      </c>
      <c r="B1141" s="2" t="str">
        <f>HYPERLINK("https://my.zakupki.prom.ua/remote/dispatcher/state_purchase_view/18493946", "UA-2020-08-12-005641-a")</f>
        <v>UA-2020-08-12-005641-a</v>
      </c>
      <c r="C1141" s="1" t="s">
        <v>553</v>
      </c>
      <c r="D1141" s="1" t="s">
        <v>96</v>
      </c>
      <c r="E1141" s="1" t="s">
        <v>390</v>
      </c>
      <c r="F1141" s="5">
        <v>44055</v>
      </c>
      <c r="G1141" s="1" t="s">
        <v>1398</v>
      </c>
      <c r="H1141" s="6">
        <v>700000</v>
      </c>
      <c r="I1141" s="1"/>
      <c r="J1141" s="1" t="s">
        <v>1406</v>
      </c>
      <c r="K1141" s="7">
        <v>44071.502924227942</v>
      </c>
      <c r="L1141" s="1"/>
    </row>
    <row r="1142" spans="1:12" hidden="1" x14ac:dyDescent="0.25">
      <c r="A1142" s="4">
        <v>356</v>
      </c>
      <c r="B1142" s="2" t="str">
        <f>HYPERLINK("https://my.zakupki.prom.ua/remote/dispatcher/state_purchase_view/23524686", "UA-2021-02-02-002781-a")</f>
        <v>UA-2021-02-02-002781-a</v>
      </c>
      <c r="C1142" s="1" t="s">
        <v>305</v>
      </c>
      <c r="D1142" s="1" t="s">
        <v>228</v>
      </c>
      <c r="E1142" s="1" t="s">
        <v>488</v>
      </c>
      <c r="F1142" s="5">
        <v>44229</v>
      </c>
      <c r="G1142" s="1" t="s">
        <v>1397</v>
      </c>
      <c r="H1142" s="6">
        <v>1600</v>
      </c>
      <c r="I1142" s="1" t="s">
        <v>1368</v>
      </c>
      <c r="J1142" s="1" t="s">
        <v>1405</v>
      </c>
      <c r="K1142" s="7">
        <v>44229.43434612573</v>
      </c>
      <c r="L1142" s="6">
        <v>1600</v>
      </c>
    </row>
    <row r="1143" spans="1:12" hidden="1" x14ac:dyDescent="0.25">
      <c r="A1143" s="4">
        <v>357</v>
      </c>
      <c r="B1143" s="2" t="str">
        <f>HYPERLINK("https://my.zakupki.prom.ua/remote/dispatcher/state_purchase_view/21338595", "UA-2020-11-23-009938-c")</f>
        <v>UA-2020-11-23-009938-c</v>
      </c>
      <c r="C1143" s="1" t="s">
        <v>865</v>
      </c>
      <c r="D1143" s="1" t="s">
        <v>255</v>
      </c>
      <c r="E1143" s="1" t="s">
        <v>488</v>
      </c>
      <c r="F1143" s="5">
        <v>44158</v>
      </c>
      <c r="G1143" s="1" t="s">
        <v>1397</v>
      </c>
      <c r="H1143" s="6">
        <v>199836</v>
      </c>
      <c r="I1143" s="1" t="s">
        <v>1198</v>
      </c>
      <c r="J1143" s="1" t="s">
        <v>1405</v>
      </c>
      <c r="K1143" s="7">
        <v>44159.553646575812</v>
      </c>
      <c r="L1143" s="6">
        <v>199836</v>
      </c>
    </row>
    <row r="1144" spans="1:12" hidden="1" x14ac:dyDescent="0.25">
      <c r="A1144" s="4">
        <v>358</v>
      </c>
      <c r="B1144" s="2" t="str">
        <f>HYPERLINK("https://my.zakupki.prom.ua/remote/dispatcher/state_purchase_view/26039457", "UA-2021-04-21-011475-c")</f>
        <v>UA-2021-04-21-011475-c</v>
      </c>
      <c r="C1144" s="1" t="s">
        <v>567</v>
      </c>
      <c r="D1144" s="1" t="s">
        <v>220</v>
      </c>
      <c r="E1144" s="1" t="s">
        <v>488</v>
      </c>
      <c r="F1144" s="5">
        <v>44307</v>
      </c>
      <c r="G1144" s="1" t="s">
        <v>1397</v>
      </c>
      <c r="H1144" s="6">
        <v>668500</v>
      </c>
      <c r="I1144" s="1" t="s">
        <v>1192</v>
      </c>
      <c r="J1144" s="1" t="s">
        <v>1405</v>
      </c>
      <c r="K1144" s="7">
        <v>44307.76757997353</v>
      </c>
      <c r="L1144" s="6">
        <v>668500</v>
      </c>
    </row>
    <row r="1145" spans="1:12" hidden="1" x14ac:dyDescent="0.25">
      <c r="A1145" s="4">
        <v>359</v>
      </c>
      <c r="B1145" s="2" t="str">
        <f>HYPERLINK("https://my.zakupki.prom.ua/remote/dispatcher/state_purchase_view/25166331", "UA-2021-03-23-002842-b")</f>
        <v>UA-2021-03-23-002842-b</v>
      </c>
      <c r="C1145" s="1" t="s">
        <v>558</v>
      </c>
      <c r="D1145" s="1" t="s">
        <v>81</v>
      </c>
      <c r="E1145" s="1" t="s">
        <v>470</v>
      </c>
      <c r="F1145" s="5">
        <v>44278</v>
      </c>
      <c r="G1145" s="7">
        <v>44288.479120370372</v>
      </c>
      <c r="H1145" s="6">
        <v>40000</v>
      </c>
      <c r="I1145" s="1" t="s">
        <v>1145</v>
      </c>
      <c r="J1145" s="1" t="s">
        <v>1405</v>
      </c>
      <c r="K1145" s="7">
        <v>44294.407300312421</v>
      </c>
      <c r="L1145" s="6">
        <v>35700</v>
      </c>
    </row>
    <row r="1146" spans="1:12" hidden="1" x14ac:dyDescent="0.25">
      <c r="A1146" s="4">
        <v>360</v>
      </c>
      <c r="B1146" s="2" t="str">
        <f>HYPERLINK("https://my.zakupki.prom.ua/remote/dispatcher/state_purchase_view/26402140", "UA-2021-05-11-000638-a")</f>
        <v>UA-2021-05-11-000638-a</v>
      </c>
      <c r="C1146" s="1" t="s">
        <v>811</v>
      </c>
      <c r="D1146" s="1" t="s">
        <v>229</v>
      </c>
      <c r="E1146" s="1" t="s">
        <v>488</v>
      </c>
      <c r="F1146" s="5">
        <v>44327</v>
      </c>
      <c r="G1146" s="1" t="s">
        <v>1397</v>
      </c>
      <c r="H1146" s="6">
        <v>332</v>
      </c>
      <c r="I1146" s="1" t="s">
        <v>1241</v>
      </c>
      <c r="J1146" s="1" t="s">
        <v>1405</v>
      </c>
      <c r="K1146" s="7">
        <v>44327.396006101459</v>
      </c>
      <c r="L1146" s="6">
        <v>332</v>
      </c>
    </row>
    <row r="1147" spans="1:12" hidden="1" x14ac:dyDescent="0.25">
      <c r="A1147" s="4">
        <v>361</v>
      </c>
      <c r="B1147" s="2" t="str">
        <f>HYPERLINK("https://my.zakupki.prom.ua/remote/dispatcher/state_purchase_view/24931182", "UA-2021-03-16-004268-c")</f>
        <v>UA-2021-03-16-004268-c</v>
      </c>
      <c r="C1147" s="1" t="s">
        <v>560</v>
      </c>
      <c r="D1147" s="1" t="s">
        <v>81</v>
      </c>
      <c r="E1147" s="1" t="s">
        <v>488</v>
      </c>
      <c r="F1147" s="5">
        <v>44271</v>
      </c>
      <c r="G1147" s="1" t="s">
        <v>1397</v>
      </c>
      <c r="H1147" s="6">
        <v>2850</v>
      </c>
      <c r="I1147" s="1" t="s">
        <v>571</v>
      </c>
      <c r="J1147" s="1" t="s">
        <v>1405</v>
      </c>
      <c r="K1147" s="7">
        <v>44271.518010619708</v>
      </c>
      <c r="L1147" s="6">
        <v>2850</v>
      </c>
    </row>
    <row r="1148" spans="1:12" hidden="1" x14ac:dyDescent="0.25">
      <c r="A1148" s="4">
        <v>362</v>
      </c>
      <c r="B1148" s="2" t="str">
        <f>HYPERLINK("https://my.zakupki.prom.ua/remote/dispatcher/state_purchase_view/24650151", "UA-2021-03-05-000911-c")</f>
        <v>UA-2021-03-05-000911-c</v>
      </c>
      <c r="C1148" s="1" t="s">
        <v>329</v>
      </c>
      <c r="D1148" s="1" t="s">
        <v>50</v>
      </c>
      <c r="E1148" s="1" t="s">
        <v>470</v>
      </c>
      <c r="F1148" s="5">
        <v>44260</v>
      </c>
      <c r="G1148" s="1" t="s">
        <v>1398</v>
      </c>
      <c r="H1148" s="6">
        <v>45798</v>
      </c>
      <c r="I1148" s="1"/>
      <c r="J1148" s="1" t="s">
        <v>1406</v>
      </c>
      <c r="K1148" s="7">
        <v>44272.384353545865</v>
      </c>
      <c r="L1148" s="1"/>
    </row>
    <row r="1149" spans="1:12" hidden="1" x14ac:dyDescent="0.25">
      <c r="A1149" s="4">
        <v>363</v>
      </c>
      <c r="B1149" s="2" t="str">
        <f>HYPERLINK("https://my.zakupki.prom.ua/remote/dispatcher/state_purchase_view/27992801", "UA-2021-07-06-003944-c")</f>
        <v>UA-2021-07-06-003944-c</v>
      </c>
      <c r="C1149" s="1" t="s">
        <v>0</v>
      </c>
      <c r="D1149" s="1" t="s">
        <v>156</v>
      </c>
      <c r="E1149" s="1" t="s">
        <v>470</v>
      </c>
      <c r="F1149" s="5">
        <v>44383</v>
      </c>
      <c r="G1149" s="1" t="s">
        <v>1398</v>
      </c>
      <c r="H1149" s="6">
        <v>26000</v>
      </c>
      <c r="I1149" s="1" t="s">
        <v>1330</v>
      </c>
      <c r="J1149" s="1" t="s">
        <v>1405</v>
      </c>
      <c r="K1149" s="7">
        <v>44407.438019335554</v>
      </c>
      <c r="L1149" s="6">
        <v>26000</v>
      </c>
    </row>
    <row r="1150" spans="1:12" hidden="1" x14ac:dyDescent="0.25">
      <c r="A1150" s="4">
        <v>364</v>
      </c>
      <c r="B1150" s="2" t="str">
        <f>HYPERLINK("https://my.zakupki.prom.ua/remote/dispatcher/state_purchase_view/27994521", "UA-2021-07-06-004385-c")</f>
        <v>UA-2021-07-06-004385-c</v>
      </c>
      <c r="C1150" s="1" t="s">
        <v>506</v>
      </c>
      <c r="D1150" s="1" t="s">
        <v>178</v>
      </c>
      <c r="E1150" s="1" t="s">
        <v>470</v>
      </c>
      <c r="F1150" s="5">
        <v>44383</v>
      </c>
      <c r="G1150" s="7">
        <v>44393.640729166669</v>
      </c>
      <c r="H1150" s="6">
        <v>11777</v>
      </c>
      <c r="I1150" s="1" t="s">
        <v>1330</v>
      </c>
      <c r="J1150" s="1" t="s">
        <v>1405</v>
      </c>
      <c r="K1150" s="7">
        <v>44407.424093229049</v>
      </c>
      <c r="L1150" s="6">
        <v>11777</v>
      </c>
    </row>
    <row r="1151" spans="1:12" hidden="1" x14ac:dyDescent="0.25">
      <c r="A1151" s="4">
        <v>365</v>
      </c>
      <c r="B1151" s="2" t="str">
        <f>HYPERLINK("https://my.zakupki.prom.ua/remote/dispatcher/state_purchase_view/29775254", "UA-2021-09-13-003073-b")</f>
        <v>UA-2021-09-13-003073-b</v>
      </c>
      <c r="C1151" s="1" t="s">
        <v>942</v>
      </c>
      <c r="D1151" s="1" t="s">
        <v>188</v>
      </c>
      <c r="E1151" s="1" t="s">
        <v>390</v>
      </c>
      <c r="F1151" s="5">
        <v>44452</v>
      </c>
      <c r="G1151" s="1" t="s">
        <v>1398</v>
      </c>
      <c r="H1151" s="6">
        <v>835100</v>
      </c>
      <c r="I1151" s="1"/>
      <c r="J1151" s="1" t="s">
        <v>1406</v>
      </c>
      <c r="K1151" s="7">
        <v>44468.418016969154</v>
      </c>
      <c r="L1151" s="1"/>
    </row>
    <row r="1152" spans="1:12" hidden="1" x14ac:dyDescent="0.25">
      <c r="A1152" s="4">
        <v>366</v>
      </c>
      <c r="B1152" s="2" t="str">
        <f>HYPERLINK("https://my.zakupki.prom.ua/remote/dispatcher/state_purchase_view/29824872", "UA-2021-09-14-003808-b")</f>
        <v>UA-2021-09-14-003808-b</v>
      </c>
      <c r="C1152" s="1" t="s">
        <v>295</v>
      </c>
      <c r="D1152" s="1" t="s">
        <v>60</v>
      </c>
      <c r="E1152" s="1" t="s">
        <v>488</v>
      </c>
      <c r="F1152" s="5">
        <v>44453</v>
      </c>
      <c r="G1152" s="1" t="s">
        <v>1397</v>
      </c>
      <c r="H1152" s="6">
        <v>2208</v>
      </c>
      <c r="I1152" s="1" t="s">
        <v>1205</v>
      </c>
      <c r="J1152" s="1" t="s">
        <v>1405</v>
      </c>
      <c r="K1152" s="7">
        <v>44453.480223418439</v>
      </c>
      <c r="L1152" s="6">
        <v>2208</v>
      </c>
    </row>
    <row r="1153" spans="1:12" hidden="1" x14ac:dyDescent="0.25">
      <c r="A1153" s="4">
        <v>367</v>
      </c>
      <c r="B1153" s="2" t="str">
        <f>HYPERLINK("https://my.zakupki.prom.ua/remote/dispatcher/state_purchase_view/28620037", "UA-2021-07-29-009746-b")</f>
        <v>UA-2021-07-29-009746-b</v>
      </c>
      <c r="C1153" s="1" t="s">
        <v>405</v>
      </c>
      <c r="D1153" s="1" t="s">
        <v>166</v>
      </c>
      <c r="E1153" s="1" t="s">
        <v>1086</v>
      </c>
      <c r="F1153" s="5">
        <v>44406</v>
      </c>
      <c r="G1153" s="1" t="s">
        <v>1398</v>
      </c>
      <c r="H1153" s="6">
        <v>13000</v>
      </c>
      <c r="I1153" s="1"/>
      <c r="J1153" s="1" t="s">
        <v>1406</v>
      </c>
      <c r="K1153" s="7">
        <v>44417.00063136001</v>
      </c>
      <c r="L1153" s="1"/>
    </row>
    <row r="1154" spans="1:12" hidden="1" x14ac:dyDescent="0.25">
      <c r="A1154" s="4">
        <v>368</v>
      </c>
      <c r="B1154" s="2" t="str">
        <f>HYPERLINK("https://my.zakupki.prom.ua/remote/dispatcher/state_purchase_view/28320625", "UA-2021-07-19-002585-b")</f>
        <v>UA-2021-07-19-002585-b</v>
      </c>
      <c r="C1154" s="1" t="s">
        <v>1096</v>
      </c>
      <c r="D1154" s="1" t="s">
        <v>55</v>
      </c>
      <c r="E1154" s="1" t="s">
        <v>470</v>
      </c>
      <c r="F1154" s="5">
        <v>44396</v>
      </c>
      <c r="G1154" s="7">
        <v>44406.635810185187</v>
      </c>
      <c r="H1154" s="6">
        <v>21080</v>
      </c>
      <c r="I1154" s="1" t="s">
        <v>1171</v>
      </c>
      <c r="J1154" s="1" t="s">
        <v>1405</v>
      </c>
      <c r="K1154" s="7">
        <v>44419.649407110795</v>
      </c>
      <c r="L1154" s="6">
        <v>13000</v>
      </c>
    </row>
    <row r="1155" spans="1:12" x14ac:dyDescent="0.25">
      <c r="A1155" s="4">
        <v>369</v>
      </c>
      <c r="B1155" s="2" t="str">
        <f>HYPERLINK("https://my.zakupki.prom.ua/remote/dispatcher/state_purchase_view/29203688", "UA-2021-08-20-004786-a")</f>
        <v>UA-2021-08-20-004786-a</v>
      </c>
      <c r="C1155" s="1" t="s">
        <v>668</v>
      </c>
      <c r="D1155" s="1" t="s">
        <v>166</v>
      </c>
      <c r="E1155" s="1" t="s">
        <v>390</v>
      </c>
      <c r="F1155" s="5">
        <v>44428</v>
      </c>
      <c r="G1155" s="7">
        <v>44445.591423611113</v>
      </c>
      <c r="H1155" s="6">
        <v>970031</v>
      </c>
      <c r="I1155" s="1" t="s">
        <v>1326</v>
      </c>
      <c r="J1155" s="1" t="s">
        <v>1405</v>
      </c>
      <c r="K1155" s="7">
        <v>44459.556456297578</v>
      </c>
      <c r="L1155" s="6">
        <v>970000.44</v>
      </c>
    </row>
    <row r="1156" spans="1:12" hidden="1" x14ac:dyDescent="0.25">
      <c r="A1156" s="4">
        <v>370</v>
      </c>
      <c r="B1156" s="2" t="str">
        <f>HYPERLINK("https://my.zakupki.prom.ua/remote/dispatcher/state_purchase_view/31315076", "UA-2021-11-02-001308-a")</f>
        <v>UA-2021-11-02-001308-a</v>
      </c>
      <c r="C1156" s="1" t="s">
        <v>414</v>
      </c>
      <c r="D1156" s="1" t="s">
        <v>105</v>
      </c>
      <c r="E1156" s="1" t="s">
        <v>470</v>
      </c>
      <c r="F1156" s="5">
        <v>44502</v>
      </c>
      <c r="G1156" s="7">
        <v>44512.473796296297</v>
      </c>
      <c r="H1156" s="6">
        <v>10600</v>
      </c>
      <c r="I1156" s="1" t="s">
        <v>1162</v>
      </c>
      <c r="J1156" s="1" t="s">
        <v>1405</v>
      </c>
      <c r="K1156" s="7">
        <v>44526.498274511723</v>
      </c>
      <c r="L1156" s="6">
        <v>9633</v>
      </c>
    </row>
    <row r="1157" spans="1:12" hidden="1" x14ac:dyDescent="0.25">
      <c r="A1157" s="4">
        <v>371</v>
      </c>
      <c r="B1157" s="2" t="str">
        <f>HYPERLINK("https://my.zakupki.prom.ua/remote/dispatcher/state_purchase_view/32852018", "UA-2021-12-09-013963-c")</f>
        <v>UA-2021-12-09-013963-c</v>
      </c>
      <c r="C1157" s="1" t="s">
        <v>304</v>
      </c>
      <c r="D1157" s="1" t="s">
        <v>228</v>
      </c>
      <c r="E1157" s="1" t="s">
        <v>488</v>
      </c>
      <c r="F1157" s="5">
        <v>44539</v>
      </c>
      <c r="G1157" s="1" t="s">
        <v>1397</v>
      </c>
      <c r="H1157" s="6">
        <v>400</v>
      </c>
      <c r="I1157" s="1" t="s">
        <v>1391</v>
      </c>
      <c r="J1157" s="1" t="s">
        <v>1405</v>
      </c>
      <c r="K1157" s="7">
        <v>44539.642069641515</v>
      </c>
      <c r="L1157" s="6">
        <v>400</v>
      </c>
    </row>
    <row r="1158" spans="1:12" hidden="1" x14ac:dyDescent="0.25">
      <c r="A1158" s="4">
        <v>372</v>
      </c>
      <c r="B1158" s="2" t="str">
        <f>HYPERLINK("https://my.zakupki.prom.ua/remote/dispatcher/state_purchase_view/32871258", "UA-2021-12-09-019291-c")</f>
        <v>UA-2021-12-09-019291-c</v>
      </c>
      <c r="C1158" s="1" t="s">
        <v>903</v>
      </c>
      <c r="D1158" s="1" t="s">
        <v>224</v>
      </c>
      <c r="E1158" s="1" t="s">
        <v>488</v>
      </c>
      <c r="F1158" s="5">
        <v>44539</v>
      </c>
      <c r="G1158" s="1" t="s">
        <v>1397</v>
      </c>
      <c r="H1158" s="6">
        <v>8000</v>
      </c>
      <c r="I1158" s="1" t="s">
        <v>1231</v>
      </c>
      <c r="J1158" s="1" t="s">
        <v>1405</v>
      </c>
      <c r="K1158" s="7">
        <v>44539.746301715371</v>
      </c>
      <c r="L1158" s="6">
        <v>8000</v>
      </c>
    </row>
    <row r="1159" spans="1:12" hidden="1" x14ac:dyDescent="0.25">
      <c r="A1159" s="4">
        <v>373</v>
      </c>
      <c r="B1159" s="2" t="str">
        <f>HYPERLINK("https://my.zakupki.prom.ua/remote/dispatcher/state_purchase_view/32400796", "UA-2021-11-30-009960-c")</f>
        <v>UA-2021-11-30-009960-c</v>
      </c>
      <c r="C1159" s="1" t="s">
        <v>858</v>
      </c>
      <c r="D1159" s="1" t="s">
        <v>188</v>
      </c>
      <c r="E1159" s="1" t="s">
        <v>488</v>
      </c>
      <c r="F1159" s="5">
        <v>44530</v>
      </c>
      <c r="G1159" s="1" t="s">
        <v>1397</v>
      </c>
      <c r="H1159" s="6">
        <v>49950</v>
      </c>
      <c r="I1159" s="1" t="s">
        <v>486</v>
      </c>
      <c r="J1159" s="1" t="s">
        <v>1405</v>
      </c>
      <c r="K1159" s="7">
        <v>44531.365523534041</v>
      </c>
      <c r="L1159" s="6">
        <v>49950</v>
      </c>
    </row>
    <row r="1160" spans="1:12" hidden="1" x14ac:dyDescent="0.25">
      <c r="A1160" s="4">
        <v>374</v>
      </c>
      <c r="B1160" s="2" t="str">
        <f>HYPERLINK("https://my.zakupki.prom.ua/remote/dispatcher/state_purchase_view/32328638", "UA-2021-11-29-004335-c")</f>
        <v>UA-2021-11-29-004335-c</v>
      </c>
      <c r="C1160" s="1" t="s">
        <v>474</v>
      </c>
      <c r="D1160" s="1" t="s">
        <v>36</v>
      </c>
      <c r="E1160" s="1" t="s">
        <v>723</v>
      </c>
      <c r="F1160" s="5">
        <v>44529</v>
      </c>
      <c r="G1160" s="1" t="s">
        <v>1397</v>
      </c>
      <c r="H1160" s="6">
        <v>799985.85</v>
      </c>
      <c r="I1160" s="1" t="s">
        <v>1201</v>
      </c>
      <c r="J1160" s="1" t="s">
        <v>1405</v>
      </c>
      <c r="K1160" s="7">
        <v>44536.397970696678</v>
      </c>
      <c r="L1160" s="6">
        <v>799985.85</v>
      </c>
    </row>
    <row r="1161" spans="1:12" hidden="1" x14ac:dyDescent="0.25">
      <c r="A1161" s="1" t="s">
        <v>505</v>
      </c>
    </row>
  </sheetData>
  <autoFilter ref="A2:L1161">
    <filterColumn colId="4">
      <filters>
        <filter val="Відкриті торги"/>
        <filter val="Відкриті торги з публікацією англійською мовою"/>
      </filters>
    </filterColumn>
    <filterColumn colId="5">
      <filters>
        <dateGroupItem year="2022" dateTimeGrouping="year"/>
        <dateGroupItem year="2021" dateTimeGrouping="year"/>
        <dateGroupItem year="2020" dateTimeGrouping="year"/>
      </filters>
    </filterColumn>
    <filterColumn colId="6">
      <filters>
        <dateGroupItem year="2021" dateTimeGrouping="year"/>
      </filters>
    </filterColumn>
  </autoFilter>
  <hyperlinks>
    <hyperlink ref="B3" r:id="rId1" display="https://my.zakupki.prom.ua/remote/dispatcher/state_purchase_view/10256078"/>
    <hyperlink ref="B4" r:id="rId2" display="https://my.zakupki.prom.ua/remote/dispatcher/state_purchase_view/7649874"/>
    <hyperlink ref="B5" r:id="rId3" display="https://my.zakupki.prom.ua/remote/dispatcher/state_purchase_view/7542480"/>
    <hyperlink ref="B6" r:id="rId4" display="https://my.zakupki.prom.ua/remote/dispatcher/state_purchase_view/7985639"/>
    <hyperlink ref="B7" r:id="rId5" display="https://my.zakupki.prom.ua/remote/dispatcher/state_purchase_view/8009275"/>
    <hyperlink ref="B8" r:id="rId6" display="https://my.zakupki.prom.ua/remote/dispatcher/state_purchase_view/7850988"/>
    <hyperlink ref="B9" r:id="rId7" display="https://my.zakupki.prom.ua/remote/dispatcher/state_purchase_view/9064530"/>
    <hyperlink ref="B10" r:id="rId8" display="https://my.zakupki.prom.ua/remote/dispatcher/state_purchase_view/11280785"/>
    <hyperlink ref="B11" r:id="rId9" display="https://my.zakupki.prom.ua/remote/dispatcher/state_purchase_view/11233024"/>
    <hyperlink ref="B12" r:id="rId10" display="https://my.zakupki.prom.ua/remote/dispatcher/state_purchase_view/11233024"/>
    <hyperlink ref="B13" r:id="rId11" display="https://my.zakupki.prom.ua/remote/dispatcher/state_purchase_view/10793167"/>
    <hyperlink ref="B14" r:id="rId12" display="https://my.zakupki.prom.ua/remote/dispatcher/state_purchase_view/10392142"/>
    <hyperlink ref="B15" r:id="rId13" display="https://my.zakupki.prom.ua/remote/dispatcher/state_purchase_view/855261"/>
    <hyperlink ref="B16" r:id="rId14" display="https://my.zakupki.prom.ua/remote/dispatcher/state_purchase_view/855261"/>
    <hyperlink ref="B17" r:id="rId15" display="https://my.zakupki.prom.ua/remote/dispatcher/state_purchase_view/1009271"/>
    <hyperlink ref="B18" r:id="rId16" display="https://my.zakupki.prom.ua/remote/dispatcher/state_purchase_view/1035230"/>
    <hyperlink ref="B19" r:id="rId17" display="https://my.zakupki.prom.ua/remote/dispatcher/state_purchase_view/1784504"/>
    <hyperlink ref="B20" r:id="rId18" display="https://my.zakupki.prom.ua/remote/dispatcher/state_purchase_view/1963963"/>
    <hyperlink ref="B21" r:id="rId19" display="https://my.zakupki.prom.ua/remote/dispatcher/state_purchase_view/6626584"/>
    <hyperlink ref="B22" r:id="rId20" display="https://my.zakupki.prom.ua/remote/dispatcher/state_purchase_view/8809110"/>
    <hyperlink ref="B23" r:id="rId21" display="https://my.zakupki.prom.ua/remote/dispatcher/state_purchase_view/9096686"/>
    <hyperlink ref="B24" r:id="rId22" display="https://my.zakupki.prom.ua/remote/dispatcher/state_purchase_view/12644562"/>
    <hyperlink ref="B25" r:id="rId23" display="https://my.zakupki.prom.ua/remote/dispatcher/state_purchase_view/12254827"/>
    <hyperlink ref="B26" r:id="rId24" display="https://my.zakupki.prom.ua/remote/dispatcher/state_purchase_view/11940593"/>
    <hyperlink ref="B27" r:id="rId25" display="https://my.zakupki.prom.ua/remote/dispatcher/state_purchase_view/11812327"/>
    <hyperlink ref="B28" r:id="rId26" display="https://my.zakupki.prom.ua/remote/dispatcher/state_purchase_view/5067060"/>
    <hyperlink ref="B29" r:id="rId27" display="https://my.zakupki.prom.ua/remote/dispatcher/state_purchase_view/5125793"/>
    <hyperlink ref="B30" r:id="rId28" display="https://my.zakupki.prom.ua/remote/dispatcher/state_purchase_view/3675806"/>
    <hyperlink ref="B31" r:id="rId29" display="https://my.zakupki.prom.ua/remote/dispatcher/state_purchase_view/3918705"/>
    <hyperlink ref="B32" r:id="rId30" display="https://my.zakupki.prom.ua/remote/dispatcher/state_purchase_view/2822234"/>
    <hyperlink ref="B33" r:id="rId31" display="https://my.zakupki.prom.ua/remote/dispatcher/state_purchase_view/4577047"/>
    <hyperlink ref="B34" r:id="rId32" display="https://my.zakupki.prom.ua/remote/dispatcher/state_purchase_view/4680454"/>
    <hyperlink ref="B35" r:id="rId33" display="https://my.zakupki.prom.ua/remote/dispatcher/state_purchase_view/4445980"/>
    <hyperlink ref="B36" r:id="rId34" display="https://my.zakupki.prom.ua/remote/dispatcher/state_purchase_view/4459280"/>
    <hyperlink ref="B37" r:id="rId35" display="https://my.zakupki.prom.ua/remote/dispatcher/state_purchase_view/4503555"/>
    <hyperlink ref="B38" r:id="rId36" display="https://my.zakupki.prom.ua/remote/dispatcher/state_purchase_view/7120619"/>
    <hyperlink ref="B39" r:id="rId37" display="https://my.zakupki.prom.ua/remote/dispatcher/state_purchase_view/6769583"/>
    <hyperlink ref="B40" r:id="rId38" display="https://my.zakupki.prom.ua/remote/dispatcher/state_purchase_view/4043813"/>
    <hyperlink ref="B41" r:id="rId39" display="https://my.zakupki.prom.ua/remote/dispatcher/state_purchase_view/4206256"/>
    <hyperlink ref="B42" r:id="rId40" display="https://my.zakupki.prom.ua/remote/dispatcher/state_purchase_view/2221788"/>
    <hyperlink ref="B43" r:id="rId41" display="https://my.zakupki.prom.ua/remote/dispatcher/state_purchase_view/15158093"/>
    <hyperlink ref="B44" r:id="rId42" display="https://my.zakupki.prom.ua/remote/dispatcher/state_purchase_view/15633528"/>
    <hyperlink ref="B45" r:id="rId43" display="https://my.zakupki.prom.ua/remote/dispatcher/state_purchase_view/17373409"/>
    <hyperlink ref="B46" r:id="rId44" display="https://my.zakupki.prom.ua/remote/dispatcher/state_purchase_view/16490977"/>
    <hyperlink ref="B47" r:id="rId45" display="https://my.zakupki.prom.ua/remote/dispatcher/state_purchase_view/16738586"/>
    <hyperlink ref="B48" r:id="rId46" display="https://my.zakupki.prom.ua/remote/dispatcher/state_purchase_view/14497352"/>
    <hyperlink ref="B49" r:id="rId47" display="https://my.zakupki.prom.ua/remote/dispatcher/state_purchase_view/13588747"/>
    <hyperlink ref="B50" r:id="rId48" display="https://my.zakupki.prom.ua/remote/dispatcher/state_purchase_view/13896119"/>
    <hyperlink ref="B51" r:id="rId49" display="https://my.zakupki.prom.ua/remote/dispatcher/state_purchase_view/16098831"/>
    <hyperlink ref="B52" r:id="rId50" display="https://my.zakupki.prom.ua/remote/dispatcher/state_purchase_view/16208765"/>
    <hyperlink ref="B53" r:id="rId51" display="https://my.zakupki.prom.ua/remote/dispatcher/state_purchase_view/15489141"/>
    <hyperlink ref="B54" r:id="rId52" display="https://my.zakupki.prom.ua/remote/dispatcher/state_purchase_view/15489418"/>
    <hyperlink ref="B55" r:id="rId53" display="https://my.zakupki.prom.ua/remote/dispatcher/state_purchase_view/2706273"/>
    <hyperlink ref="B56" r:id="rId54" display="https://my.zakupki.prom.ua/remote/dispatcher/state_purchase_view/3339110"/>
    <hyperlink ref="B57" r:id="rId55" display="https://my.zakupki.prom.ua/remote/dispatcher/state_purchase_view/2666295"/>
    <hyperlink ref="B58" r:id="rId56" display="https://my.zakupki.prom.ua/remote/dispatcher/state_purchase_view/4785983"/>
    <hyperlink ref="B59" r:id="rId57" display="https://my.zakupki.prom.ua/remote/dispatcher/state_purchase_view/4608330"/>
    <hyperlink ref="B60" r:id="rId58" display="https://my.zakupki.prom.ua/remote/dispatcher/state_purchase_view/4633906"/>
    <hyperlink ref="B61" r:id="rId59" display="https://my.zakupki.prom.ua/remote/dispatcher/state_purchase_view/5051488"/>
    <hyperlink ref="B62" r:id="rId60" display="https://my.zakupki.prom.ua/remote/dispatcher/state_purchase_view/2241633"/>
    <hyperlink ref="B63" r:id="rId61" display="https://my.zakupki.prom.ua/remote/dispatcher/state_purchase_view/4604991"/>
    <hyperlink ref="B64" r:id="rId62" display="https://my.zakupki.prom.ua/remote/dispatcher/state_purchase_view/4503205"/>
    <hyperlink ref="B65" r:id="rId63" display="https://my.zakupki.prom.ua/remote/dispatcher/state_purchase_view/1121085"/>
    <hyperlink ref="B66" r:id="rId64" display="https://my.zakupki.prom.ua/remote/dispatcher/state_purchase_view/739126"/>
    <hyperlink ref="B67" r:id="rId65" display="https://my.zakupki.prom.ua/remote/dispatcher/state_purchase_view/739126"/>
    <hyperlink ref="B68" r:id="rId66" display="https://my.zakupki.prom.ua/remote/dispatcher/state_purchase_view/739126"/>
    <hyperlink ref="B69" r:id="rId67" display="https://my.zakupki.prom.ua/remote/dispatcher/state_purchase_view/739126"/>
    <hyperlink ref="B70" r:id="rId68" display="https://my.zakupki.prom.ua/remote/dispatcher/state_purchase_view/842402"/>
    <hyperlink ref="B71" r:id="rId69" display="https://my.zakupki.prom.ua/remote/dispatcher/state_purchase_view/847207"/>
    <hyperlink ref="B72" r:id="rId70" display="https://my.zakupki.prom.ua/remote/dispatcher/state_purchase_view/6997358"/>
    <hyperlink ref="B73" r:id="rId71" display="https://my.zakupki.prom.ua/remote/dispatcher/state_purchase_view/6676272"/>
    <hyperlink ref="B74" r:id="rId72" display="https://my.zakupki.prom.ua/remote/dispatcher/state_purchase_view/6443107"/>
    <hyperlink ref="B75" r:id="rId73" display="https://my.zakupki.prom.ua/remote/dispatcher/state_purchase_view/6911072"/>
    <hyperlink ref="B76" r:id="rId74" display="https://my.zakupki.prom.ua/remote/dispatcher/state_purchase_view/7875784"/>
    <hyperlink ref="B77" r:id="rId75" display="https://my.zakupki.prom.ua/remote/dispatcher/state_purchase_view/7262497"/>
    <hyperlink ref="B78" r:id="rId76" display="https://my.zakupki.prom.ua/remote/dispatcher/state_purchase_view/7970015"/>
    <hyperlink ref="B79" r:id="rId77" display="https://my.zakupki.prom.ua/remote/dispatcher/state_purchase_view/8479718"/>
    <hyperlink ref="B80" r:id="rId78" display="https://my.zakupki.prom.ua/remote/dispatcher/state_purchase_view/8479891"/>
    <hyperlink ref="B81" r:id="rId79" display="https://my.zakupki.prom.ua/remote/dispatcher/state_purchase_view/8650780"/>
    <hyperlink ref="B82" r:id="rId80" display="https://my.zakupki.prom.ua/remote/dispatcher/state_purchase_view/7773791"/>
    <hyperlink ref="B83" r:id="rId81" display="https://my.zakupki.prom.ua/remote/dispatcher/state_purchase_view/7446782"/>
    <hyperlink ref="B84" r:id="rId82" display="https://my.zakupki.prom.ua/remote/dispatcher/state_purchase_view/7627834"/>
    <hyperlink ref="B85" r:id="rId83" display="https://my.zakupki.prom.ua/remote/dispatcher/state_purchase_view/4332732"/>
    <hyperlink ref="B86" r:id="rId84" display="https://my.zakupki.prom.ua/remote/dispatcher/state_purchase_view/4473716"/>
    <hyperlink ref="B87" r:id="rId85" display="https://my.zakupki.prom.ua/remote/dispatcher/state_purchase_view/12297230"/>
    <hyperlink ref="B88" r:id="rId86" display="https://my.zakupki.prom.ua/remote/dispatcher/state_purchase_view/9392958"/>
    <hyperlink ref="B89" r:id="rId87" display="https://my.zakupki.prom.ua/remote/dispatcher/state_purchase_view/11296931"/>
    <hyperlink ref="B90" r:id="rId88" display="https://my.zakupki.prom.ua/remote/dispatcher/state_purchase_view/11537211"/>
    <hyperlink ref="B91" r:id="rId89" display="https://my.zakupki.prom.ua/remote/dispatcher/state_purchase_view/11169233"/>
    <hyperlink ref="B92" r:id="rId90" display="https://my.zakupki.prom.ua/remote/dispatcher/state_purchase_view/11490877"/>
    <hyperlink ref="B93" r:id="rId91" display="https://my.zakupki.prom.ua/remote/dispatcher/state_purchase_view/12660669"/>
    <hyperlink ref="B94" r:id="rId92" display="https://my.zakupki.prom.ua/remote/dispatcher/state_purchase_view/11998701"/>
    <hyperlink ref="B95" r:id="rId93" display="https://my.zakupki.prom.ua/remote/dispatcher/state_purchase_view/12168120"/>
    <hyperlink ref="B96" r:id="rId94" display="https://my.zakupki.prom.ua/remote/dispatcher/state_purchase_view/10177108"/>
    <hyperlink ref="B97" r:id="rId95" display="https://my.zakupki.prom.ua/remote/dispatcher/state_purchase_view/17392566"/>
    <hyperlink ref="B98" r:id="rId96" display="https://my.zakupki.prom.ua/remote/dispatcher/state_purchase_view/17390981"/>
    <hyperlink ref="B99" r:id="rId97" display="https://my.zakupki.prom.ua/remote/dispatcher/state_purchase_view/18950019"/>
    <hyperlink ref="B100" r:id="rId98" display="https://my.zakupki.prom.ua/remote/dispatcher/state_purchase_view/18907826"/>
    <hyperlink ref="B101" r:id="rId99" display="https://my.zakupki.prom.ua/remote/dispatcher/state_purchase_view/18994825"/>
    <hyperlink ref="B102" r:id="rId100" display="https://my.zakupki.prom.ua/remote/dispatcher/state_purchase_view/16226005"/>
    <hyperlink ref="B103" r:id="rId101" display="https://my.zakupki.prom.ua/remote/dispatcher/state_purchase_view/14574812"/>
    <hyperlink ref="B104" r:id="rId102" display="https://my.zakupki.prom.ua/remote/dispatcher/state_purchase_view/15215881"/>
    <hyperlink ref="B105" r:id="rId103" display="https://my.zakupki.prom.ua/remote/dispatcher/state_purchase_view/15216256"/>
    <hyperlink ref="B106" r:id="rId104" display="https://my.zakupki.prom.ua/remote/dispatcher/state_purchase_view/15191409"/>
    <hyperlink ref="B107" r:id="rId105" display="https://my.zakupki.prom.ua/remote/dispatcher/state_purchase_view/16490505"/>
    <hyperlink ref="B108" r:id="rId106" display="https://my.zakupki.prom.ua/remote/dispatcher/state_purchase_view/619114"/>
    <hyperlink ref="B109" r:id="rId107" display="https://my.zakupki.prom.ua/remote/dispatcher/state_purchase_view/979209"/>
    <hyperlink ref="B110" r:id="rId108" display="https://my.zakupki.prom.ua/remote/dispatcher/state_purchase_view/1168592"/>
    <hyperlink ref="B111" r:id="rId109" display="https://my.zakupki.prom.ua/remote/dispatcher/state_purchase_view/1072185"/>
    <hyperlink ref="B112" r:id="rId110" display="https://my.zakupki.prom.ua/remote/dispatcher/state_purchase_view/1762197"/>
    <hyperlink ref="B113" r:id="rId111" display="https://my.zakupki.prom.ua/remote/dispatcher/state_purchase_view/1784707"/>
    <hyperlink ref="B114" r:id="rId112" display="https://my.zakupki.prom.ua/remote/dispatcher/state_purchase_view/504635"/>
    <hyperlink ref="B115" r:id="rId113" display="https://my.zakupki.prom.ua/remote/dispatcher/state_purchase_view/504635"/>
    <hyperlink ref="B116" r:id="rId114" display="https://my.zakupki.prom.ua/remote/dispatcher/state_purchase_view/12254609"/>
    <hyperlink ref="B117" r:id="rId115" display="https://my.zakupki.prom.ua/remote/dispatcher/state_purchase_view/11212441"/>
    <hyperlink ref="B118" r:id="rId116" display="https://my.zakupki.prom.ua/remote/dispatcher/state_purchase_view/12660290"/>
    <hyperlink ref="B119" r:id="rId117" display="https://my.zakupki.prom.ua/remote/dispatcher/state_purchase_view/13013462"/>
    <hyperlink ref="B120" r:id="rId118" display="https://my.zakupki.prom.ua/remote/dispatcher/state_purchase_view/12785015"/>
    <hyperlink ref="B121" r:id="rId119" display="https://my.zakupki.prom.ua/remote/dispatcher/state_purchase_view/10523002"/>
    <hyperlink ref="B122" r:id="rId120" display="https://my.zakupki.prom.ua/remote/dispatcher/state_purchase_view/10066701"/>
    <hyperlink ref="B123" r:id="rId121" display="https://my.zakupki.prom.ua/remote/dispatcher/state_purchase_view/12909519"/>
    <hyperlink ref="B124" r:id="rId122" display="https://my.zakupki.prom.ua/remote/dispatcher/state_purchase_view/8695741"/>
    <hyperlink ref="B125" r:id="rId123" display="https://my.zakupki.prom.ua/remote/dispatcher/state_purchase_view/10959070"/>
    <hyperlink ref="B126" r:id="rId124" display="https://my.zakupki.prom.ua/remote/dispatcher/state_purchase_view/11663903"/>
    <hyperlink ref="B127" r:id="rId125" display="https://my.zakupki.prom.ua/remote/dispatcher/state_purchase_view/10986908"/>
    <hyperlink ref="B128" r:id="rId126" display="https://my.zakupki.prom.ua/remote/dispatcher/state_purchase_view/12386810"/>
    <hyperlink ref="B129" r:id="rId127" display="https://my.zakupki.prom.ua/remote/dispatcher/state_purchase_view/13620358"/>
    <hyperlink ref="B130" r:id="rId128" display="https://my.zakupki.prom.ua/remote/dispatcher/state_purchase_view/13504731"/>
    <hyperlink ref="B131" r:id="rId129" display="https://my.zakupki.prom.ua/remote/dispatcher/state_purchase_view/7878827"/>
    <hyperlink ref="B132" r:id="rId130" display="https://my.zakupki.prom.ua/remote/dispatcher/state_purchase_view/8455075"/>
    <hyperlink ref="B133" r:id="rId131" display="https://my.zakupki.prom.ua/remote/dispatcher/state_purchase_view/8455075"/>
    <hyperlink ref="B134" r:id="rId132" display="https://my.zakupki.prom.ua/remote/dispatcher/state_purchase_view/9474103"/>
    <hyperlink ref="B135" r:id="rId133" display="https://my.zakupki.prom.ua/remote/dispatcher/state_purchase_view/9475457"/>
    <hyperlink ref="B136" r:id="rId134" display="https://my.zakupki.prom.ua/remote/dispatcher/state_purchase_view/3456503"/>
    <hyperlink ref="B137" r:id="rId135" display="https://my.zakupki.prom.ua/remote/dispatcher/state_purchase_view/3809280"/>
    <hyperlink ref="B138" r:id="rId136" display="https://my.zakupki.prom.ua/remote/dispatcher/state_purchase_view/4225590"/>
    <hyperlink ref="B139" r:id="rId137" display="https://my.zakupki.prom.ua/remote/dispatcher/state_purchase_view/3572783"/>
    <hyperlink ref="B140" r:id="rId138" display="https://my.zakupki.prom.ua/remote/dispatcher/state_purchase_view/3648249"/>
    <hyperlink ref="B141" r:id="rId139" display="https://my.zakupki.prom.ua/remote/dispatcher/state_purchase_view/3936257"/>
    <hyperlink ref="B142" r:id="rId140" display="https://my.zakupki.prom.ua/remote/dispatcher/state_purchase_view/3676006"/>
    <hyperlink ref="B143" r:id="rId141" display="https://my.zakupki.prom.ua/remote/dispatcher/state_purchase_view/3996280"/>
    <hyperlink ref="B144" r:id="rId142" display="https://my.zakupki.prom.ua/remote/dispatcher/state_purchase_view/3439812"/>
    <hyperlink ref="B145" r:id="rId143" display="https://my.zakupki.prom.ua/remote/dispatcher/state_purchase_view/3498104"/>
    <hyperlink ref="B146" r:id="rId144" display="https://my.zakupki.prom.ua/remote/dispatcher/state_purchase_view/6942184"/>
    <hyperlink ref="B147" r:id="rId145" display="https://my.zakupki.prom.ua/remote/dispatcher/state_purchase_view/7276427"/>
    <hyperlink ref="B148" r:id="rId146" display="https://my.zakupki.prom.ua/remote/dispatcher/state_purchase_view/7245311"/>
    <hyperlink ref="B149" r:id="rId147" display="https://my.zakupki.prom.ua/remote/dispatcher/state_purchase_view/7446063"/>
    <hyperlink ref="B150" r:id="rId148" display="https://my.zakupki.prom.ua/remote/dispatcher/state_purchase_view/7765503"/>
    <hyperlink ref="B151" r:id="rId149" display="https://my.zakupki.prom.ua/remote/dispatcher/state_purchase_view/7644129"/>
    <hyperlink ref="B152" r:id="rId150" display="https://my.zakupki.prom.ua/remote/dispatcher/state_purchase_view/6467337"/>
    <hyperlink ref="B153" r:id="rId151" display="https://my.zakupki.prom.ua/remote/dispatcher/state_purchase_view/6467337"/>
    <hyperlink ref="B154" r:id="rId152" display="https://my.zakupki.prom.ua/remote/dispatcher/state_purchase_view/6467337"/>
    <hyperlink ref="B155" r:id="rId153" display="https://my.zakupki.prom.ua/remote/dispatcher/state_purchase_view/17333609"/>
    <hyperlink ref="B156" r:id="rId154" display="https://my.zakupki.prom.ua/remote/dispatcher/state_purchase_view/17393155"/>
    <hyperlink ref="B157" r:id="rId155" display="https://my.zakupki.prom.ua/remote/dispatcher/state_purchase_view/14525411"/>
    <hyperlink ref="B158" r:id="rId156" display="https://my.zakupki.prom.ua/remote/dispatcher/state_purchase_view/14527807"/>
    <hyperlink ref="B159" r:id="rId157" display="https://my.zakupki.prom.ua/remote/dispatcher/state_purchase_view/14927484"/>
    <hyperlink ref="B160" r:id="rId158" display="https://my.zakupki.prom.ua/remote/dispatcher/state_purchase_view/16058300"/>
    <hyperlink ref="B161" r:id="rId159" display="https://my.zakupki.prom.ua/remote/dispatcher/state_purchase_view/16058507"/>
    <hyperlink ref="B162" r:id="rId160" display="https://my.zakupki.prom.ua/remote/dispatcher/state_purchase_view/3682565"/>
    <hyperlink ref="B163" r:id="rId161" display="https://my.zakupki.prom.ua/remote/dispatcher/state_purchase_view/3682565"/>
    <hyperlink ref="B164" r:id="rId162" display="https://my.zakupki.prom.ua/remote/dispatcher/state_purchase_view/3682565"/>
    <hyperlink ref="B165" r:id="rId163" display="https://my.zakupki.prom.ua/remote/dispatcher/state_purchase_view/3682565"/>
    <hyperlink ref="B166" r:id="rId164" display="https://my.zakupki.prom.ua/remote/dispatcher/state_purchase_view/4394561"/>
    <hyperlink ref="B167" r:id="rId165" display="https://my.zakupki.prom.ua/remote/dispatcher/state_purchase_view/4221458"/>
    <hyperlink ref="B168" r:id="rId166" display="https://my.zakupki.prom.ua/remote/dispatcher/state_purchase_view/4102237"/>
    <hyperlink ref="B169" r:id="rId167" display="https://my.zakupki.prom.ua/remote/dispatcher/state_purchase_view/4515041"/>
    <hyperlink ref="B170" r:id="rId168" display="https://my.zakupki.prom.ua/remote/dispatcher/state_purchase_view/4380360"/>
    <hyperlink ref="B171" r:id="rId169" display="https://my.zakupki.prom.ua/remote/dispatcher/state_purchase_view/2766502"/>
    <hyperlink ref="B172" r:id="rId170" display="https://my.zakupki.prom.ua/remote/dispatcher/state_purchase_view/3377081"/>
    <hyperlink ref="B173" r:id="rId171" display="https://my.zakupki.prom.ua/remote/dispatcher/state_purchase_view/3377081"/>
    <hyperlink ref="B174" r:id="rId172" display="https://my.zakupki.prom.ua/remote/dispatcher/state_purchase_view/3377081"/>
    <hyperlink ref="B175" r:id="rId173" display="https://my.zakupki.prom.ua/remote/dispatcher/state_purchase_view/4656133"/>
    <hyperlink ref="B176" r:id="rId174" display="https://my.zakupki.prom.ua/remote/dispatcher/state_purchase_view/4626499"/>
    <hyperlink ref="B177" r:id="rId175" display="https://my.zakupki.prom.ua/remote/dispatcher/state_purchase_view/4735765"/>
    <hyperlink ref="B178" r:id="rId176" display="https://my.zakupki.prom.ua/remote/dispatcher/state_purchase_view/3438344"/>
    <hyperlink ref="B179" r:id="rId177" display="https://my.zakupki.prom.ua/remote/dispatcher/state_purchase_view/3899694"/>
    <hyperlink ref="B180" r:id="rId178" display="https://my.zakupki.prom.ua/remote/dispatcher/state_purchase_view/4044732"/>
    <hyperlink ref="B181" r:id="rId179" display="https://my.zakupki.prom.ua/remote/dispatcher/state_purchase_view/4787286"/>
    <hyperlink ref="B182" r:id="rId180" display="https://my.zakupki.prom.ua/remote/dispatcher/state_purchase_view/7146879"/>
    <hyperlink ref="B183" r:id="rId181" display="https://my.zakupki.prom.ua/remote/dispatcher/state_purchase_view/6771436"/>
    <hyperlink ref="B184" r:id="rId182" display="https://my.zakupki.prom.ua/remote/dispatcher/state_purchase_view/748482"/>
    <hyperlink ref="B185" r:id="rId183" display="https://my.zakupki.prom.ua/remote/dispatcher/state_purchase_view/748482"/>
    <hyperlink ref="B186" r:id="rId184" display="https://my.zakupki.prom.ua/remote/dispatcher/state_purchase_view/977848"/>
    <hyperlink ref="B187" r:id="rId185" display="https://my.zakupki.prom.ua/remote/dispatcher/state_purchase_view/967276"/>
    <hyperlink ref="B188" r:id="rId186" display="https://my.zakupki.prom.ua/remote/dispatcher/state_purchase_view/1458131"/>
    <hyperlink ref="B189" r:id="rId187" display="https://my.zakupki.prom.ua/remote/dispatcher/state_purchase_view/1763203"/>
    <hyperlink ref="B190" r:id="rId188" display="https://my.zakupki.prom.ua/remote/dispatcher/state_purchase_view/1785544"/>
    <hyperlink ref="B191" r:id="rId189" display="https://my.zakupki.prom.ua/remote/dispatcher/state_purchase_view/1109065"/>
    <hyperlink ref="B192" r:id="rId190" display="https://my.zakupki.prom.ua/remote/dispatcher/state_purchase_view/1118278"/>
    <hyperlink ref="B193" r:id="rId191" display="https://my.zakupki.prom.ua/remote/dispatcher/state_purchase_view/1041534"/>
    <hyperlink ref="B194" r:id="rId192" display="https://my.zakupki.prom.ua/remote/dispatcher/state_purchase_view/8174141"/>
    <hyperlink ref="B195" r:id="rId193" display="https://my.zakupki.prom.ua/remote/dispatcher/state_purchase_view/8418367"/>
    <hyperlink ref="B196" r:id="rId194" display="https://my.zakupki.prom.ua/remote/dispatcher/state_purchase_view/7270374"/>
    <hyperlink ref="B197" r:id="rId195" display="https://my.zakupki.prom.ua/remote/dispatcher/state_purchase_view/8807131"/>
    <hyperlink ref="B198" r:id="rId196" display="https://my.zakupki.prom.ua/remote/dispatcher/state_purchase_view/15810421"/>
    <hyperlink ref="B199" r:id="rId197" display="https://my.zakupki.prom.ua/remote/dispatcher/state_purchase_view/15882820"/>
    <hyperlink ref="B200" r:id="rId198" display="https://my.zakupki.prom.ua/remote/dispatcher/state_purchase_view/16698717"/>
    <hyperlink ref="B201" r:id="rId199" display="https://my.zakupki.prom.ua/remote/dispatcher/state_purchase_view/14496781"/>
    <hyperlink ref="B202" r:id="rId200" display="https://my.zakupki.prom.ua/remote/dispatcher/state_purchase_view/14701012"/>
    <hyperlink ref="B203" r:id="rId201" display="https://my.zakupki.prom.ua/remote/dispatcher/state_purchase_view/14701529"/>
    <hyperlink ref="B204" r:id="rId202" display="https://my.zakupki.prom.ua/remote/dispatcher/state_purchase_view/14701770"/>
    <hyperlink ref="B205" r:id="rId203" display="https://my.zakupki.prom.ua/remote/dispatcher/state_purchase_view/14926451"/>
    <hyperlink ref="B206" r:id="rId204" display="https://my.zakupki.prom.ua/remote/dispatcher/state_purchase_view/15410977"/>
    <hyperlink ref="B207" r:id="rId205" display="https://my.zakupki.prom.ua/remote/dispatcher/state_purchase_view/17598240"/>
    <hyperlink ref="B208" r:id="rId206" display="https://my.zakupki.prom.ua/remote/dispatcher/state_purchase_view/17351271"/>
    <hyperlink ref="B209" r:id="rId207" display="https://my.zakupki.prom.ua/remote/dispatcher/state_purchase_view/16098598"/>
    <hyperlink ref="B210" r:id="rId208" display="https://my.zakupki.prom.ua/remote/dispatcher/state_purchase_view/12548417"/>
    <hyperlink ref="B211" r:id="rId209" display="https://my.zakupki.prom.ua/remote/dispatcher/state_purchase_view/12548918"/>
    <hyperlink ref="B212" r:id="rId210" display="https://my.zakupki.prom.ua/remote/dispatcher/state_purchase_view/9416897"/>
    <hyperlink ref="B213" r:id="rId211" display="https://my.zakupki.prom.ua/remote/dispatcher/state_purchase_view/12937634"/>
    <hyperlink ref="B214" r:id="rId212" display="https://my.zakupki.prom.ua/remote/dispatcher/state_purchase_view/13449396"/>
    <hyperlink ref="B215" r:id="rId213" display="https://my.zakupki.prom.ua/remote/dispatcher/state_purchase_view/13356768"/>
    <hyperlink ref="B216" r:id="rId214" display="https://my.zakupki.prom.ua/remote/dispatcher/state_purchase_view/11663417"/>
    <hyperlink ref="B217" r:id="rId215" display="https://my.zakupki.prom.ua/remote/dispatcher/state_purchase_view/11720320"/>
    <hyperlink ref="B218" r:id="rId216" display="https://my.zakupki.prom.ua/remote/dispatcher/state_purchase_view/1975280"/>
    <hyperlink ref="B219" r:id="rId217" display="https://my.zakupki.prom.ua/remote/dispatcher/state_purchase_view/4797912"/>
    <hyperlink ref="B220" r:id="rId218" display="https://my.zakupki.prom.ua/remote/dispatcher/state_purchase_view/3463695"/>
    <hyperlink ref="B221" r:id="rId219" display="https://my.zakupki.prom.ua/remote/dispatcher/state_purchase_view/3497102"/>
    <hyperlink ref="B222" r:id="rId220" display="https://my.zakupki.prom.ua/remote/dispatcher/state_purchase_view/2706294"/>
    <hyperlink ref="B223" r:id="rId221" display="https://my.zakupki.prom.ua/remote/dispatcher/state_purchase_view/2618437"/>
    <hyperlink ref="B224" r:id="rId222" display="https://my.zakupki.prom.ua/remote/dispatcher/state_purchase_view/5385617"/>
    <hyperlink ref="B225" r:id="rId223" display="https://my.zakupki.prom.ua/remote/dispatcher/state_purchase_view/3648450"/>
    <hyperlink ref="B226" r:id="rId224" display="https://my.zakupki.prom.ua/remote/dispatcher/state_purchase_view/3776605"/>
    <hyperlink ref="B227" r:id="rId225" display="https://my.zakupki.prom.ua/remote/dispatcher/state_purchase_view/4301354"/>
    <hyperlink ref="B228" r:id="rId226" display="https://my.zakupki.prom.ua/remote/dispatcher/state_purchase_view/4227667"/>
    <hyperlink ref="B229" r:id="rId227" display="https://my.zakupki.prom.ua/remote/dispatcher/state_purchase_view/3809843"/>
    <hyperlink ref="B230" r:id="rId228" display="https://my.zakupki.prom.ua/remote/dispatcher/state_purchase_view/3636163"/>
    <hyperlink ref="B231" r:id="rId229" display="https://my.zakupki.prom.ua/remote/dispatcher/state_purchase_view/852324"/>
    <hyperlink ref="B232" r:id="rId230" display="https://my.zakupki.prom.ua/remote/dispatcher/state_purchase_view/893282"/>
    <hyperlink ref="B233" r:id="rId231" display="https://my.zakupki.prom.ua/remote/dispatcher/state_purchase_view/903326"/>
    <hyperlink ref="B234" r:id="rId232" display="https://my.zakupki.prom.ua/remote/dispatcher/state_purchase_view/920305"/>
    <hyperlink ref="B235" r:id="rId233" display="https://my.zakupki.prom.ua/remote/dispatcher/state_purchase_view/1013600"/>
    <hyperlink ref="B236" r:id="rId234" display="https://my.zakupki.prom.ua/remote/dispatcher/state_purchase_view/1023078"/>
    <hyperlink ref="B237" r:id="rId235" display="https://my.zakupki.prom.ua/remote/dispatcher/state_purchase_view/1351374"/>
    <hyperlink ref="B238" r:id="rId236" display="https://my.zakupki.prom.ua/remote/dispatcher/state_purchase_view/1100947"/>
    <hyperlink ref="B239" r:id="rId237" display="https://my.zakupki.prom.ua/remote/dispatcher/state_purchase_view/7812799"/>
    <hyperlink ref="B240" r:id="rId238" display="https://my.zakupki.prom.ua/remote/dispatcher/state_purchase_view/6573259"/>
    <hyperlink ref="B241" r:id="rId239" display="https://my.zakupki.prom.ua/remote/dispatcher/state_purchase_view/6120835"/>
    <hyperlink ref="B242" r:id="rId240" display="https://my.zakupki.prom.ua/remote/dispatcher/state_purchase_view/8417024"/>
    <hyperlink ref="B243" r:id="rId241" display="https://my.zakupki.prom.ua/remote/dispatcher/state_purchase_view/6868239"/>
    <hyperlink ref="B244" r:id="rId242" display="https://my.zakupki.prom.ua/remote/dispatcher/state_purchase_view/6471888"/>
    <hyperlink ref="B245" r:id="rId243" display="https://my.zakupki.prom.ua/remote/dispatcher/state_purchase_view/6560704"/>
    <hyperlink ref="B246" r:id="rId244" display="https://my.zakupki.prom.ua/remote/dispatcher/state_purchase_view/6691951"/>
    <hyperlink ref="B247" r:id="rId245" display="https://my.zakupki.prom.ua/remote/dispatcher/state_purchase_view/13056890"/>
    <hyperlink ref="B248" r:id="rId246" display="https://my.zakupki.prom.ua/remote/dispatcher/state_purchase_view/12870602"/>
    <hyperlink ref="B249" r:id="rId247" display="https://my.zakupki.prom.ua/remote/dispatcher/state_purchase_view/11793642"/>
    <hyperlink ref="B250" r:id="rId248" display="https://my.zakupki.prom.ua/remote/dispatcher/state_purchase_view/9651913"/>
    <hyperlink ref="B251" r:id="rId249" display="https://my.zakupki.prom.ua/remote/dispatcher/state_purchase_view/10067174"/>
    <hyperlink ref="B252" r:id="rId250" display="https://my.zakupki.prom.ua/remote/dispatcher/state_purchase_view/12153341"/>
    <hyperlink ref="B253" r:id="rId251" display="https://my.zakupki.prom.ua/remote/dispatcher/state_purchase_view/12188276"/>
    <hyperlink ref="B254" r:id="rId252" display="https://my.zakupki.prom.ua/remote/dispatcher/state_purchase_view/15751497"/>
    <hyperlink ref="B255" r:id="rId253" display="https://my.zakupki.prom.ua/remote/dispatcher/state_purchase_view/16121565"/>
    <hyperlink ref="B256" r:id="rId254" display="https://my.zakupki.prom.ua/remote/dispatcher/state_purchase_view/15782215"/>
    <hyperlink ref="B257" r:id="rId255" display="https://my.zakupki.prom.ua/remote/dispatcher/state_purchase_view/16506701"/>
    <hyperlink ref="B258" r:id="rId256" display="https://my.zakupki.prom.ua/remote/dispatcher/state_purchase_view/16396210"/>
    <hyperlink ref="B259" r:id="rId257" display="https://my.zakupki.prom.ua/remote/dispatcher/state_purchase_view/15489355"/>
    <hyperlink ref="B260" r:id="rId258" display="https://my.zakupki.prom.ua/remote/dispatcher/state_purchase_view/15420266"/>
    <hyperlink ref="B261" r:id="rId259" display="https://my.zakupki.prom.ua/remote/dispatcher/state_purchase_view/17120156"/>
    <hyperlink ref="B262" r:id="rId260" display="https://my.zakupki.prom.ua/remote/dispatcher/state_purchase_view/16874411"/>
    <hyperlink ref="B263" r:id="rId261" display="https://my.zakupki.prom.ua/remote/dispatcher/state_purchase_view/16019140"/>
    <hyperlink ref="B264" r:id="rId262" display="https://my.zakupki.prom.ua/remote/dispatcher/state_purchase_view/15913693"/>
    <hyperlink ref="B265" r:id="rId263" display="https://my.zakupki.prom.ua/remote/dispatcher/state_purchase_view/17910090"/>
    <hyperlink ref="B266" r:id="rId264" display="https://my.zakupki.prom.ua/remote/dispatcher/state_purchase_view/17334866"/>
    <hyperlink ref="B267" r:id="rId265" display="https://my.zakupki.prom.ua/remote/dispatcher/state_purchase_view/17334329"/>
    <hyperlink ref="B268" r:id="rId266" display="https://my.zakupki.prom.ua/remote/dispatcher/state_purchase_view/3492150"/>
    <hyperlink ref="B269" r:id="rId267" display="https://my.zakupki.prom.ua/remote/dispatcher/state_purchase_view/3136158"/>
    <hyperlink ref="B270" r:id="rId268" display="https://my.zakupki.prom.ua/remote/dispatcher/state_purchase_view/3572922"/>
    <hyperlink ref="B271" r:id="rId269" display="https://my.zakupki.prom.ua/remote/dispatcher/state_purchase_view/4975262"/>
    <hyperlink ref="B272" r:id="rId270" display="https://my.zakupki.prom.ua/remote/dispatcher/state_purchase_view/5028221"/>
    <hyperlink ref="B273" r:id="rId271" display="https://my.zakupki.prom.ua/remote/dispatcher/state_purchase_view/4446928"/>
    <hyperlink ref="B274" r:id="rId272" display="https://my.zakupki.prom.ua/remote/dispatcher/state_purchase_view/1043310"/>
    <hyperlink ref="B275" r:id="rId273" display="https://my.zakupki.prom.ua/remote/dispatcher/state_purchase_view/1417698"/>
    <hyperlink ref="B276" r:id="rId274" display="https://my.zakupki.prom.ua/remote/dispatcher/state_purchase_view/1784130"/>
    <hyperlink ref="B277" r:id="rId275" display="https://my.zakupki.prom.ua/remote/dispatcher/state_purchase_view/1122330"/>
    <hyperlink ref="B278" r:id="rId276" display="https://my.zakupki.prom.ua/remote/dispatcher/state_purchase_view/3682995"/>
    <hyperlink ref="B279" r:id="rId277" display="https://my.zakupki.prom.ua/remote/dispatcher/state_purchase_view/4609112"/>
    <hyperlink ref="B280" r:id="rId278" display="https://my.zakupki.prom.ua/remote/dispatcher/state_purchase_view/2766320"/>
    <hyperlink ref="B281" r:id="rId279" display="https://my.zakupki.prom.ua/remote/dispatcher/state_purchase_view/4180138"/>
    <hyperlink ref="B282" r:id="rId280" display="https://my.zakupki.prom.ua/remote/dispatcher/state_purchase_view/4278568"/>
    <hyperlink ref="B283" r:id="rId281" display="https://my.zakupki.prom.ua/remote/dispatcher/state_purchase_view/4550003"/>
    <hyperlink ref="B284" r:id="rId282" display="https://my.zakupki.prom.ua/remote/dispatcher/state_purchase_view/7206065"/>
    <hyperlink ref="B285" r:id="rId283" display="https://my.zakupki.prom.ua/remote/dispatcher/state_purchase_view/7676452"/>
    <hyperlink ref="B286" r:id="rId284" display="https://my.zakupki.prom.ua/remote/dispatcher/state_purchase_view/8590057"/>
    <hyperlink ref="B287" r:id="rId285" display="https://my.zakupki.prom.ua/remote/dispatcher/state_purchase_view/6718196"/>
    <hyperlink ref="B288" r:id="rId286" display="https://my.zakupki.prom.ua/remote/dispatcher/state_purchase_view/6768788"/>
    <hyperlink ref="B289" r:id="rId287" display="https://my.zakupki.prom.ua/remote/dispatcher/state_purchase_view/6974077"/>
    <hyperlink ref="B290" r:id="rId288" display="https://my.zakupki.prom.ua/remote/dispatcher/state_purchase_view/7476674"/>
    <hyperlink ref="B291" r:id="rId289" display="https://my.zakupki.prom.ua/remote/dispatcher/state_purchase_view/7557508"/>
    <hyperlink ref="B292" r:id="rId290" display="https://my.zakupki.prom.ua/remote/dispatcher/state_purchase_view/7903239"/>
    <hyperlink ref="B293" r:id="rId291" display="https://my.zakupki.prom.ua/remote/dispatcher/state_purchase_view/6495977"/>
    <hyperlink ref="B294" r:id="rId292" display="https://my.zakupki.prom.ua/remote/dispatcher/state_purchase_view/20673675"/>
    <hyperlink ref="B295" r:id="rId293" display="https://my.zakupki.prom.ua/remote/dispatcher/state_purchase_view/11562572"/>
    <hyperlink ref="B296" r:id="rId294" display="https://my.zakupki.prom.ua/remote/dispatcher/state_purchase_view/11661283"/>
    <hyperlink ref="B297" r:id="rId295" display="https://my.zakupki.prom.ua/remote/dispatcher/state_purchase_view/11667135"/>
    <hyperlink ref="B298" r:id="rId296" display="https://my.zakupki.prom.ua/remote/dispatcher/state_purchase_view/11811959"/>
    <hyperlink ref="B299" r:id="rId297" display="https://my.zakupki.prom.ua/remote/dispatcher/state_purchase_view/10705078"/>
    <hyperlink ref="B300" r:id="rId298" display="https://my.zakupki.prom.ua/remote/dispatcher/state_purchase_view/10933735"/>
    <hyperlink ref="B301" r:id="rId299" display="https://my.zakupki.prom.ua/remote/dispatcher/state_purchase_view/12657361"/>
    <hyperlink ref="B302" r:id="rId300" display="https://my.zakupki.prom.ua/remote/dispatcher/state_purchase_view/7567486"/>
    <hyperlink ref="B303" r:id="rId301" display="https://my.zakupki.prom.ua/remote/dispatcher/state_purchase_view/11493878"/>
    <hyperlink ref="B304" r:id="rId302" display="https://my.zakupki.prom.ua/remote/dispatcher/state_purchase_view/11224537"/>
    <hyperlink ref="B305" r:id="rId303" display="https://my.zakupki.prom.ua/remote/dispatcher/state_purchase_view/14445963"/>
    <hyperlink ref="B306" r:id="rId304" display="https://my.zakupki.prom.ua/remote/dispatcher/state_purchase_view/13880143"/>
    <hyperlink ref="B307" r:id="rId305" display="https://my.zakupki.prom.ua/remote/dispatcher/state_purchase_view/15775779"/>
    <hyperlink ref="B308" r:id="rId306" display="https://my.zakupki.prom.ua/remote/dispatcher/state_purchase_view/13217343"/>
    <hyperlink ref="B309" r:id="rId307" display="https://my.zakupki.prom.ua/remote/dispatcher/state_purchase_view/13277406"/>
    <hyperlink ref="B310" r:id="rId308" display="https://my.zakupki.prom.ua/remote/dispatcher/state_purchase_view/13242630"/>
    <hyperlink ref="B311" r:id="rId309" display="https://my.zakupki.prom.ua/remote/dispatcher/state_purchase_view/9768547"/>
    <hyperlink ref="B312" r:id="rId310" display="https://my.zakupki.prom.ua/remote/dispatcher/state_purchase_view/10723889"/>
    <hyperlink ref="B313" r:id="rId311" display="https://my.zakupki.prom.ua/remote/dispatcher/state_purchase_view/11213023"/>
    <hyperlink ref="B314" r:id="rId312" display="https://my.zakupki.prom.ua/remote/dispatcher/state_purchase_view/13432395"/>
    <hyperlink ref="B315" r:id="rId313" display="https://my.zakupki.prom.ua/remote/dispatcher/state_purchase_view/16479793"/>
    <hyperlink ref="B316" r:id="rId314" display="https://my.zakupki.prom.ua/remote/dispatcher/state_purchase_view/16369988"/>
    <hyperlink ref="B317" r:id="rId315" display="https://my.zakupki.prom.ua/remote/dispatcher/state_purchase_view/19476037"/>
    <hyperlink ref="B318" r:id="rId316" display="https://my.zakupki.prom.ua/remote/dispatcher/state_purchase_view/4846077"/>
    <hyperlink ref="B319" r:id="rId317" display="https://my.zakupki.prom.ua/remote/dispatcher/state_purchase_view/5021686"/>
    <hyperlink ref="B320" r:id="rId318" display="https://my.zakupki.prom.ua/remote/dispatcher/state_purchase_view/5042515"/>
    <hyperlink ref="B321" r:id="rId319" display="https://my.zakupki.prom.ua/remote/dispatcher/state_purchase_view/3351717"/>
    <hyperlink ref="B322" r:id="rId320" display="https://my.zakupki.prom.ua/remote/dispatcher/state_purchase_view/5613661"/>
    <hyperlink ref="B323" r:id="rId321" display="https://my.zakupki.prom.ua/remote/dispatcher/state_purchase_view/3487408"/>
    <hyperlink ref="B324" r:id="rId322" display="https://my.zakupki.prom.ua/remote/dispatcher/state_purchase_view/3488174"/>
    <hyperlink ref="B325" r:id="rId323" display="https://my.zakupki.prom.ua/remote/dispatcher/state_purchase_view/3682159"/>
    <hyperlink ref="B326" r:id="rId324" display="https://my.zakupki.prom.ua/remote/dispatcher/state_purchase_view/2861239"/>
    <hyperlink ref="B327" r:id="rId325" display="https://my.zakupki.prom.ua/remote/dispatcher/state_purchase_view/4516541"/>
    <hyperlink ref="B328" r:id="rId326" display="https://my.zakupki.prom.ua/remote/dispatcher/state_purchase_view/4631152"/>
    <hyperlink ref="B329" r:id="rId327" display="https://my.zakupki.prom.ua/remote/dispatcher/state_purchase_view/6739872"/>
    <hyperlink ref="B330" r:id="rId328" display="https://my.zakupki.prom.ua/remote/dispatcher/state_purchase_view/6917379"/>
    <hyperlink ref="B331" r:id="rId329" display="https://my.zakupki.prom.ua/remote/dispatcher/state_purchase_view/739171"/>
    <hyperlink ref="B332" r:id="rId330" display="https://my.zakupki.prom.ua/remote/dispatcher/state_purchase_view/739171"/>
    <hyperlink ref="B333" r:id="rId331" display="https://my.zakupki.prom.ua/remote/dispatcher/state_purchase_view/1414638"/>
    <hyperlink ref="B334" r:id="rId332" display="https://my.zakupki.prom.ua/remote/dispatcher/state_purchase_view/1023360"/>
    <hyperlink ref="B335" r:id="rId333" display="https://my.zakupki.prom.ua/remote/dispatcher/state_purchase_view/848112"/>
    <hyperlink ref="B336" r:id="rId334" display="https://my.zakupki.prom.ua/remote/dispatcher/state_purchase_view/3159524"/>
    <hyperlink ref="B337" r:id="rId335" display="https://my.zakupki.prom.ua/remote/dispatcher/state_purchase_view/3632574"/>
    <hyperlink ref="B338" r:id="rId336" display="https://my.zakupki.prom.ua/remote/dispatcher/state_purchase_view/3920878"/>
    <hyperlink ref="B339" r:id="rId337" display="https://my.zakupki.prom.ua/remote/dispatcher/state_purchase_view/3920878"/>
    <hyperlink ref="B340" r:id="rId338" display="https://my.zakupki.prom.ua/remote/dispatcher/state_purchase_view/4025406"/>
    <hyperlink ref="B341" r:id="rId339" display="https://my.zakupki.prom.ua/remote/dispatcher/state_purchase_view/4220111"/>
    <hyperlink ref="B342" r:id="rId340" display="https://my.zakupki.prom.ua/remote/dispatcher/state_purchase_view/7810011"/>
    <hyperlink ref="B343" r:id="rId341" display="https://my.zakupki.prom.ua/remote/dispatcher/state_purchase_view/7353585"/>
    <hyperlink ref="B344" r:id="rId342" display="https://my.zakupki.prom.ua/remote/dispatcher/state_purchase_view/6610908"/>
    <hyperlink ref="B345" r:id="rId343" display="https://my.zakupki.prom.ua/remote/dispatcher/state_purchase_view/7562071"/>
    <hyperlink ref="B346" r:id="rId344" display="https://my.zakupki.prom.ua/remote/dispatcher/state_purchase_view/7898254"/>
    <hyperlink ref="B347" r:id="rId345" display="https://my.zakupki.prom.ua/remote/dispatcher/state_purchase_view/8406296"/>
    <hyperlink ref="B348" r:id="rId346" display="https://my.zakupki.prom.ua/remote/dispatcher/state_purchase_view/13524795"/>
    <hyperlink ref="B349" r:id="rId347" display="https://my.zakupki.prom.ua/remote/dispatcher/state_purchase_view/13504536"/>
    <hyperlink ref="B350" r:id="rId348" display="https://my.zakupki.prom.ua/remote/dispatcher/state_purchase_view/13277691"/>
    <hyperlink ref="B351" r:id="rId349" display="https://my.zakupki.prom.ua/remote/dispatcher/state_purchase_view/13953982"/>
    <hyperlink ref="B352" r:id="rId350" display="https://my.zakupki.prom.ua/remote/dispatcher/state_purchase_view/13979215"/>
    <hyperlink ref="B353" r:id="rId351" display="https://my.zakupki.prom.ua/remote/dispatcher/state_purchase_view/13854410"/>
    <hyperlink ref="B354" r:id="rId352" display="https://my.zakupki.prom.ua/remote/dispatcher/state_purchase_view/16506549"/>
    <hyperlink ref="B355" r:id="rId353" display="https://my.zakupki.prom.ua/remote/dispatcher/state_purchase_view/16698229"/>
    <hyperlink ref="B356" r:id="rId354" display="https://my.zakupki.prom.ua/remote/dispatcher/state_purchase_view/14701371"/>
    <hyperlink ref="B357" r:id="rId355" display="https://my.zakupki.prom.ua/remote/dispatcher/state_purchase_view/13541256"/>
    <hyperlink ref="B358" r:id="rId356" display="https://my.zakupki.prom.ua/remote/dispatcher/state_purchase_view/13432081"/>
    <hyperlink ref="B359" r:id="rId357" display="https://my.zakupki.prom.ua/remote/dispatcher/state_purchase_view/13310202"/>
    <hyperlink ref="B360" r:id="rId358" display="https://my.zakupki.prom.ua/remote/dispatcher/state_purchase_view/11597099"/>
    <hyperlink ref="B361" r:id="rId359" display="https://my.zakupki.prom.ua/remote/dispatcher/state_purchase_view/11964062"/>
    <hyperlink ref="B362" r:id="rId360" display="https://my.zakupki.prom.ua/remote/dispatcher/state_purchase_view/12139902"/>
    <hyperlink ref="B363" r:id="rId361" display="https://my.zakupki.prom.ua/remote/dispatcher/state_purchase_view/9064052"/>
    <hyperlink ref="B364" r:id="rId362" display="https://my.zakupki.prom.ua/remote/dispatcher/state_purchase_view/9108951"/>
    <hyperlink ref="B365" r:id="rId363" display="https://my.zakupki.prom.ua/remote/dispatcher/state_purchase_view/9436683"/>
    <hyperlink ref="B366" r:id="rId364" display="https://my.zakupki.prom.ua/remote/dispatcher/state_purchase_view/12835025"/>
    <hyperlink ref="B367" r:id="rId365" display="https://my.zakupki.prom.ua/remote/dispatcher/state_purchase_view/10010872"/>
    <hyperlink ref="B368" r:id="rId366" display="https://my.zakupki.prom.ua/remote/dispatcher/state_purchase_view/9652086"/>
    <hyperlink ref="B369" r:id="rId367" display="https://my.zakupki.prom.ua/remote/dispatcher/state_purchase_view/9346649"/>
    <hyperlink ref="B370" r:id="rId368" display="https://my.zakupki.prom.ua/remote/dispatcher/state_purchase_view/7146487"/>
    <hyperlink ref="B371" r:id="rId369" display="https://my.zakupki.prom.ua/remote/dispatcher/state_purchase_view/7429319"/>
    <hyperlink ref="B372" r:id="rId370" display="https://my.zakupki.prom.ua/remote/dispatcher/state_purchase_view/11669949"/>
    <hyperlink ref="B373" r:id="rId371" display="https://my.zakupki.prom.ua/remote/dispatcher/state_purchase_view/9672376"/>
    <hyperlink ref="B374" r:id="rId372" display="https://my.zakupki.prom.ua/remote/dispatcher/state_purchase_view/9097566"/>
    <hyperlink ref="B375" r:id="rId373" display="https://my.zakupki.prom.ua/remote/dispatcher/state_purchase_view/8886765"/>
    <hyperlink ref="B376" r:id="rId374" display="https://my.zakupki.prom.ua/remote/dispatcher/state_purchase_view/11910771"/>
    <hyperlink ref="B377" r:id="rId375" display="https://my.zakupki.prom.ua/remote/dispatcher/state_purchase_view/11254328"/>
    <hyperlink ref="B378" r:id="rId376" display="https://my.zakupki.prom.ua/remote/dispatcher/state_purchase_view/11280736"/>
    <hyperlink ref="B379" r:id="rId377" display="https://my.zakupki.prom.ua/remote/dispatcher/state_purchase_view/12919747"/>
    <hyperlink ref="B380" r:id="rId378" display="https://my.zakupki.prom.ua/remote/dispatcher/state_purchase_view/13049424"/>
    <hyperlink ref="B381" r:id="rId379" display="https://my.zakupki.prom.ua/remote/dispatcher/state_purchase_view/12501454"/>
    <hyperlink ref="B382" r:id="rId380" display="https://my.zakupki.prom.ua/remote/dispatcher/state_purchase_view/11010672"/>
    <hyperlink ref="B383" r:id="rId381" display="https://my.zakupki.prom.ua/remote/dispatcher/state_purchase_view/10611549"/>
    <hyperlink ref="B384" r:id="rId382" display="https://my.zakupki.prom.ua/remote/dispatcher/state_purchase_view/10611549"/>
    <hyperlink ref="B385" r:id="rId383" display="https://my.zakupki.prom.ua/remote/dispatcher/state_purchase_view/10654407"/>
    <hyperlink ref="B386" r:id="rId384" display="https://my.zakupki.prom.ua/remote/dispatcher/state_purchase_view/10584062"/>
    <hyperlink ref="B387" r:id="rId385" display="https://my.zakupki.prom.ua/remote/dispatcher/state_purchase_view/1269319"/>
    <hyperlink ref="B388" r:id="rId386" display="https://my.zakupki.prom.ua/remote/dispatcher/state_purchase_view/2041080"/>
    <hyperlink ref="B389" r:id="rId387" display="https://my.zakupki.prom.ua/remote/dispatcher/state_purchase_view/2584310"/>
    <hyperlink ref="B390" r:id="rId388" display="https://my.zakupki.prom.ua/remote/dispatcher/state_purchase_view/2727213"/>
    <hyperlink ref="B391" r:id="rId389" display="https://my.zakupki.prom.ua/remote/dispatcher/state_purchase_view/2786794"/>
    <hyperlink ref="B392" r:id="rId390" display="https://my.zakupki.prom.ua/remote/dispatcher/state_purchase_view/2942610"/>
    <hyperlink ref="B393" r:id="rId391" display="https://my.zakupki.prom.ua/remote/dispatcher/state_purchase_view/3675349"/>
    <hyperlink ref="B394" r:id="rId392" display="https://my.zakupki.prom.ua/remote/dispatcher/state_purchase_view/3487982"/>
    <hyperlink ref="B395" r:id="rId393" display="https://my.zakupki.prom.ua/remote/dispatcher/state_purchase_view/3487604"/>
    <hyperlink ref="B396" r:id="rId394" display="https://my.zakupki.prom.ua/remote/dispatcher/state_purchase_view/3837444"/>
    <hyperlink ref="B397" r:id="rId395" display="https://my.zakupki.prom.ua/remote/dispatcher/state_purchase_view/2180203"/>
    <hyperlink ref="B398" r:id="rId396" display="https://my.zakupki.prom.ua/remote/dispatcher/state_purchase_view/2544589"/>
    <hyperlink ref="B399" r:id="rId397" display="https://my.zakupki.prom.ua/remote/dispatcher/state_purchase_view/13260389"/>
    <hyperlink ref="B400" r:id="rId398" display="https://my.zakupki.prom.ua/remote/dispatcher/state_purchase_view/13195527"/>
    <hyperlink ref="B401" r:id="rId399" display="https://my.zakupki.prom.ua/remote/dispatcher/state_purchase_view/4473458"/>
    <hyperlink ref="B402" r:id="rId400" display="https://my.zakupki.prom.ua/remote/dispatcher/state_purchase_view/4800626"/>
    <hyperlink ref="B403" r:id="rId401" display="https://my.zakupki.prom.ua/remote/dispatcher/state_purchase_view/812663"/>
    <hyperlink ref="B404" r:id="rId402" display="https://my.zakupki.prom.ua/remote/dispatcher/state_purchase_view/751673"/>
    <hyperlink ref="B405" r:id="rId403" display="https://my.zakupki.prom.ua/remote/dispatcher/state_purchase_view/751673"/>
    <hyperlink ref="B406" r:id="rId404" display="https://my.zakupki.prom.ua/remote/dispatcher/state_purchase_view/4396397"/>
    <hyperlink ref="B407" r:id="rId405" display="https://my.zakupki.prom.ua/remote/dispatcher/state_purchase_view/6942510"/>
    <hyperlink ref="B408" r:id="rId406" display="https://my.zakupki.prom.ua/remote/dispatcher/state_purchase_view/6974910"/>
    <hyperlink ref="B409" r:id="rId407" display="https://my.zakupki.prom.ua/remote/dispatcher/state_purchase_view/4526091"/>
    <hyperlink ref="B410" r:id="rId408" display="https://my.zakupki.prom.ua/remote/dispatcher/state_purchase_view/4767898"/>
    <hyperlink ref="B411" r:id="rId409" display="https://my.zakupki.prom.ua/remote/dispatcher/state_purchase_view/4607468"/>
    <hyperlink ref="B412" r:id="rId410" display="https://my.zakupki.prom.ua/remote/dispatcher/state_purchase_view/6472507"/>
    <hyperlink ref="B413" r:id="rId411" display="https://my.zakupki.prom.ua/remote/dispatcher/state_purchase_view/6625855"/>
    <hyperlink ref="B414" r:id="rId412" display="https://my.zakupki.prom.ua/remote/dispatcher/state_purchase_view/2439200"/>
    <hyperlink ref="B415" r:id="rId413" display="https://my.zakupki.prom.ua/remote/dispatcher/state_purchase_view/3916803"/>
    <hyperlink ref="B416" r:id="rId414" display="https://my.zakupki.prom.ua/remote/dispatcher/state_purchase_view/4247728"/>
    <hyperlink ref="B417" r:id="rId415" display="https://my.zakupki.prom.ua/remote/dispatcher/state_purchase_view/4465592"/>
    <hyperlink ref="B418" r:id="rId416" display="https://my.zakupki.prom.ua/remote/dispatcher/state_purchase_view/4459604"/>
    <hyperlink ref="B419" r:id="rId417" display="https://my.zakupki.prom.ua/remote/dispatcher/state_purchase_view/4045308"/>
    <hyperlink ref="B420" r:id="rId418" display="https://my.zakupki.prom.ua/remote/dispatcher/state_purchase_view/7401069"/>
    <hyperlink ref="B421" r:id="rId419" display="https://my.zakupki.prom.ua/remote/dispatcher/state_purchase_view/7973698"/>
    <hyperlink ref="B422" r:id="rId420" display="https://my.zakupki.prom.ua/remote/dispatcher/state_purchase_view/2848269"/>
    <hyperlink ref="B423" r:id="rId421" display="https://my.zakupki.prom.ua/remote/dispatcher/state_purchase_view/6512188"/>
    <hyperlink ref="B424" r:id="rId422" display="https://my.zakupki.prom.ua/remote/dispatcher/state_purchase_view/6611454"/>
    <hyperlink ref="B425" r:id="rId423" display="https://my.zakupki.prom.ua/remote/dispatcher/state_purchase_view/6460946"/>
    <hyperlink ref="B426" r:id="rId424" display="https://my.zakupki.prom.ua/remote/dispatcher/state_purchase_view/6482631"/>
    <hyperlink ref="B427" r:id="rId425" display="https://my.zakupki.prom.ua/remote/dispatcher/state_purchase_view/6654708"/>
    <hyperlink ref="B428" r:id="rId426" display="https://my.zakupki.prom.ua/remote/dispatcher/state_purchase_view/4230521"/>
    <hyperlink ref="B429" r:id="rId427" display="https://my.zakupki.prom.ua/remote/dispatcher/state_purchase_view/3673809"/>
    <hyperlink ref="B430" r:id="rId428" display="https://my.zakupki.prom.ua/remote/dispatcher/state_purchase_view/3673809"/>
    <hyperlink ref="B431" r:id="rId429" display="https://my.zakupki.prom.ua/remote/dispatcher/state_purchase_view/3673809"/>
    <hyperlink ref="B432" r:id="rId430" display="https://my.zakupki.prom.ua/remote/dispatcher/state_purchase_view/3673809"/>
    <hyperlink ref="B433" r:id="rId431" display="https://my.zakupki.prom.ua/remote/dispatcher/state_purchase_view/3673809"/>
    <hyperlink ref="B434" r:id="rId432" display="https://my.zakupki.prom.ua/remote/dispatcher/state_purchase_view/3682023"/>
    <hyperlink ref="B435" r:id="rId433" display="https://my.zakupki.prom.ua/remote/dispatcher/state_purchase_view/3682023"/>
    <hyperlink ref="B436" r:id="rId434" display="https://my.zakupki.prom.ua/remote/dispatcher/state_purchase_view/3682023"/>
    <hyperlink ref="B437" r:id="rId435" display="https://my.zakupki.prom.ua/remote/dispatcher/state_purchase_view/4081307"/>
    <hyperlink ref="B438" r:id="rId436" display="https://my.zakupki.prom.ua/remote/dispatcher/state_purchase_view/4101758"/>
    <hyperlink ref="B439" r:id="rId437" display="https://my.zakupki.prom.ua/remote/dispatcher/state_purchase_view/978189"/>
    <hyperlink ref="B440" r:id="rId438" display="https://my.zakupki.prom.ua/remote/dispatcher/state_purchase_view/1065576"/>
    <hyperlink ref="B441" r:id="rId439" display="https://my.zakupki.prom.ua/remote/dispatcher/state_purchase_view/1101148"/>
    <hyperlink ref="B442" r:id="rId440" display="https://my.zakupki.prom.ua/remote/dispatcher/state_purchase_view/1974844"/>
    <hyperlink ref="B443" r:id="rId441" display="https://my.zakupki.prom.ua/remote/dispatcher/state_purchase_view/3675874"/>
    <hyperlink ref="B444" r:id="rId442" display="https://my.zakupki.prom.ua/remote/dispatcher/state_purchase_view/3694118"/>
    <hyperlink ref="B445" r:id="rId443" display="https://my.zakupki.prom.ua/remote/dispatcher/state_purchase_view/3684524"/>
    <hyperlink ref="B446" r:id="rId444" display="https://my.zakupki.prom.ua/remote/dispatcher/state_purchase_view/3721229"/>
    <hyperlink ref="B447" r:id="rId445" display="https://my.zakupki.prom.ua/remote/dispatcher/state_purchase_view/4891197"/>
    <hyperlink ref="B448" r:id="rId446" display="https://my.zakupki.prom.ua/remote/dispatcher/state_purchase_view/3497869"/>
    <hyperlink ref="B449" r:id="rId447" display="https://my.zakupki.prom.ua/remote/dispatcher/state_purchase_view/8605908"/>
    <hyperlink ref="B450" r:id="rId448" display="https://my.zakupki.prom.ua/remote/dispatcher/state_purchase_view/8628095"/>
    <hyperlink ref="B451" r:id="rId449" display="https://my.zakupki.prom.ua/remote/dispatcher/state_purchase_view/7779029"/>
    <hyperlink ref="B452" r:id="rId450" display="https://my.zakupki.prom.ua/remote/dispatcher/state_purchase_view/8964973"/>
    <hyperlink ref="B453" r:id="rId451" display="https://my.zakupki.prom.ua/remote/dispatcher/state_purchase_view/14405080"/>
    <hyperlink ref="B454" r:id="rId452" display="https://my.zakupki.prom.ua/remote/dispatcher/state_purchase_view/14457272"/>
    <hyperlink ref="B455" r:id="rId453" display="https://my.zakupki.prom.ua/remote/dispatcher/state_purchase_view/13242236"/>
    <hyperlink ref="B456" r:id="rId454" display="https://my.zakupki.prom.ua/remote/dispatcher/state_purchase_view/13242531"/>
    <hyperlink ref="B457" r:id="rId455" display="https://my.zakupki.prom.ua/remote/dispatcher/state_purchase_view/15559950"/>
    <hyperlink ref="B458" r:id="rId456" display="https://my.zakupki.prom.ua/remote/dispatcher/state_purchase_view/15927391"/>
    <hyperlink ref="B459" r:id="rId457" display="https://my.zakupki.prom.ua/remote/dispatcher/state_purchase_view/16070870"/>
    <hyperlink ref="B460" r:id="rId458" display="https://my.zakupki.prom.ua/remote/dispatcher/state_purchase_view/16098719"/>
    <hyperlink ref="B461" r:id="rId459" display="https://my.zakupki.prom.ua/remote/dispatcher/state_purchase_view/13765118"/>
    <hyperlink ref="B462" r:id="rId460" display="https://my.zakupki.prom.ua/remote/dispatcher/state_purchase_view/13766845"/>
    <hyperlink ref="B463" r:id="rId461" display="https://my.zakupki.prom.ua/remote/dispatcher/state_purchase_view/15207509"/>
    <hyperlink ref="B464" r:id="rId462" display="https://my.zakupki.prom.ua/remote/dispatcher/state_purchase_view/17509703"/>
    <hyperlink ref="B465" r:id="rId463" display="https://my.zakupki.prom.ua/remote/dispatcher/state_purchase_view/17636344"/>
    <hyperlink ref="B466" r:id="rId464" display="https://my.zakupki.prom.ua/remote/dispatcher/state_purchase_view/10392853"/>
    <hyperlink ref="B467" r:id="rId465" display="https://my.zakupki.prom.ua/remote/dispatcher/state_purchase_view/9494972"/>
    <hyperlink ref="B468" r:id="rId466" display="https://my.zakupki.prom.ua/remote/dispatcher/state_purchase_view/11666578"/>
    <hyperlink ref="B469" r:id="rId467" display="https://my.zakupki.prom.ua/remote/dispatcher/state_purchase_view/12310420"/>
    <hyperlink ref="B470" r:id="rId468" display="https://my.zakupki.prom.ua/remote/dispatcher/state_purchase_view/12510995"/>
    <hyperlink ref="B471" r:id="rId469" display="https://my.zakupki.prom.ua/remote/dispatcher/state_purchase_view/12538429"/>
    <hyperlink ref="B472" r:id="rId470" display="https://my.zakupki.prom.ua/remote/dispatcher/state_purchase_view/12155875"/>
    <hyperlink ref="B473" r:id="rId471" display="https://my.zakupki.prom.ua/remote/dispatcher/state_purchase_view/12934744"/>
    <hyperlink ref="B474" r:id="rId472" display="https://my.zakupki.prom.ua/remote/dispatcher/state_purchase_view/13016862"/>
    <hyperlink ref="B475" r:id="rId473" display="https://my.zakupki.prom.ua/remote/dispatcher/state_purchase_view/7302471"/>
    <hyperlink ref="B476" r:id="rId474" display="https://my.zakupki.prom.ua/remote/dispatcher/state_purchase_view/7553944"/>
    <hyperlink ref="B477" r:id="rId475" display="https://my.zakupki.prom.ua/remote/dispatcher/state_purchase_view/10791798"/>
    <hyperlink ref="B478" r:id="rId476" display="https://my.zakupki.prom.ua/remote/dispatcher/state_purchase_view/2784361"/>
    <hyperlink ref="B479" r:id="rId477" display="https://my.zakupki.prom.ua/remote/dispatcher/state_purchase_view/3268254"/>
    <hyperlink ref="B480" r:id="rId478" display="https://my.zakupki.prom.ua/remote/dispatcher/state_purchase_view/3632778"/>
    <hyperlink ref="B481" r:id="rId479" display="https://my.zakupki.prom.ua/remote/dispatcher/state_purchase_view/3616538"/>
    <hyperlink ref="B482" r:id="rId480" display="https://my.zakupki.prom.ua/remote/dispatcher/state_purchase_view/6694592"/>
    <hyperlink ref="B483" r:id="rId481" display="https://my.zakupki.prom.ua/remote/dispatcher/state_purchase_view/6694592"/>
    <hyperlink ref="B484" r:id="rId482" display="https://my.zakupki.prom.ua/remote/dispatcher/state_purchase_view/6528168"/>
    <hyperlink ref="B485" r:id="rId483" display="https://my.zakupki.prom.ua/remote/dispatcher/state_purchase_view/3768663"/>
    <hyperlink ref="B486" r:id="rId484" display="https://my.zakupki.prom.ua/remote/dispatcher/state_purchase_view/3727621"/>
    <hyperlink ref="B487" r:id="rId485" display="https://my.zakupki.prom.ua/remote/dispatcher/state_purchase_view/3790025"/>
    <hyperlink ref="B488" r:id="rId486" display="https://my.zakupki.prom.ua/remote/dispatcher/state_purchase_view/3675364"/>
    <hyperlink ref="B489" r:id="rId487" display="https://my.zakupki.prom.ua/remote/dispatcher/state_purchase_view/742628"/>
    <hyperlink ref="B490" r:id="rId488" display="https://my.zakupki.prom.ua/remote/dispatcher/state_purchase_view/4421849"/>
    <hyperlink ref="B491" r:id="rId489" display="https://my.zakupki.prom.ua/remote/dispatcher/state_purchase_view/7042807"/>
    <hyperlink ref="B492" r:id="rId490" display="https://my.zakupki.prom.ua/remote/dispatcher/state_purchase_view/7372243"/>
    <hyperlink ref="B493" r:id="rId491" display="https://my.zakupki.prom.ua/remote/dispatcher/state_purchase_view/978494"/>
    <hyperlink ref="B494" r:id="rId492" display="https://my.zakupki.prom.ua/remote/dispatcher/state_purchase_view/978017"/>
    <hyperlink ref="B495" r:id="rId493" display="https://my.zakupki.prom.ua/remote/dispatcher/state_purchase_view/1970497"/>
    <hyperlink ref="B496" r:id="rId494" display="https://my.zakupki.prom.ua/remote/dispatcher/state_purchase_view/1786354"/>
    <hyperlink ref="B497" r:id="rId495" display="https://my.zakupki.prom.ua/remote/dispatcher/state_purchase_view/1762684"/>
    <hyperlink ref="B498" r:id="rId496" display="https://my.zakupki.prom.ua/remote/dispatcher/state_purchase_view/1210349"/>
    <hyperlink ref="B499" r:id="rId497" display="https://my.zakupki.prom.ua/remote/dispatcher/state_purchase_view/4035465"/>
    <hyperlink ref="B500" r:id="rId498" display="https://my.zakupki.prom.ua/remote/dispatcher/state_purchase_view/3936414"/>
    <hyperlink ref="B501" r:id="rId499" display="https://my.zakupki.prom.ua/remote/dispatcher/state_purchase_view/4425093"/>
    <hyperlink ref="B502" r:id="rId500" display="https://my.zakupki.prom.ua/remote/dispatcher/state_purchase_view/4516186"/>
    <hyperlink ref="B503" r:id="rId501" display="https://my.zakupki.prom.ua/remote/dispatcher/state_purchase_view/3644867"/>
    <hyperlink ref="B504" r:id="rId502" display="https://my.zakupki.prom.ua/remote/dispatcher/state_purchase_view/7987472"/>
    <hyperlink ref="B505" r:id="rId503" display="https://my.zakupki.prom.ua/remote/dispatcher/state_purchase_view/7766403"/>
    <hyperlink ref="B506" r:id="rId504" display="https://my.zakupki.prom.ua/remote/dispatcher/state_purchase_view/8891639"/>
    <hyperlink ref="B507" r:id="rId505" display="https://my.zakupki.prom.ua/remote/dispatcher/state_purchase_view/8296759"/>
    <hyperlink ref="B508" r:id="rId506" display="https://my.zakupki.prom.ua/remote/dispatcher/state_purchase_view/6869312"/>
    <hyperlink ref="B509" r:id="rId507" display="https://my.zakupki.prom.ua/remote/dispatcher/state_purchase_view/11998098"/>
    <hyperlink ref="B510" r:id="rId508" display="https://my.zakupki.prom.ua/remote/dispatcher/state_purchase_view/11468968"/>
    <hyperlink ref="B511" r:id="rId509" display="https://my.zakupki.prom.ua/remote/dispatcher/state_purchase_view/9284844"/>
    <hyperlink ref="B512" r:id="rId510" display="https://my.zakupki.prom.ua/remote/dispatcher/state_purchase_view/9448067"/>
    <hyperlink ref="B513" r:id="rId511" display="https://my.zakupki.prom.ua/remote/dispatcher/state_purchase_view/16373180"/>
    <hyperlink ref="B514" r:id="rId512" display="https://my.zakupki.prom.ua/remote/dispatcher/state_purchase_view/15751058"/>
    <hyperlink ref="B515" r:id="rId513" display="https://my.zakupki.prom.ua/remote/dispatcher/state_purchase_view/11284785"/>
    <hyperlink ref="B516" r:id="rId514" display="https://my.zakupki.prom.ua/remote/dispatcher/state_purchase_view/11267942"/>
    <hyperlink ref="B517" r:id="rId515" display="https://my.zakupki.prom.ua/remote/dispatcher/state_purchase_view/11329958"/>
    <hyperlink ref="B518" r:id="rId516" display="https://my.zakupki.prom.ua/remote/dispatcher/state_purchase_view/13356215"/>
    <hyperlink ref="B519" r:id="rId517" display="https://my.zakupki.prom.ua/remote/dispatcher/state_purchase_view/13353956"/>
    <hyperlink ref="B520" r:id="rId518" display="https://my.zakupki.prom.ua/remote/dispatcher/state_purchase_view/13431999"/>
    <hyperlink ref="B521" r:id="rId519" display="https://my.zakupki.prom.ua/remote/dispatcher/state_purchase_view/14054750"/>
    <hyperlink ref="B522" r:id="rId520" display="https://my.zakupki.prom.ua/remote/dispatcher/state_purchase_view/14054750"/>
    <hyperlink ref="B523" r:id="rId521" display="https://my.zakupki.prom.ua/remote/dispatcher/state_purchase_view/10762353"/>
    <hyperlink ref="B524" r:id="rId522" display="https://my.zakupki.prom.ua/remote/dispatcher/state_purchase_view/18729735"/>
    <hyperlink ref="B525" r:id="rId523" display="https://my.zakupki.prom.ua/remote/dispatcher/state_purchase_view/24237714"/>
    <hyperlink ref="B526" r:id="rId524" display="https://my.zakupki.prom.ua/remote/dispatcher/state_purchase_view/24236903"/>
    <hyperlink ref="B527" r:id="rId525" display="https://my.zakupki.prom.ua/remote/dispatcher/state_purchase_view/22163099"/>
    <hyperlink ref="B528" r:id="rId526" display="https://my.zakupki.prom.ua/remote/dispatcher/state_purchase_view/24596874"/>
    <hyperlink ref="B529" r:id="rId527" display="https://my.zakupki.prom.ua/remote/dispatcher/state_purchase_view/26339560"/>
    <hyperlink ref="B530" r:id="rId528" display="https://my.zakupki.prom.ua/remote/dispatcher/state_purchase_view/3728915"/>
    <hyperlink ref="B531" r:id="rId529" display="https://my.zakupki.prom.ua/remote/dispatcher/state_purchase_view/3809634"/>
    <hyperlink ref="B532" r:id="rId530" display="https://my.zakupki.prom.ua/remote/dispatcher/state_purchase_view/3973566"/>
    <hyperlink ref="B533" r:id="rId531" display="https://my.zakupki.prom.ua/remote/dispatcher/state_purchase_view/4221154"/>
    <hyperlink ref="B534" r:id="rId532" display="https://my.zakupki.prom.ua/remote/dispatcher/state_purchase_view/4221154"/>
    <hyperlink ref="B535" r:id="rId533" display="https://my.zakupki.prom.ua/remote/dispatcher/state_purchase_view/4394970"/>
    <hyperlink ref="B536" r:id="rId534" display="https://my.zakupki.prom.ua/remote/dispatcher/state_purchase_view/4735795"/>
    <hyperlink ref="B537" r:id="rId535" display="https://my.zakupki.prom.ua/remote/dispatcher/state_purchase_view/4558785"/>
    <hyperlink ref="B538" r:id="rId536" display="https://my.zakupki.prom.ua/remote/dispatcher/state_purchase_view/4558917"/>
    <hyperlink ref="B539" r:id="rId537" display="https://my.zakupki.prom.ua/remote/dispatcher/state_purchase_view/4102056"/>
    <hyperlink ref="B540" r:id="rId538" display="https://my.zakupki.prom.ua/remote/dispatcher/state_purchase_view/2666767"/>
    <hyperlink ref="B541" r:id="rId539" display="https://my.zakupki.prom.ua/remote/dispatcher/state_purchase_view/2671162"/>
    <hyperlink ref="B542" r:id="rId540" display="https://my.zakupki.prom.ua/remote/dispatcher/state_purchase_view/4713778"/>
    <hyperlink ref="B543" r:id="rId541" display="https://my.zakupki.prom.ua/remote/dispatcher/state_purchase_view/1316725"/>
    <hyperlink ref="B544" r:id="rId542" display="https://my.zakupki.prom.ua/remote/dispatcher/state_purchase_view/2220101"/>
    <hyperlink ref="B545" r:id="rId543" display="https://my.zakupki.prom.ua/remote/dispatcher/state_purchase_view/7229886"/>
    <hyperlink ref="B546" r:id="rId544" display="https://my.zakupki.prom.ua/remote/dispatcher/state_purchase_view/7516588"/>
    <hyperlink ref="B547" r:id="rId545" display="https://my.zakupki.prom.ua/remote/dispatcher/state_purchase_view/8369776"/>
    <hyperlink ref="B548" r:id="rId546" display="https://my.zakupki.prom.ua/remote/dispatcher/state_purchase_view/4937458"/>
    <hyperlink ref="B549" r:id="rId547" display="https://my.zakupki.prom.ua/remote/dispatcher/state_purchase_view/7881748"/>
    <hyperlink ref="B550" r:id="rId548" display="https://my.zakupki.prom.ua/remote/dispatcher/state_purchase_view/7563048"/>
    <hyperlink ref="B551" r:id="rId549" display="https://my.zakupki.prom.ua/remote/dispatcher/state_purchase_view/7766854"/>
    <hyperlink ref="B552" r:id="rId550" display="https://my.zakupki.prom.ua/remote/dispatcher/state_purchase_view/6612072"/>
    <hyperlink ref="B553" r:id="rId551" display="https://my.zakupki.prom.ua/remote/dispatcher/state_purchase_view/6626140"/>
    <hyperlink ref="B554" r:id="rId552" display="https://my.zakupki.prom.ua/remote/dispatcher/state_purchase_view/6836735"/>
    <hyperlink ref="B555" r:id="rId553" display="https://my.zakupki.prom.ua/remote/dispatcher/state_purchase_view/6837366"/>
    <hyperlink ref="B556" r:id="rId554" display="https://my.zakupki.prom.ua/remote/dispatcher/state_purchase_view/8371191"/>
    <hyperlink ref="B557" r:id="rId555" display="https://my.zakupki.prom.ua/remote/dispatcher/state_purchase_view/8807942"/>
    <hyperlink ref="B558" r:id="rId556" display="https://my.zakupki.prom.ua/remote/dispatcher/state_purchase_view/14925686"/>
    <hyperlink ref="B559" r:id="rId557" display="https://my.zakupki.prom.ua/remote/dispatcher/state_purchase_view/13579560"/>
    <hyperlink ref="B560" r:id="rId558" display="https://my.zakupki.prom.ua/remote/dispatcher/state_purchase_view/14143320"/>
    <hyperlink ref="B561" r:id="rId559" display="https://my.zakupki.prom.ua/remote/dispatcher/state_purchase_view/14609797"/>
    <hyperlink ref="B562" r:id="rId560" display="https://my.zakupki.prom.ua/remote/dispatcher/state_purchase_view/14534092"/>
    <hyperlink ref="B563" r:id="rId561" display="https://my.zakupki.prom.ua/remote/dispatcher/state_purchase_view/14955984"/>
    <hyperlink ref="B564" r:id="rId562" display="https://my.zakupki.prom.ua/remote/dispatcher/state_purchase_view/15220821"/>
    <hyperlink ref="B565" r:id="rId563" display="https://my.zakupki.prom.ua/remote/dispatcher/state_purchase_view/15489226"/>
    <hyperlink ref="B566" r:id="rId564" display="https://my.zakupki.prom.ua/remote/dispatcher/state_purchase_view/15093794"/>
    <hyperlink ref="B567" r:id="rId565" display="https://my.zakupki.prom.ua/remote/dispatcher/state_purchase_view/16621225"/>
    <hyperlink ref="B568" r:id="rId566" display="https://my.zakupki.prom.ua/remote/dispatcher/state_purchase_view/16370832"/>
    <hyperlink ref="B569" r:id="rId567" display="https://my.zakupki.prom.ua/remote/dispatcher/state_purchase_view/16121803"/>
    <hyperlink ref="B570" r:id="rId568" display="https://my.zakupki.prom.ua/remote/dispatcher/state_purchase_view/16121905"/>
    <hyperlink ref="B571" r:id="rId569" display="https://my.zakupki.prom.ua/remote/dispatcher/state_purchase_view/16192645"/>
    <hyperlink ref="B572" r:id="rId570" display="https://my.zakupki.prom.ua/remote/dispatcher/state_purchase_view/14099203"/>
    <hyperlink ref="B573" r:id="rId571" display="https://my.zakupki.prom.ua/remote/dispatcher/state_purchase_view/17631567"/>
    <hyperlink ref="B574" r:id="rId572" display="https://my.zakupki.prom.ua/remote/dispatcher/state_purchase_view/20031650"/>
    <hyperlink ref="B575" r:id="rId573" display="https://my.zakupki.prom.ua/remote/dispatcher/state_purchase_view/20622419"/>
    <hyperlink ref="B576" r:id="rId574" display="https://my.zakupki.prom.ua/remote/dispatcher/state_purchase_view/20610641"/>
    <hyperlink ref="B577" r:id="rId575" display="https://my.zakupki.prom.ua/remote/dispatcher/state_purchase_view/19369087"/>
    <hyperlink ref="B578" r:id="rId576" display="https://my.zakupki.prom.ua/remote/dispatcher/state_purchase_view/20457382"/>
    <hyperlink ref="B579" r:id="rId577" display="https://my.zakupki.prom.ua/remote/dispatcher/state_purchase_view/20672901"/>
    <hyperlink ref="B580" r:id="rId578" display="https://my.zakupki.prom.ua/remote/dispatcher/state_purchase_view/9403250"/>
    <hyperlink ref="B581" r:id="rId579" display="https://my.zakupki.prom.ua/remote/dispatcher/state_purchase_view/4350530"/>
    <hyperlink ref="B582" r:id="rId580" display="https://my.zakupki.prom.ua/remote/dispatcher/state_purchase_view/4350530"/>
    <hyperlink ref="B583" r:id="rId581" display="https://my.zakupki.prom.ua/remote/dispatcher/state_purchase_view/4601717"/>
    <hyperlink ref="B584" r:id="rId582" display="https://my.zakupki.prom.ua/remote/dispatcher/state_purchase_view/3548444"/>
    <hyperlink ref="B585" r:id="rId583" display="https://my.zakupki.prom.ua/remote/dispatcher/state_purchase_view/3611776"/>
    <hyperlink ref="B586" r:id="rId584" display="https://my.zakupki.prom.ua/remote/dispatcher/state_purchase_view/2530610"/>
    <hyperlink ref="B587" r:id="rId585" display="https://my.zakupki.prom.ua/remote/dispatcher/state_purchase_view/2379435"/>
    <hyperlink ref="B588" r:id="rId586" display="https://my.zakupki.prom.ua/remote/dispatcher/state_purchase_view/4278949"/>
    <hyperlink ref="B589" r:id="rId587" display="https://my.zakupki.prom.ua/remote/dispatcher/state_purchase_view/4515940"/>
    <hyperlink ref="B590" r:id="rId588" display="https://my.zakupki.prom.ua/remote/dispatcher/state_purchase_view/5079370"/>
    <hyperlink ref="B591" r:id="rId589" display="https://my.zakupki.prom.ua/remote/dispatcher/state_purchase_view/1783995"/>
    <hyperlink ref="B592" r:id="rId590" display="https://my.zakupki.prom.ua/remote/dispatcher/state_purchase_view/737539"/>
    <hyperlink ref="B593" r:id="rId591" display="https://my.zakupki.prom.ua/remote/dispatcher/state_purchase_view/683100"/>
    <hyperlink ref="B594" r:id="rId592" display="https://my.zakupki.prom.ua/remote/dispatcher/state_purchase_view/3790572"/>
    <hyperlink ref="B595" r:id="rId593" display="https://my.zakupki.prom.ua/remote/dispatcher/state_purchase_view/3809372"/>
    <hyperlink ref="B596" r:id="rId594" display="https://my.zakupki.prom.ua/remote/dispatcher/state_purchase_view/7276155"/>
    <hyperlink ref="B597" r:id="rId595" display="https://my.zakupki.prom.ua/remote/dispatcher/state_purchase_view/7120148"/>
    <hyperlink ref="B598" r:id="rId596" display="https://my.zakupki.prom.ua/remote/dispatcher/state_purchase_view/7339630"/>
    <hyperlink ref="B599" r:id="rId597" display="https://my.zakupki.prom.ua/remote/dispatcher/state_purchase_view/7471260"/>
    <hyperlink ref="B600" r:id="rId598" display="https://my.zakupki.prom.ua/remote/dispatcher/state_purchase_view/8406213"/>
    <hyperlink ref="B601" r:id="rId599" display="https://my.zakupki.prom.ua/remote/dispatcher/state_purchase_view/6672685"/>
    <hyperlink ref="B602" r:id="rId600" display="https://my.zakupki.prom.ua/remote/dispatcher/state_purchase_view/6961463"/>
    <hyperlink ref="B603" r:id="rId601" display="https://my.zakupki.prom.ua/remote/dispatcher/state_purchase_view/7555417"/>
    <hyperlink ref="B604" r:id="rId602" display="https://my.zakupki.prom.ua/remote/dispatcher/state_purchase_view/9072579"/>
    <hyperlink ref="B605" r:id="rId603" display="https://my.zakupki.prom.ua/remote/dispatcher/state_purchase_view/9072579"/>
    <hyperlink ref="B606" r:id="rId604" display="https://my.zakupki.prom.ua/remote/dispatcher/state_purchase_view/9109592"/>
    <hyperlink ref="B607" r:id="rId605" display="https://my.zakupki.prom.ua/remote/dispatcher/state_purchase_view/11305485"/>
    <hyperlink ref="B608" r:id="rId606" display="https://my.zakupki.prom.ua/remote/dispatcher/state_purchase_view/15410699"/>
    <hyperlink ref="B609" r:id="rId607" display="https://my.zakupki.prom.ua/remote/dispatcher/state_purchase_view/15682781"/>
    <hyperlink ref="B610" r:id="rId608" display="https://my.zakupki.prom.ua/remote/dispatcher/state_purchase_view/9688860"/>
    <hyperlink ref="B611" r:id="rId609" display="https://my.zakupki.prom.ua/remote/dispatcher/state_purchase_view/9833876"/>
    <hyperlink ref="B612" r:id="rId610" display="https://my.zakupki.prom.ua/remote/dispatcher/state_purchase_view/9913204"/>
    <hyperlink ref="B613" r:id="rId611" display="https://my.zakupki.prom.ua/remote/dispatcher/state_purchase_view/13727054"/>
    <hyperlink ref="B614" r:id="rId612" display="https://my.zakupki.prom.ua/remote/dispatcher/state_purchase_view/13087166"/>
    <hyperlink ref="B615" r:id="rId613" display="https://my.zakupki.prom.ua/remote/dispatcher/state_purchase_view/11998568"/>
    <hyperlink ref="B616" r:id="rId614" display="https://my.zakupki.prom.ua/remote/dispatcher/state_purchase_view/11593728"/>
    <hyperlink ref="B617" r:id="rId615" display="https://my.zakupki.prom.ua/remote/dispatcher/state_purchase_view/12121265"/>
    <hyperlink ref="B618" r:id="rId616" display="https://my.zakupki.prom.ua/remote/dispatcher/state_purchase_view/16376535"/>
    <hyperlink ref="B619" r:id="rId617" display="https://my.zakupki.prom.ua/remote/dispatcher/state_purchase_view/16335941"/>
    <hyperlink ref="B620" r:id="rId618" display="https://my.zakupki.prom.ua/remote/dispatcher/state_purchase_view/17597890"/>
    <hyperlink ref="B621" r:id="rId619" display="https://my.zakupki.prom.ua/remote/dispatcher/state_purchase_view/17361644"/>
    <hyperlink ref="B622" r:id="rId620" display="https://my.zakupki.prom.ua/remote/dispatcher/state_purchase_view/17568422"/>
    <hyperlink ref="B623" r:id="rId621" display="https://my.zakupki.prom.ua/remote/dispatcher/state_purchase_view/16467518"/>
    <hyperlink ref="B624" r:id="rId622" display="https://my.zakupki.prom.ua/remote/dispatcher/state_purchase_view/18654738"/>
    <hyperlink ref="B625" r:id="rId623" display="https://my.zakupki.prom.ua/remote/dispatcher/state_purchase_view/18858578"/>
    <hyperlink ref="B626" r:id="rId624" display="https://my.zakupki.prom.ua/remote/dispatcher/state_purchase_view/18946304"/>
    <hyperlink ref="B627" r:id="rId625" display="https://my.zakupki.prom.ua/remote/dispatcher/state_purchase_view/11211932"/>
    <hyperlink ref="B628" r:id="rId626" display="https://my.zakupki.prom.ua/remote/dispatcher/state_purchase_view/10798601"/>
    <hyperlink ref="B629" r:id="rId627" display="https://my.zakupki.prom.ua/remote/dispatcher/state_purchase_view/10799186"/>
    <hyperlink ref="B630" r:id="rId628" display="https://my.zakupki.prom.ua/remote/dispatcher/state_purchase_view/20914542"/>
    <hyperlink ref="B631" r:id="rId629" display="https://my.zakupki.prom.ua/remote/dispatcher/state_purchase_view/19866788"/>
    <hyperlink ref="B632" r:id="rId630" display="https://my.zakupki.prom.ua/remote/dispatcher/state_purchase_view/21373119"/>
    <hyperlink ref="B633" r:id="rId631" display="https://my.zakupki.prom.ua/remote/dispatcher/state_purchase_view/12540744"/>
    <hyperlink ref="B634" r:id="rId632" display="https://my.zakupki.prom.ua/remote/dispatcher/state_purchase_view/10393582"/>
    <hyperlink ref="B635" r:id="rId633" display="https://my.zakupki.prom.ua/remote/dispatcher/state_purchase_view/10391121"/>
    <hyperlink ref="B636" r:id="rId634" display="https://my.zakupki.prom.ua/remote/dispatcher/state_purchase_view/8252146"/>
    <hyperlink ref="B637" r:id="rId635" display="https://my.zakupki.prom.ua/remote/dispatcher/state_purchase_view/8352143"/>
    <hyperlink ref="B638" r:id="rId636" display="https://my.zakupki.prom.ua/remote/dispatcher/state_purchase_view/7835413"/>
    <hyperlink ref="B639" r:id="rId637" display="https://my.zakupki.prom.ua/remote/dispatcher/state_purchase_view/8045763"/>
    <hyperlink ref="B640" r:id="rId638" display="https://my.zakupki.prom.ua/remote/dispatcher/state_purchase_view/11812874"/>
    <hyperlink ref="B641" r:id="rId639" display="https://my.zakupki.prom.ua/remote/dispatcher/state_purchase_view/11299060"/>
    <hyperlink ref="B642" r:id="rId640" display="https://my.zakupki.prom.ua/remote/dispatcher/state_purchase_view/1204768"/>
    <hyperlink ref="B643" r:id="rId641" display="https://my.zakupki.prom.ua/remote/dispatcher/state_purchase_view/504307"/>
    <hyperlink ref="B644" r:id="rId642" display="https://my.zakupki.prom.ua/remote/dispatcher/state_purchase_view/748661"/>
    <hyperlink ref="B645" r:id="rId643" display="https://my.zakupki.prom.ua/remote/dispatcher/state_purchase_view/1763311"/>
    <hyperlink ref="B646" r:id="rId644" display="https://my.zakupki.prom.ua/remote/dispatcher/state_purchase_view/2217855"/>
    <hyperlink ref="B647" r:id="rId645" display="https://my.zakupki.prom.ua/remote/dispatcher/state_purchase_view/2223795"/>
    <hyperlink ref="B648" r:id="rId646" display="https://my.zakupki.prom.ua/remote/dispatcher/state_purchase_view/1927420"/>
    <hyperlink ref="B649" r:id="rId647" display="https://my.zakupki.prom.ua/remote/dispatcher/state_purchase_view/6627417"/>
    <hyperlink ref="B650" r:id="rId648" display="https://my.zakupki.prom.ua/remote/dispatcher/state_purchase_view/8655522"/>
    <hyperlink ref="B651" r:id="rId649" display="https://my.zakupki.prom.ua/remote/dispatcher/state_purchase_view/8406381"/>
    <hyperlink ref="B652" r:id="rId650" display="https://my.zakupki.prom.ua/remote/dispatcher/state_purchase_view/8414351"/>
    <hyperlink ref="B653" r:id="rId651" display="https://my.zakupki.prom.ua/remote/dispatcher/state_purchase_view/7977371"/>
    <hyperlink ref="B654" r:id="rId652" display="https://my.zakupki.prom.ua/remote/dispatcher/state_purchase_view/9832930"/>
    <hyperlink ref="B655" r:id="rId653" display="https://my.zakupki.prom.ua/remote/dispatcher/state_purchase_view/13786717"/>
    <hyperlink ref="B656" r:id="rId654" display="https://my.zakupki.prom.ua/remote/dispatcher/state_purchase_view/4266670"/>
    <hyperlink ref="B657" r:id="rId655" display="https://my.zakupki.prom.ua/remote/dispatcher/state_purchase_view/3351601"/>
    <hyperlink ref="B658" r:id="rId656" display="https://my.zakupki.prom.ua/remote/dispatcher/state_purchase_view/4163122"/>
    <hyperlink ref="B659" r:id="rId657" display="https://my.zakupki.prom.ua/remote/dispatcher/state_purchase_view/4163122"/>
    <hyperlink ref="B660" r:id="rId658" display="https://my.zakupki.prom.ua/remote/dispatcher/state_purchase_view/6611039"/>
    <hyperlink ref="B661" r:id="rId659" display="https://my.zakupki.prom.ua/remote/dispatcher/state_purchase_view/6601033"/>
    <hyperlink ref="B662" r:id="rId660" display="https://my.zakupki.prom.ua/remote/dispatcher/state_purchase_view/6052893"/>
    <hyperlink ref="B663" r:id="rId661" display="https://my.zakupki.prom.ua/remote/dispatcher/state_purchase_view/2879927"/>
    <hyperlink ref="B664" r:id="rId662" display="https://my.zakupki.prom.ua/remote/dispatcher/state_purchase_view/7152800"/>
    <hyperlink ref="B665" r:id="rId663" display="https://my.zakupki.prom.ua/remote/dispatcher/state_purchase_view/7153126"/>
    <hyperlink ref="B666" r:id="rId664" display="https://my.zakupki.prom.ua/remote/dispatcher/state_purchase_view/4939263"/>
    <hyperlink ref="B667" r:id="rId665" display="https://my.zakupki.prom.ua/remote/dispatcher/state_purchase_view/4626700"/>
    <hyperlink ref="B668" r:id="rId666" display="https://my.zakupki.prom.ua/remote/dispatcher/state_purchase_view/3726642"/>
    <hyperlink ref="B669" r:id="rId667" display="https://my.zakupki.prom.ua/remote/dispatcher/state_purchase_view/3727882"/>
    <hyperlink ref="B670" r:id="rId668" display="https://my.zakupki.prom.ua/remote/dispatcher/state_purchase_view/3991939"/>
    <hyperlink ref="B671" r:id="rId669" display="https://my.zakupki.prom.ua/remote/dispatcher/state_purchase_view/17568957"/>
    <hyperlink ref="B672" r:id="rId670" display="https://my.zakupki.prom.ua/remote/dispatcher/state_purchase_view/17259840"/>
    <hyperlink ref="B673" r:id="rId671" display="https://my.zakupki.prom.ua/remote/dispatcher/state_purchase_view/19102495"/>
    <hyperlink ref="B674" r:id="rId672" display="https://my.zakupki.prom.ua/remote/dispatcher/state_purchase_view/19655592"/>
    <hyperlink ref="B675" r:id="rId673" display="https://my.zakupki.prom.ua/remote/dispatcher/state_purchase_view/18947652"/>
    <hyperlink ref="B676" r:id="rId674" display="https://my.zakupki.prom.ua/remote/dispatcher/state_purchase_view/18902176"/>
    <hyperlink ref="B677" r:id="rId675" display="https://my.zakupki.prom.ua/remote/dispatcher/state_purchase_view/15466752"/>
    <hyperlink ref="B678" r:id="rId676" display="https://my.zakupki.prom.ua/remote/dispatcher/state_purchase_view/14100564"/>
    <hyperlink ref="B679" r:id="rId677" display="https://my.zakupki.prom.ua/remote/dispatcher/state_purchase_view/16122191"/>
    <hyperlink ref="B680" r:id="rId678" display="https://my.zakupki.prom.ua/remote/dispatcher/state_purchase_view/13191613"/>
    <hyperlink ref="B681" r:id="rId679" display="https://my.zakupki.prom.ua/remote/dispatcher/state_purchase_view/14608395"/>
    <hyperlink ref="B682" r:id="rId680" display="https://my.zakupki.prom.ua/remote/dispatcher/state_purchase_view/20912284"/>
    <hyperlink ref="B683" r:id="rId681" display="https://my.zakupki.prom.ua/remote/dispatcher/state_purchase_view/21335768"/>
    <hyperlink ref="B684" r:id="rId682" display="https://my.zakupki.prom.ua/remote/dispatcher/state_purchase_view/3717474"/>
    <hyperlink ref="B685" r:id="rId683" display="https://my.zakupki.prom.ua/remote/dispatcher/state_purchase_view/3717474"/>
    <hyperlink ref="B686" r:id="rId684" display="https://my.zakupki.prom.ua/remote/dispatcher/state_purchase_view/3717474"/>
    <hyperlink ref="B687" r:id="rId685" display="https://my.zakupki.prom.ua/remote/dispatcher/state_purchase_view/3717474"/>
    <hyperlink ref="B688" r:id="rId686" display="https://my.zakupki.prom.ua/remote/dispatcher/state_purchase_view/4537346"/>
    <hyperlink ref="B689" r:id="rId687" display="https://my.zakupki.prom.ua/remote/dispatcher/state_purchase_view/3487215"/>
    <hyperlink ref="B690" r:id="rId688" display="https://my.zakupki.prom.ua/remote/dispatcher/state_purchase_view/3351892"/>
    <hyperlink ref="B691" r:id="rId689" display="https://my.zakupki.prom.ua/remote/dispatcher/state_purchase_view/833977"/>
    <hyperlink ref="B692" r:id="rId690" display="https://my.zakupki.prom.ua/remote/dispatcher/state_purchase_view/3417512"/>
    <hyperlink ref="B693" r:id="rId691" display="https://my.zakupki.prom.ua/remote/dispatcher/state_purchase_view/7247210"/>
    <hyperlink ref="B694" r:id="rId692" display="https://my.zakupki.prom.ua/remote/dispatcher/state_purchase_view/7263747"/>
    <hyperlink ref="B695" r:id="rId693" display="https://my.zakupki.prom.ua/remote/dispatcher/state_purchase_view/6763156"/>
    <hyperlink ref="B696" r:id="rId694" display="https://my.zakupki.prom.ua/remote/dispatcher/state_purchase_view/5238413"/>
    <hyperlink ref="B697" r:id="rId695" display="https://my.zakupki.prom.ua/remote/dispatcher/state_purchase_view/2218213"/>
    <hyperlink ref="B698" r:id="rId696" display="https://my.zakupki.prom.ua/remote/dispatcher/state_purchase_view/2756391"/>
    <hyperlink ref="B699" r:id="rId697" display="https://my.zakupki.prom.ua/remote/dispatcher/state_purchase_view/2999740"/>
    <hyperlink ref="B700" r:id="rId698" display="https://my.zakupki.prom.ua/remote/dispatcher/state_purchase_view/1426548"/>
    <hyperlink ref="B701" r:id="rId699" display="https://my.zakupki.prom.ua/remote/dispatcher/state_purchase_view/1352191"/>
    <hyperlink ref="B702" r:id="rId700" display="https://my.zakupki.prom.ua/remote/dispatcher/state_purchase_view/6551510"/>
    <hyperlink ref="B703" r:id="rId701" display="https://my.zakupki.prom.ua/remote/dispatcher/state_purchase_view/7128641"/>
    <hyperlink ref="B704" r:id="rId702" display="https://my.zakupki.prom.ua/remote/dispatcher/state_purchase_view/8002513"/>
    <hyperlink ref="B705" r:id="rId703" display="https://my.zakupki.prom.ua/remote/dispatcher/state_purchase_view/8143298"/>
    <hyperlink ref="B706" r:id="rId704" display="https://my.zakupki.prom.ua/remote/dispatcher/state_purchase_view/8617734"/>
    <hyperlink ref="B707" r:id="rId705" display="https://my.zakupki.prom.ua/remote/dispatcher/state_purchase_view/8617734"/>
    <hyperlink ref="B708" r:id="rId706" display="https://my.zakupki.prom.ua/remote/dispatcher/state_purchase_view/10271304"/>
    <hyperlink ref="B709" r:id="rId707" display="https://my.zakupki.prom.ua/remote/dispatcher/state_purchase_view/12970986"/>
    <hyperlink ref="B710" r:id="rId708" display="https://my.zakupki.prom.ua/remote/dispatcher/state_purchase_view/9414110"/>
    <hyperlink ref="B711" r:id="rId709" display="https://my.zakupki.prom.ua/remote/dispatcher/state_purchase_view/11430446"/>
    <hyperlink ref="B712" r:id="rId710" display="https://my.zakupki.prom.ua/remote/dispatcher/state_purchase_view/12127842"/>
    <hyperlink ref="B713" r:id="rId711" display="https://my.zakupki.prom.ua/remote/dispatcher/state_purchase_view/8037822"/>
    <hyperlink ref="B714" r:id="rId712" display="https://my.zakupki.prom.ua/remote/dispatcher/state_purchase_view/11762661"/>
    <hyperlink ref="B715" r:id="rId713" display="https://my.zakupki.prom.ua/remote/dispatcher/state_purchase_view/11331428"/>
    <hyperlink ref="B716" r:id="rId714" display="https://my.zakupki.prom.ua/remote/dispatcher/state_purchase_view/11709702"/>
    <hyperlink ref="B717" r:id="rId715" display="https://my.zakupki.prom.ua/remote/dispatcher/state_purchase_view/11538455"/>
    <hyperlink ref="B718" r:id="rId716" display="https://my.zakupki.prom.ua/remote/dispatcher/state_purchase_view/13829492"/>
    <hyperlink ref="B719" r:id="rId717" display="https://my.zakupki.prom.ua/remote/dispatcher/state_purchase_view/14473623"/>
    <hyperlink ref="B720" r:id="rId718" display="https://my.zakupki.prom.ua/remote/dispatcher/state_purchase_view/16192992"/>
    <hyperlink ref="B721" r:id="rId719" display="https://my.zakupki.prom.ua/remote/dispatcher/state_purchase_view/16072226"/>
    <hyperlink ref="B722" r:id="rId720" display="https://my.zakupki.prom.ua/remote/dispatcher/state_purchase_view/16501623"/>
    <hyperlink ref="B723" r:id="rId721" display="https://my.zakupki.prom.ua/remote/dispatcher/state_purchase_view/15241576"/>
    <hyperlink ref="B724" r:id="rId722" display="https://my.zakupki.prom.ua/remote/dispatcher/state_purchase_view/13191453"/>
    <hyperlink ref="B725" r:id="rId723" display="https://my.zakupki.prom.ua/remote/dispatcher/state_purchase_view/13524036"/>
    <hyperlink ref="B726" r:id="rId724" display="https://my.zakupki.prom.ua/remote/dispatcher/state_purchase_view/13242131"/>
    <hyperlink ref="B727" r:id="rId725" display="https://my.zakupki.prom.ua/remote/dispatcher/state_purchase_view/13356490"/>
    <hyperlink ref="B728" r:id="rId726" display="https://my.zakupki.prom.ua/remote/dispatcher/state_purchase_view/15926680"/>
    <hyperlink ref="B729" r:id="rId727" display="https://my.zakupki.prom.ua/remote/dispatcher/state_purchase_view/15158440"/>
    <hyperlink ref="B730" r:id="rId728" display="https://my.zakupki.prom.ua/remote/dispatcher/state_purchase_view/14474130"/>
    <hyperlink ref="B731" r:id="rId729" display="https://my.zakupki.prom.ua/remote/dispatcher/state_purchase_view/15756833"/>
    <hyperlink ref="B732" r:id="rId730" display="https://my.zakupki.prom.ua/remote/dispatcher/state_purchase_view/22162590"/>
    <hyperlink ref="B733" r:id="rId731" display="https://my.zakupki.prom.ua/remote/dispatcher/state_purchase_view/30396765"/>
    <hyperlink ref="B734" r:id="rId732" display="https://my.zakupki.prom.ua/remote/dispatcher/state_purchase_view/30335260"/>
    <hyperlink ref="B735" r:id="rId733" display="https://my.zakupki.prom.ua/remote/dispatcher/state_purchase_view/18526632"/>
    <hyperlink ref="B736" r:id="rId734" display="https://my.zakupki.prom.ua/remote/dispatcher/state_purchase_view/18860222"/>
    <hyperlink ref="B737" r:id="rId735" display="https://my.zakupki.prom.ua/remote/dispatcher/state_purchase_view/19051107"/>
    <hyperlink ref="B738" r:id="rId736" display="https://my.zakupki.prom.ua/remote/dispatcher/state_purchase_view/599568"/>
    <hyperlink ref="B739" r:id="rId737" display="https://my.zakupki.prom.ua/remote/dispatcher/state_purchase_view/599568"/>
    <hyperlink ref="B740" r:id="rId738" display="https://my.zakupki.prom.ua/remote/dispatcher/state_purchase_view/1109584"/>
    <hyperlink ref="B741" r:id="rId739" display="https://my.zakupki.prom.ua/remote/dispatcher/state_purchase_view/2706003"/>
    <hyperlink ref="B742" r:id="rId740" display="https://my.zakupki.prom.ua/remote/dispatcher/state_purchase_view/3351982"/>
    <hyperlink ref="B743" r:id="rId741" display="https://my.zakupki.prom.ua/remote/dispatcher/state_purchase_view/3351382"/>
    <hyperlink ref="B744" r:id="rId742" display="https://my.zakupki.prom.ua/remote/dispatcher/state_purchase_view/2666467"/>
    <hyperlink ref="B745" r:id="rId743" display="https://my.zakupki.prom.ua/remote/dispatcher/state_purchase_view/2550142"/>
    <hyperlink ref="B746" r:id="rId744" display="https://my.zakupki.prom.ua/remote/dispatcher/state_purchase_view/1828955"/>
    <hyperlink ref="B747" r:id="rId745" display="https://my.zakupki.prom.ua/remote/dispatcher/state_purchase_view/1800414"/>
    <hyperlink ref="B748" r:id="rId746" display="https://my.zakupki.prom.ua/remote/dispatcher/state_purchase_view/4607965"/>
    <hyperlink ref="B749" r:id="rId747" display="https://my.zakupki.prom.ua/remote/dispatcher/state_purchase_view/4188049"/>
    <hyperlink ref="B750" r:id="rId748" display="https://my.zakupki.prom.ua/remote/dispatcher/state_purchase_view/4559185"/>
    <hyperlink ref="B751" r:id="rId749" display="https://my.zakupki.prom.ua/remote/dispatcher/state_purchase_view/5988603"/>
    <hyperlink ref="B752" r:id="rId750" display="https://my.zakupki.prom.ua/remote/dispatcher/state_purchase_view/6373722"/>
    <hyperlink ref="B753" r:id="rId751" display="https://my.zakupki.prom.ua/remote/dispatcher/state_purchase_view/6384646"/>
    <hyperlink ref="B754" r:id="rId752" display="https://my.zakupki.prom.ua/remote/dispatcher/state_purchase_view/6487424"/>
    <hyperlink ref="B755" r:id="rId753" display="https://my.zakupki.prom.ua/remote/dispatcher/state_purchase_view/7791716"/>
    <hyperlink ref="B756" r:id="rId754" display="https://my.zakupki.prom.ua/remote/dispatcher/state_purchase_view/7846508"/>
    <hyperlink ref="B757" r:id="rId755" display="https://my.zakupki.prom.ua/remote/dispatcher/state_purchase_view/8302848"/>
    <hyperlink ref="B758" r:id="rId756" display="https://my.zakupki.prom.ua/remote/dispatcher/state_purchase_view/8406477"/>
    <hyperlink ref="B759" r:id="rId757" display="https://my.zakupki.prom.ua/remote/dispatcher/state_purchase_view/4489121"/>
    <hyperlink ref="B760" r:id="rId758" display="https://my.zakupki.prom.ua/remote/dispatcher/state_purchase_view/4475136"/>
    <hyperlink ref="B761" r:id="rId759" display="https://my.zakupki.prom.ua/remote/dispatcher/state_purchase_view/6972305"/>
    <hyperlink ref="B762" r:id="rId760" display="https://my.zakupki.prom.ua/remote/dispatcher/state_purchase_view/8011852"/>
    <hyperlink ref="B763" r:id="rId761" display="https://my.zakupki.prom.ua/remote/dispatcher/state_purchase_view/9064389"/>
    <hyperlink ref="B764" r:id="rId762" display="https://my.zakupki.prom.ua/remote/dispatcher/state_purchase_view/9309107"/>
    <hyperlink ref="B765" r:id="rId763" display="https://my.zakupki.prom.ua/remote/dispatcher/state_purchase_view/4445715"/>
    <hyperlink ref="B766" r:id="rId764" display="https://my.zakupki.prom.ua/remote/dispatcher/state_purchase_view/6553034"/>
    <hyperlink ref="B767" r:id="rId765" display="https://my.zakupki.prom.ua/remote/dispatcher/state_purchase_view/7555209"/>
    <hyperlink ref="B768" r:id="rId766" display="https://my.zakupki.prom.ua/remote/dispatcher/state_purchase_view/13221958"/>
    <hyperlink ref="B769" r:id="rId767" display="https://my.zakupki.prom.ua/remote/dispatcher/state_purchase_view/10994829"/>
    <hyperlink ref="B770" r:id="rId768" display="https://my.zakupki.prom.ua/remote/dispatcher/state_purchase_view/13057533"/>
    <hyperlink ref="B771" r:id="rId769" display="https://my.zakupki.prom.ua/remote/dispatcher/state_purchase_view/13191712"/>
    <hyperlink ref="B772" r:id="rId770" display="https://my.zakupki.prom.ua/remote/dispatcher/state_purchase_view/10390398"/>
    <hyperlink ref="B773" r:id="rId771" display="https://my.zakupki.prom.ua/remote/dispatcher/state_purchase_view/12656910"/>
    <hyperlink ref="B774" r:id="rId772" display="https://my.zakupki.prom.ua/remote/dispatcher/state_purchase_view/11861705"/>
    <hyperlink ref="B775" r:id="rId773" display="https://my.zakupki.prom.ua/remote/dispatcher/state_purchase_view/11719465"/>
    <hyperlink ref="B776" r:id="rId774" display="https://my.zakupki.prom.ua/remote/dispatcher/state_purchase_view/10903954"/>
    <hyperlink ref="B777" r:id="rId775" display="https://my.zakupki.prom.ua/remote/dispatcher/state_purchase_view/10940353"/>
    <hyperlink ref="B778" r:id="rId776" display="https://my.zakupki.prom.ua/remote/dispatcher/state_purchase_view/11315160"/>
    <hyperlink ref="B779" r:id="rId777" display="https://my.zakupki.prom.ua/remote/dispatcher/state_purchase_view/12167209"/>
    <hyperlink ref="B780" r:id="rId778" display="https://my.zakupki.prom.ua/remote/dispatcher/state_purchase_view/10052280"/>
    <hyperlink ref="B781" r:id="rId779" display="https://my.zakupki.prom.ua/remote/dispatcher/state_purchase_view/17572690"/>
    <hyperlink ref="B782" r:id="rId780" display="https://my.zakupki.prom.ua/remote/dispatcher/state_purchase_view/13579257"/>
    <hyperlink ref="B783" r:id="rId781" display="https://my.zakupki.prom.ua/remote/dispatcher/state_purchase_view/15387729"/>
    <hyperlink ref="B784" r:id="rId782" display="https://my.zakupki.prom.ua/remote/dispatcher/state_purchase_view/16697516"/>
    <hyperlink ref="B785" r:id="rId783" display="https://my.zakupki.prom.ua/remote/dispatcher/state_purchase_view/15775582"/>
    <hyperlink ref="B786" r:id="rId784" display="https://my.zakupki.prom.ua/remote/dispatcher/state_purchase_view/16077815"/>
    <hyperlink ref="B787" r:id="rId785" display="https://my.zakupki.prom.ua/remote/dispatcher/state_purchase_view/14036781"/>
    <hyperlink ref="B788" r:id="rId786" display="https://my.zakupki.prom.ua/remote/dispatcher/state_purchase_view/18145750"/>
    <hyperlink ref="B789" r:id="rId787" display="https://my.zakupki.prom.ua/remote/dispatcher/state_purchase_view/19799797"/>
    <hyperlink ref="B790" r:id="rId788" display="https://my.zakupki.prom.ua/remote/dispatcher/state_purchase_view/18903992"/>
    <hyperlink ref="B791" r:id="rId789" display="https://my.zakupki.prom.ua/remote/dispatcher/state_purchase_view/18663625"/>
    <hyperlink ref="B792" r:id="rId790" display="https://my.zakupki.prom.ua/remote/dispatcher/state_purchase_view/24289954"/>
    <hyperlink ref="B793" r:id="rId791" display="https://my.zakupki.prom.ua/remote/dispatcher/state_purchase_view/24198314"/>
    <hyperlink ref="B794" r:id="rId792" display="https://my.zakupki.prom.ua/remote/dispatcher/state_purchase_view/23061400"/>
    <hyperlink ref="B795" r:id="rId793" display="https://my.zakupki.prom.ua/remote/dispatcher/state_purchase_view/21372364"/>
    <hyperlink ref="B796" r:id="rId794" display="https://my.zakupki.prom.ua/remote/dispatcher/state_purchase_view/27473778"/>
    <hyperlink ref="B797" r:id="rId795" display="https://my.zakupki.prom.ua/remote/dispatcher/state_purchase_view/26986105"/>
    <hyperlink ref="B798" r:id="rId796" display="https://my.zakupki.prom.ua/remote/dispatcher/state_purchase_view/26309359"/>
    <hyperlink ref="B799" r:id="rId797" display="https://my.zakupki.prom.ua/remote/dispatcher/state_purchase_view/26325484"/>
    <hyperlink ref="B800" r:id="rId798" display="https://my.zakupki.prom.ua/remote/dispatcher/state_purchase_view/29135477"/>
    <hyperlink ref="B801" r:id="rId799" display="https://my.zakupki.prom.ua/remote/dispatcher/state_purchase_view/28722155"/>
    <hyperlink ref="B802" r:id="rId800" display="https://my.zakupki.prom.ua/remote/dispatcher/state_purchase_view/29906572"/>
    <hyperlink ref="B803" r:id="rId801" display="https://my.zakupki.prom.ua/remote/dispatcher/state_purchase_view/30889387"/>
    <hyperlink ref="B804" r:id="rId802" display="https://my.zakupki.prom.ua/remote/dispatcher/state_purchase_view/30397658"/>
    <hyperlink ref="B805" r:id="rId803" display="https://my.zakupki.prom.ua/remote/dispatcher/state_purchase_view/31151041"/>
    <hyperlink ref="B806" r:id="rId804" display="https://my.zakupki.prom.ua/remote/dispatcher/state_purchase_view/32986238"/>
    <hyperlink ref="B807" r:id="rId805" display="https://my.zakupki.prom.ua/remote/dispatcher/state_purchase_view/33572365"/>
    <hyperlink ref="B808" r:id="rId806" display="https://my.zakupki.prom.ua/remote/dispatcher/state_purchase_view/30164227"/>
    <hyperlink ref="B809" r:id="rId807" display="https://my.zakupki.prom.ua/remote/dispatcher/state_purchase_view/31538247"/>
    <hyperlink ref="B810" r:id="rId808" display="https://my.zakupki.prom.ua/remote/dispatcher/state_purchase_view/31115696"/>
    <hyperlink ref="B811" r:id="rId809" display="https://my.zakupki.prom.ua/remote/dispatcher/state_purchase_view/21590160"/>
    <hyperlink ref="B812" r:id="rId810" display="https://my.zakupki.prom.ua/remote/dispatcher/state_purchase_view/21618987"/>
    <hyperlink ref="B813" r:id="rId811" display="https://my.zakupki.prom.ua/remote/dispatcher/state_purchase_view/23050828"/>
    <hyperlink ref="B814" r:id="rId812" display="https://my.zakupki.prom.ua/remote/dispatcher/state_purchase_view/23050828"/>
    <hyperlink ref="B815" r:id="rId813" display="https://my.zakupki.prom.ua/remote/dispatcher/state_purchase_view/23835809"/>
    <hyperlink ref="B816" r:id="rId814" display="https://my.zakupki.prom.ua/remote/dispatcher/state_purchase_view/24663677"/>
    <hyperlink ref="B817" r:id="rId815" display="https://my.zakupki.prom.ua/remote/dispatcher/state_purchase_view/25515345"/>
    <hyperlink ref="B818" r:id="rId816" display="https://my.zakupki.prom.ua/remote/dispatcher/state_purchase_view/27401925"/>
    <hyperlink ref="B819" r:id="rId817" display="https://my.zakupki.prom.ua/remote/dispatcher/state_purchase_view/27841358"/>
    <hyperlink ref="B820" r:id="rId818" display="https://my.zakupki.prom.ua/remote/dispatcher/state_purchase_view/27954893"/>
    <hyperlink ref="B821" r:id="rId819" display="https://my.zakupki.prom.ua/remote/dispatcher/state_purchase_view/24650354"/>
    <hyperlink ref="B822" r:id="rId820" display="https://my.zakupki.prom.ua/remote/dispatcher/state_purchase_view/29787094"/>
    <hyperlink ref="B823" r:id="rId821" display="https://my.zakupki.prom.ua/remote/dispatcher/state_purchase_view/30116402"/>
    <hyperlink ref="B824" r:id="rId822" display="https://my.zakupki.prom.ua/remote/dispatcher/state_purchase_view/29241341"/>
    <hyperlink ref="B825" r:id="rId823" display="https://my.zakupki.prom.ua/remote/dispatcher/state_purchase_view/24785409"/>
    <hyperlink ref="B826" r:id="rId824" display="https://my.zakupki.prom.ua/remote/dispatcher/state_purchase_view/29205007"/>
    <hyperlink ref="B827" r:id="rId825" display="https://my.zakupki.prom.ua/remote/dispatcher/state_purchase_view/30274464"/>
    <hyperlink ref="B828" r:id="rId826" display="https://my.zakupki.prom.ua/remote/dispatcher/state_purchase_view/32551811"/>
    <hyperlink ref="B829" r:id="rId827" display="https://my.zakupki.prom.ua/remote/dispatcher/state_purchase_view/31016202"/>
    <hyperlink ref="B830" r:id="rId828" display="https://my.zakupki.prom.ua/remote/dispatcher/state_purchase_view/29352480"/>
    <hyperlink ref="B831" r:id="rId829" display="https://my.zakupki.prom.ua/remote/dispatcher/state_purchase_view/29477604"/>
    <hyperlink ref="B832" r:id="rId830" display="https://my.zakupki.prom.ua/remote/dispatcher/state_purchase_view/22961608"/>
    <hyperlink ref="B833" r:id="rId831" display="https://my.zakupki.prom.ua/remote/dispatcher/state_purchase_view/23957039"/>
    <hyperlink ref="B834" r:id="rId832" display="https://my.zakupki.prom.ua/remote/dispatcher/state_purchase_view/33455635"/>
    <hyperlink ref="B835" r:id="rId833" display="https://my.zakupki.prom.ua/remote/dispatcher/state_purchase_view/16263049"/>
    <hyperlink ref="B836" r:id="rId834" display="https://my.zakupki.prom.ua/remote/dispatcher/state_purchase_view/17293337"/>
    <hyperlink ref="B837" r:id="rId835" display="https://my.zakupki.prom.ua/remote/dispatcher/state_purchase_view/18186104"/>
    <hyperlink ref="B838" r:id="rId836" display="https://my.zakupki.prom.ua/remote/dispatcher/state_purchase_view/15853748"/>
    <hyperlink ref="B839" r:id="rId837" display="https://my.zakupki.prom.ua/remote/dispatcher/state_purchase_view/16873466"/>
    <hyperlink ref="B840" r:id="rId838" display="https://my.zakupki.prom.ua/remote/dispatcher/state_purchase_view/13277978"/>
    <hyperlink ref="B841" r:id="rId839" display="https://my.zakupki.prom.ua/remote/dispatcher/state_purchase_view/16506305"/>
    <hyperlink ref="B842" r:id="rId840" display="https://my.zakupki.prom.ua/remote/dispatcher/state_purchase_view/16086174"/>
    <hyperlink ref="B843" r:id="rId841" display="https://my.zakupki.prom.ua/remote/dispatcher/state_purchase_view/16207904"/>
    <hyperlink ref="B844" r:id="rId842" display="https://my.zakupki.prom.ua/remote/dispatcher/state_purchase_view/14142706"/>
    <hyperlink ref="B845" r:id="rId843" display="https://my.zakupki.prom.ua/remote/dispatcher/state_purchase_view/18998695"/>
    <hyperlink ref="B846" r:id="rId844" display="https://my.zakupki.prom.ua/remote/dispatcher/state_purchase_view/19650919"/>
    <hyperlink ref="B847" r:id="rId845" display="https://my.zakupki.prom.ua/remote/dispatcher/state_purchase_view/19871142"/>
    <hyperlink ref="B848" r:id="rId846" display="https://my.zakupki.prom.ua/remote/dispatcher/state_purchase_view/24506112"/>
    <hyperlink ref="B849" r:id="rId847" display="https://my.zakupki.prom.ua/remote/dispatcher/state_purchase_view/21332149"/>
    <hyperlink ref="B850" r:id="rId848" display="https://my.zakupki.prom.ua/remote/dispatcher/state_purchase_view/23157375"/>
    <hyperlink ref="B851" r:id="rId849" display="https://my.zakupki.prom.ua/remote/dispatcher/state_purchase_view/25189911"/>
    <hyperlink ref="B852" r:id="rId850" display="https://my.zakupki.prom.ua/remote/dispatcher/state_purchase_view/25641033"/>
    <hyperlink ref="B853" r:id="rId851" display="https://my.zakupki.prom.ua/remote/dispatcher/state_purchase_view/25810541"/>
    <hyperlink ref="B854" r:id="rId852" display="https://my.zakupki.prom.ua/remote/dispatcher/state_purchase_view/27474233"/>
    <hyperlink ref="B855" r:id="rId853" display="https://my.zakupki.prom.ua/remote/dispatcher/state_purchase_view/29351209"/>
    <hyperlink ref="B856" r:id="rId854" display="https://my.zakupki.prom.ua/remote/dispatcher/state_purchase_view/29299980"/>
    <hyperlink ref="B857" r:id="rId855" display="https://my.zakupki.prom.ua/remote/dispatcher/state_purchase_view/29906735"/>
    <hyperlink ref="B858" r:id="rId856" display="https://my.zakupki.prom.ua/remote/dispatcher/state_purchase_view/29870208"/>
    <hyperlink ref="B859" r:id="rId857" display="https://my.zakupki.prom.ua/remote/dispatcher/state_purchase_view/30143933"/>
    <hyperlink ref="B860" r:id="rId858" display="https://my.zakupki.prom.ua/remote/dispatcher/state_purchase_view/30129024"/>
    <hyperlink ref="B861" r:id="rId859" display="https://my.zakupki.prom.ua/remote/dispatcher/state_purchase_view/32439921"/>
    <hyperlink ref="B862" r:id="rId860" display="https://my.zakupki.prom.ua/remote/dispatcher/state_purchase_view/32648544"/>
    <hyperlink ref="B863" r:id="rId861" display="https://my.zakupki.prom.ua/remote/dispatcher/state_purchase_view/32750292"/>
    <hyperlink ref="B864" r:id="rId862" display="https://my.zakupki.prom.ua/remote/dispatcher/state_purchase_view/23114486"/>
    <hyperlink ref="B865" r:id="rId863" display="https://my.zakupki.prom.ua/remote/dispatcher/state_purchase_view/32608795"/>
    <hyperlink ref="B866" r:id="rId864" display="https://my.zakupki.prom.ua/remote/dispatcher/state_purchase_view/11519718"/>
    <hyperlink ref="B867" r:id="rId865" display="https://my.zakupki.prom.ua/remote/dispatcher/state_purchase_view/12123236"/>
    <hyperlink ref="B868" r:id="rId866" display="https://my.zakupki.prom.ua/remote/dispatcher/state_purchase_view/11961436"/>
    <hyperlink ref="B869" r:id="rId867" display="https://my.zakupki.prom.ua/remote/dispatcher/state_purchase_view/18289529"/>
    <hyperlink ref="B870" r:id="rId868" display="https://my.zakupki.prom.ua/remote/dispatcher/state_purchase_view/19013471"/>
    <hyperlink ref="B871" r:id="rId869" display="https://my.zakupki.prom.ua/remote/dispatcher/state_purchase_view/21222143"/>
    <hyperlink ref="B872" r:id="rId870" display="https://my.zakupki.prom.ua/remote/dispatcher/state_purchase_view/21419831"/>
    <hyperlink ref="B873" r:id="rId871" display="https://my.zakupki.prom.ua/remote/dispatcher/state_purchase_view/16059262"/>
    <hyperlink ref="B874" r:id="rId872" display="https://my.zakupki.prom.ua/remote/dispatcher/state_purchase_view/16261547"/>
    <hyperlink ref="B875" r:id="rId873" display="https://my.zakupki.prom.ua/remote/dispatcher/state_purchase_view/19279003"/>
    <hyperlink ref="B876" r:id="rId874" display="https://my.zakupki.prom.ua/remote/dispatcher/state_purchase_view/27909117"/>
    <hyperlink ref="B877" r:id="rId875" display="https://my.zakupki.prom.ua/remote/dispatcher/state_purchase_view/28530336"/>
    <hyperlink ref="B878" r:id="rId876" display="https://my.zakupki.prom.ua/remote/dispatcher/state_purchase_view/29222067"/>
    <hyperlink ref="B879" r:id="rId877" display="https://my.zakupki.prom.ua/remote/dispatcher/state_purchase_view/24112013"/>
    <hyperlink ref="B880" r:id="rId878" display="https://my.zakupki.prom.ua/remote/dispatcher/state_purchase_view/21946951"/>
    <hyperlink ref="B881" r:id="rId879" display="https://my.zakupki.prom.ua/remote/dispatcher/state_purchase_view/25025115"/>
    <hyperlink ref="B882" r:id="rId880" display="https://my.zakupki.prom.ua/remote/dispatcher/state_purchase_view/27298158"/>
    <hyperlink ref="B883" r:id="rId881" display="https://my.zakupki.prom.ua/remote/dispatcher/state_purchase_view/25808859"/>
    <hyperlink ref="B884" r:id="rId882" display="https://my.zakupki.prom.ua/remote/dispatcher/state_purchase_view/31151894"/>
    <hyperlink ref="B885" r:id="rId883" display="https://my.zakupki.prom.ua/remote/dispatcher/state_purchase_view/31711864"/>
    <hyperlink ref="B886" r:id="rId884" display="https://my.zakupki.prom.ua/remote/dispatcher/state_purchase_view/31591982"/>
    <hyperlink ref="B887" r:id="rId885" display="https://my.zakupki.prom.ua/remote/dispatcher/state_purchase_view/32753541"/>
    <hyperlink ref="B888" r:id="rId886" display="https://my.zakupki.prom.ua/remote/dispatcher/state_purchase_view/28404745"/>
    <hyperlink ref="B889" r:id="rId887" display="https://my.zakupki.prom.ua/remote/dispatcher/state_purchase_view/29828355"/>
    <hyperlink ref="B890" r:id="rId888" display="https://my.zakupki.prom.ua/remote/dispatcher/state_purchase_view/33212191"/>
    <hyperlink ref="B891" r:id="rId889" display="https://my.zakupki.prom.ua/remote/dispatcher/state_purchase_view/17335381"/>
    <hyperlink ref="B892" r:id="rId890" display="https://my.zakupki.prom.ua/remote/dispatcher/state_purchase_view/17352352"/>
    <hyperlink ref="B893" r:id="rId891" display="https://my.zakupki.prom.ua/remote/dispatcher/state_purchase_view/10876485"/>
    <hyperlink ref="B894" r:id="rId892" display="https://my.zakupki.prom.ua/remote/dispatcher/state_purchase_view/27906959"/>
    <hyperlink ref="B895" r:id="rId893" display="https://my.zakupki.prom.ua/remote/dispatcher/state_purchase_view/28255386"/>
    <hyperlink ref="B896" r:id="rId894" display="https://my.zakupki.prom.ua/remote/dispatcher/state_purchase_view/28469609"/>
    <hyperlink ref="B897" r:id="rId895" display="https://my.zakupki.prom.ua/remote/dispatcher/state_purchase_view/23535466"/>
    <hyperlink ref="B898" r:id="rId896" display="https://my.zakupki.prom.ua/remote/dispatcher/state_purchase_view/23692631"/>
    <hyperlink ref="B899" r:id="rId897" display="https://my.zakupki.prom.ua/remote/dispatcher/state_purchase_view/23794175"/>
    <hyperlink ref="B900" r:id="rId898" display="https://my.zakupki.prom.ua/remote/dispatcher/state_purchase_view/23525534"/>
    <hyperlink ref="B901" r:id="rId899" display="https://my.zakupki.prom.ua/remote/dispatcher/state_purchase_view/24249625"/>
    <hyperlink ref="B902" r:id="rId900" display="https://my.zakupki.prom.ua/remote/dispatcher/state_purchase_view/24006207"/>
    <hyperlink ref="B903" r:id="rId901" display="https://my.zakupki.prom.ua/remote/dispatcher/state_purchase_view/21123608"/>
    <hyperlink ref="B904" r:id="rId902" display="https://my.zakupki.prom.ua/remote/dispatcher/state_purchase_view/21123608"/>
    <hyperlink ref="B905" r:id="rId903" display="https://my.zakupki.prom.ua/remote/dispatcher/state_purchase_view/19470115"/>
    <hyperlink ref="B906" r:id="rId904" display="https://my.zakupki.prom.ua/remote/dispatcher/state_purchase_view/24931456"/>
    <hyperlink ref="B907" r:id="rId905" display="https://my.zakupki.prom.ua/remote/dispatcher/state_purchase_view/24576294"/>
    <hyperlink ref="B908" r:id="rId906" display="https://my.zakupki.prom.ua/remote/dispatcher/state_purchase_view/25163094"/>
    <hyperlink ref="B909" r:id="rId907" display="https://my.zakupki.prom.ua/remote/dispatcher/state_purchase_view/27069974"/>
    <hyperlink ref="B910" r:id="rId908" display="https://my.zakupki.prom.ua/remote/dispatcher/state_purchase_view/32439511"/>
    <hyperlink ref="B911" r:id="rId909" display="https://my.zakupki.prom.ua/remote/dispatcher/state_purchase_view/32605843"/>
    <hyperlink ref="B912" r:id="rId910" display="https://my.zakupki.prom.ua/remote/dispatcher/state_purchase_view/31314043"/>
    <hyperlink ref="B913" r:id="rId911" display="https://my.zakupki.prom.ua/remote/dispatcher/state_purchase_view/31487593"/>
    <hyperlink ref="B914" r:id="rId912" display="https://my.zakupki.prom.ua/remote/dispatcher/state_purchase_view/31131239"/>
    <hyperlink ref="B915" r:id="rId913" display="https://my.zakupki.prom.ua/remote/dispatcher/state_purchase_view/31547074"/>
    <hyperlink ref="B916" r:id="rId914" display="https://my.zakupki.prom.ua/remote/dispatcher/state_purchase_view/33870760"/>
    <hyperlink ref="B917" r:id="rId915" display="https://my.zakupki.prom.ua/remote/dispatcher/state_purchase_view/33885187"/>
    <hyperlink ref="B918" r:id="rId916" display="https://my.zakupki.prom.ua/remote/dispatcher/state_purchase_view/28791650"/>
    <hyperlink ref="B919" r:id="rId917" display="https://my.zakupki.prom.ua/remote/dispatcher/state_purchase_view/19529703"/>
    <hyperlink ref="B920" r:id="rId918" display="https://my.zakupki.prom.ua/remote/dispatcher/state_purchase_view/32602312"/>
    <hyperlink ref="B921" r:id="rId919" display="https://my.zakupki.prom.ua/remote/dispatcher/state_purchase_view/33543904"/>
    <hyperlink ref="B922" r:id="rId920" display="https://my.zakupki.prom.ua/remote/dispatcher/state_purchase_view/33997237"/>
    <hyperlink ref="B923" r:id="rId921" display="https://my.zakupki.prom.ua/remote/dispatcher/state_purchase_view/18268237"/>
    <hyperlink ref="B924" r:id="rId922" display="https://my.zakupki.prom.ua/remote/dispatcher/state_purchase_view/18183811"/>
    <hyperlink ref="B925" r:id="rId923" display="https://my.zakupki.prom.ua/remote/dispatcher/state_purchase_view/16920597"/>
    <hyperlink ref="B926" r:id="rId924" display="https://my.zakupki.prom.ua/remote/dispatcher/state_purchase_view/18902697"/>
    <hyperlink ref="B927" r:id="rId925" display="https://my.zakupki.prom.ua/remote/dispatcher/state_purchase_view/17259405"/>
    <hyperlink ref="B928" r:id="rId926" display="https://my.zakupki.prom.ua/remote/dispatcher/state_purchase_view/32612420"/>
    <hyperlink ref="B929" r:id="rId927" display="https://my.zakupki.prom.ua/remote/dispatcher/state_purchase_view/31150770"/>
    <hyperlink ref="B930" r:id="rId928" display="https://my.zakupki.prom.ua/remote/dispatcher/state_purchase_view/27275373"/>
    <hyperlink ref="B931" r:id="rId929" display="https://my.zakupki.prom.ua/remote/dispatcher/state_purchase_view/27259252"/>
    <hyperlink ref="B932" r:id="rId930" display="https://my.zakupki.prom.ua/remote/dispatcher/state_purchase_view/25219676"/>
    <hyperlink ref="B933" r:id="rId931" display="https://my.zakupki.prom.ua/remote/dispatcher/state_purchase_view/26946873"/>
    <hyperlink ref="B934" r:id="rId932" display="https://my.zakupki.prom.ua/remote/dispatcher/state_purchase_view/26039489"/>
    <hyperlink ref="B935" r:id="rId933" display="https://my.zakupki.prom.ua/remote/dispatcher/state_purchase_view/26239185"/>
    <hyperlink ref="B936" r:id="rId934" display="https://my.zakupki.prom.ua/remote/dispatcher/state_purchase_view/30366547"/>
    <hyperlink ref="B937" r:id="rId935" display="https://my.zakupki.prom.ua/remote/dispatcher/state_purchase_view/27911132"/>
    <hyperlink ref="B938" r:id="rId936" display="https://my.zakupki.prom.ua/remote/dispatcher/state_purchase_view/28608404"/>
    <hyperlink ref="B939" r:id="rId937" display="https://my.zakupki.prom.ua/remote/dispatcher/state_purchase_view/30705871"/>
    <hyperlink ref="B940" r:id="rId938" display="https://my.zakupki.prom.ua/remote/dispatcher/state_purchase_view/28144164"/>
    <hyperlink ref="B941" r:id="rId939" display="https://my.zakupki.prom.ua/remote/dispatcher/state_purchase_view/31621983"/>
    <hyperlink ref="B942" r:id="rId940" display="https://my.zakupki.prom.ua/remote/dispatcher/state_purchase_view/23113220"/>
    <hyperlink ref="B943" r:id="rId941" display="https://my.zakupki.prom.ua/remote/dispatcher/state_purchase_view/33952319"/>
    <hyperlink ref="B944" r:id="rId942" display="https://my.zakupki.prom.ua/remote/dispatcher/state_purchase_view/12549047"/>
    <hyperlink ref="B945" r:id="rId943" display="https://my.zakupki.prom.ua/remote/dispatcher/state_purchase_view/11169332"/>
    <hyperlink ref="B946" r:id="rId944" display="https://my.zakupki.prom.ua/remote/dispatcher/state_purchase_view/11127974"/>
    <hyperlink ref="B947" r:id="rId945" display="https://my.zakupki.prom.ua/remote/dispatcher/state_purchase_view/12255106"/>
    <hyperlink ref="B948" r:id="rId946" display="https://my.zakupki.prom.ua/remote/dispatcher/state_purchase_view/13042758"/>
    <hyperlink ref="B949" r:id="rId947" display="https://my.zakupki.prom.ua/remote/dispatcher/state_purchase_view/15093344"/>
    <hyperlink ref="B950" r:id="rId948" display="https://my.zakupki.prom.ua/remote/dispatcher/state_purchase_view/15927911"/>
    <hyperlink ref="B951" r:id="rId949" display="https://my.zakupki.prom.ua/remote/dispatcher/state_purchase_view/20210835"/>
    <hyperlink ref="B952" r:id="rId950" display="https://my.zakupki.prom.ua/remote/dispatcher/state_purchase_view/17598848"/>
    <hyperlink ref="B953" r:id="rId951" display="https://my.zakupki.prom.ua/remote/dispatcher/state_purchase_view/20460619"/>
    <hyperlink ref="B954" r:id="rId952" display="https://my.zakupki.prom.ua/remote/dispatcher/state_purchase_view/19474832"/>
    <hyperlink ref="B955" r:id="rId953" display="https://my.zakupki.prom.ua/remote/dispatcher/state_purchase_view/20967233"/>
    <hyperlink ref="B956" r:id="rId954" display="https://my.zakupki.prom.ua/remote/dispatcher/state_purchase_view/23434973"/>
    <hyperlink ref="B957" r:id="rId955" display="https://my.zakupki.prom.ua/remote/dispatcher/state_purchase_view/21671249"/>
    <hyperlink ref="B958" r:id="rId956" display="https://my.zakupki.prom.ua/remote/dispatcher/state_purchase_view/22706833"/>
    <hyperlink ref="B959" r:id="rId957" display="https://my.zakupki.prom.ua/remote/dispatcher/state_purchase_view/24289303"/>
    <hyperlink ref="B960" r:id="rId958" display="https://my.zakupki.prom.ua/remote/dispatcher/state_purchase_view/24522787"/>
    <hyperlink ref="B961" r:id="rId959" display="https://my.zakupki.prom.ua/remote/dispatcher/state_purchase_view/24689725"/>
    <hyperlink ref="B962" r:id="rId960" display="https://my.zakupki.prom.ua/remote/dispatcher/state_purchase_view/26402708"/>
    <hyperlink ref="B963" r:id="rId961" display="https://my.zakupki.prom.ua/remote/dispatcher/state_purchase_view/26487977"/>
    <hyperlink ref="B964" r:id="rId962" display="https://my.zakupki.prom.ua/remote/dispatcher/state_purchase_view/25403839"/>
    <hyperlink ref="B965" r:id="rId963" display="https://my.zakupki.prom.ua/remote/dispatcher/state_purchase_view/26846043"/>
    <hyperlink ref="B966" r:id="rId964" display="https://my.zakupki.prom.ua/remote/dispatcher/state_purchase_view/29372399"/>
    <hyperlink ref="B967" r:id="rId965" display="https://my.zakupki.prom.ua/remote/dispatcher/state_purchase_view/29286196"/>
    <hyperlink ref="B968" r:id="rId966" display="https://my.zakupki.prom.ua/remote/dispatcher/state_purchase_view/30913037"/>
    <hyperlink ref="B969" r:id="rId967" display="https://my.zakupki.prom.ua/remote/dispatcher/state_purchase_view/14526532"/>
    <hyperlink ref="B970" r:id="rId968" display="https://my.zakupki.prom.ua/remote/dispatcher/state_purchase_view/29245688"/>
    <hyperlink ref="B971" r:id="rId969" display="https://my.zakupki.prom.ua/remote/dispatcher/state_purchase_view/33034124"/>
    <hyperlink ref="B972" r:id="rId970" display="https://my.zakupki.prom.ua/remote/dispatcher/state_purchase_view/32001469"/>
    <hyperlink ref="B973" r:id="rId971" display="https://my.zakupki.prom.ua/remote/dispatcher/state_purchase_view/32153205"/>
    <hyperlink ref="B974" r:id="rId972" display="https://my.zakupki.prom.ua/remote/dispatcher/state_purchase_view/22767534"/>
    <hyperlink ref="B975" r:id="rId973" display="https://my.zakupki.prom.ua/remote/dispatcher/state_purchase_view/15300355"/>
    <hyperlink ref="B976" r:id="rId974" display="https://my.zakupki.prom.ua/remote/dispatcher/state_purchase_view/11812206"/>
    <hyperlink ref="B977" r:id="rId975" display="https://my.zakupki.prom.ua/remote/dispatcher/state_purchase_view/15714882"/>
    <hyperlink ref="B978" r:id="rId976" display="https://my.zakupki.prom.ua/remote/dispatcher/state_purchase_view/16737766"/>
    <hyperlink ref="B979" r:id="rId977" display="https://my.zakupki.prom.ua/remote/dispatcher/state_purchase_view/14496874"/>
    <hyperlink ref="B980" r:id="rId978" display="https://my.zakupki.prom.ua/remote/dispatcher/state_purchase_view/14996756"/>
    <hyperlink ref="B981" r:id="rId979" display="https://my.zakupki.prom.ua/remote/dispatcher/state_purchase_view/15928142"/>
    <hyperlink ref="B982" r:id="rId980" display="https://my.zakupki.prom.ua/remote/dispatcher/state_purchase_view/15974714"/>
    <hyperlink ref="B983" r:id="rId981" display="https://my.zakupki.prom.ua/remote/dispatcher/state_purchase_view/18270553"/>
    <hyperlink ref="B984" r:id="rId982" display="https://my.zakupki.prom.ua/remote/dispatcher/state_purchase_view/17819970"/>
    <hyperlink ref="B985" r:id="rId983" display="https://my.zakupki.prom.ua/remote/dispatcher/state_purchase_view/17332858"/>
    <hyperlink ref="B986" r:id="rId984" display="https://my.zakupki.prom.ua/remote/dispatcher/state_purchase_view/23998588"/>
    <hyperlink ref="B987" r:id="rId985" display="https://my.zakupki.prom.ua/remote/dispatcher/state_purchase_view/22492234"/>
    <hyperlink ref="B988" r:id="rId986" display="https://my.zakupki.prom.ua/remote/dispatcher/state_purchase_view/23750379"/>
    <hyperlink ref="B989" r:id="rId987" display="https://my.zakupki.prom.ua/remote/dispatcher/state_purchase_view/18583034"/>
    <hyperlink ref="B990" r:id="rId988" display="https://my.zakupki.prom.ua/remote/dispatcher/state_purchase_view/16261779"/>
    <hyperlink ref="B991" r:id="rId989" display="https://my.zakupki.prom.ua/remote/dispatcher/state_purchase_view/22571219"/>
    <hyperlink ref="B992" r:id="rId990" display="https://my.zakupki.prom.ua/remote/dispatcher/state_purchase_view/27480079"/>
    <hyperlink ref="B993" r:id="rId991" display="https://my.zakupki.prom.ua/remote/dispatcher/state_purchase_view/27868158"/>
    <hyperlink ref="B994" r:id="rId992" display="https://my.zakupki.prom.ua/remote/dispatcher/state_purchase_view/32210722"/>
    <hyperlink ref="B995" r:id="rId993" display="https://my.zakupki.prom.ua/remote/dispatcher/state_purchase_view/24783335"/>
    <hyperlink ref="B996" r:id="rId994" display="https://my.zakupki.prom.ua/remote/dispatcher/state_purchase_view/21227466"/>
    <hyperlink ref="B997" r:id="rId995" display="https://my.zakupki.prom.ua/remote/dispatcher/state_purchase_view/27770638"/>
    <hyperlink ref="B998" r:id="rId996" display="https://my.zakupki.prom.ua/remote/dispatcher/state_purchase_view/30143106"/>
    <hyperlink ref="B999" r:id="rId997" display="https://my.zakupki.prom.ua/remote/dispatcher/state_purchase_view/14076450"/>
    <hyperlink ref="B1000" r:id="rId998" display="https://my.zakupki.prom.ua/remote/dispatcher/state_purchase_view/15134662"/>
    <hyperlink ref="B1001" r:id="rId999" display="https://my.zakupki.prom.ua/remote/dispatcher/state_purchase_view/18456065"/>
    <hyperlink ref="B1002" r:id="rId1000" display="https://my.zakupki.prom.ua/remote/dispatcher/state_purchase_view/19656341"/>
    <hyperlink ref="B1003" r:id="rId1001" display="https://my.zakupki.prom.ua/remote/dispatcher/state_purchase_view/18728236"/>
    <hyperlink ref="B1004" r:id="rId1002" display="https://my.zakupki.prom.ua/remote/dispatcher/state_purchase_view/18726991"/>
    <hyperlink ref="B1005" r:id="rId1003" display="https://my.zakupki.prom.ua/remote/dispatcher/state_purchase_view/17819092"/>
    <hyperlink ref="B1006" r:id="rId1004" display="https://my.zakupki.prom.ua/remote/dispatcher/state_purchase_view/18131259"/>
    <hyperlink ref="B1007" r:id="rId1005" display="https://my.zakupki.prom.ua/remote/dispatcher/state_purchase_view/18458594"/>
    <hyperlink ref="B1008" r:id="rId1006" display="https://my.zakupki.prom.ua/remote/dispatcher/state_purchase_view/25369000"/>
    <hyperlink ref="B1009" r:id="rId1007" display="https://my.zakupki.prom.ua/remote/dispatcher/state_purchase_view/24690286"/>
    <hyperlink ref="B1010" r:id="rId1008" display="https://my.zakupki.prom.ua/remote/dispatcher/state_purchase_view/26304537"/>
    <hyperlink ref="B1011" r:id="rId1009" display="https://my.zakupki.prom.ua/remote/dispatcher/state_purchase_view/29782473"/>
    <hyperlink ref="B1012" r:id="rId1010" display="https://my.zakupki.prom.ua/remote/dispatcher/state_purchase_view/29212463"/>
    <hyperlink ref="B1013" r:id="rId1011" display="https://my.zakupki.prom.ua/remote/dispatcher/state_purchase_view/33938499"/>
    <hyperlink ref="B1014" r:id="rId1012" display="https://my.zakupki.prom.ua/remote/dispatcher/state_purchase_view/26254639"/>
    <hyperlink ref="B1015" r:id="rId1013" display="https://my.zakupki.prom.ua/remote/dispatcher/state_purchase_view/25677344"/>
    <hyperlink ref="B1016" r:id="rId1014" display="https://my.zakupki.prom.ua/remote/dispatcher/state_purchase_view/30378281"/>
    <hyperlink ref="B1017" r:id="rId1015" display="https://my.zakupki.prom.ua/remote/dispatcher/state_purchase_view/30894991"/>
    <hyperlink ref="B1018" r:id="rId1016" display="https://my.zakupki.prom.ua/remote/dispatcher/state_purchase_view/31368941"/>
    <hyperlink ref="B1019" r:id="rId1017" display="https://my.zakupki.prom.ua/remote/dispatcher/state_purchase_view/31379277"/>
    <hyperlink ref="B1020" r:id="rId1018" display="https://my.zakupki.prom.ua/remote/dispatcher/state_purchase_view/33445238"/>
    <hyperlink ref="B1021" r:id="rId1019" display="https://my.zakupki.prom.ua/remote/dispatcher/state_purchase_view/31883390"/>
    <hyperlink ref="B1022" r:id="rId1020" display="https://my.zakupki.prom.ua/remote/dispatcher/state_purchase_view/25465162"/>
    <hyperlink ref="B1023" r:id="rId1021" display="https://my.zakupki.prom.ua/remote/dispatcher/state_purchase_view/25886804"/>
    <hyperlink ref="B1024" r:id="rId1022" display="https://my.zakupki.prom.ua/remote/dispatcher/state_purchase_view/28657667"/>
    <hyperlink ref="B1025" r:id="rId1023" display="https://my.zakupki.prom.ua/remote/dispatcher/state_purchase_view/28633304"/>
    <hyperlink ref="B1026" r:id="rId1024" display="https://my.zakupki.prom.ua/remote/dispatcher/state_purchase_view/27691845"/>
    <hyperlink ref="B1027" r:id="rId1025" display="https://my.zakupki.prom.ua/remote/dispatcher/state_purchase_view/32850543"/>
    <hyperlink ref="B1028" r:id="rId1026" display="https://my.zakupki.prom.ua/remote/dispatcher/state_purchase_view/32738332"/>
    <hyperlink ref="B1029" r:id="rId1027" display="https://my.zakupki.prom.ua/remote/dispatcher/state_purchase_view/32161270"/>
    <hyperlink ref="B1030" r:id="rId1028" display="https://my.zakupki.prom.ua/remote/dispatcher/state_purchase_view/29829390"/>
    <hyperlink ref="B1031" r:id="rId1029" display="https://my.zakupki.prom.ua/remote/dispatcher/state_purchase_view/27826860"/>
    <hyperlink ref="B1032" r:id="rId1030" display="https://my.zakupki.prom.ua/remote/dispatcher/state_purchase_view/30986471"/>
    <hyperlink ref="B1033" r:id="rId1031" display="https://my.zakupki.prom.ua/remote/dispatcher/state_purchase_view/31716783"/>
    <hyperlink ref="B1034" r:id="rId1032" display="https://my.zakupki.prom.ua/remote/dispatcher/state_purchase_view/32043993"/>
    <hyperlink ref="B1035" r:id="rId1033" display="https://my.zakupki.prom.ua/remote/dispatcher/state_purchase_view/30722018"/>
    <hyperlink ref="B1036" r:id="rId1034" display="https://my.zakupki.prom.ua/remote/dispatcher/state_purchase_view/28356574"/>
    <hyperlink ref="B1037" r:id="rId1035" display="https://my.zakupki.prom.ua/remote/dispatcher/state_purchase_view/23115113"/>
    <hyperlink ref="B1038" r:id="rId1036" display="https://my.zakupki.prom.ua/remote/dispatcher/state_purchase_view/30210682"/>
    <hyperlink ref="B1039" r:id="rId1037" display="https://my.zakupki.prom.ua/remote/dispatcher/state_purchase_view/23778178"/>
    <hyperlink ref="B1040" r:id="rId1038" display="https://my.zakupki.prom.ua/remote/dispatcher/state_purchase_view/33042387"/>
    <hyperlink ref="B1041" r:id="rId1039" display="https://my.zakupki.prom.ua/remote/dispatcher/state_purchase_view/18721335"/>
    <hyperlink ref="B1042" r:id="rId1040" display="https://my.zakupki.prom.ua/remote/dispatcher/state_purchase_view/9076705"/>
    <hyperlink ref="B1043" r:id="rId1041" display="https://my.zakupki.prom.ua/remote/dispatcher/state_purchase_view/11945937"/>
    <hyperlink ref="B1044" r:id="rId1042" display="https://my.zakupki.prom.ua/remote/dispatcher/state_purchase_view/12434175"/>
    <hyperlink ref="B1045" r:id="rId1043" display="https://my.zakupki.prom.ua/remote/dispatcher/state_purchase_view/12623235"/>
    <hyperlink ref="B1046" r:id="rId1044" display="https://my.zakupki.prom.ua/remote/dispatcher/state_purchase_view/13356881"/>
    <hyperlink ref="B1047" r:id="rId1045" display="https://my.zakupki.prom.ua/remote/dispatcher/state_purchase_view/10588902"/>
    <hyperlink ref="B1048" r:id="rId1046" display="https://my.zakupki.prom.ua/remote/dispatcher/state_purchase_view/13191362"/>
    <hyperlink ref="B1049" r:id="rId1047" display="https://my.zakupki.prom.ua/remote/dispatcher/state_purchase_view/12168814"/>
    <hyperlink ref="B1050" r:id="rId1048" display="https://my.zakupki.prom.ua/remote/dispatcher/state_purchase_view/12973292"/>
    <hyperlink ref="B1051" r:id="rId1049" display="https://my.zakupki.prom.ua/remote/dispatcher/state_purchase_view/19093934"/>
    <hyperlink ref="B1052" r:id="rId1050" display="https://my.zakupki.prom.ua/remote/dispatcher/state_purchase_view/17362071"/>
    <hyperlink ref="B1053" r:id="rId1051" display="https://my.zakupki.prom.ua/remote/dispatcher/state_purchase_view/19103614"/>
    <hyperlink ref="B1054" r:id="rId1052" display="https://my.zakupki.prom.ua/remote/dispatcher/state_purchase_view/15758237"/>
    <hyperlink ref="B1055" r:id="rId1053" display="https://my.zakupki.prom.ua/remote/dispatcher/state_purchase_view/15806879"/>
    <hyperlink ref="B1056" r:id="rId1054" display="https://my.zakupki.prom.ua/remote/dispatcher/state_purchase_view/15775892"/>
    <hyperlink ref="B1057" r:id="rId1055" display="https://my.zakupki.prom.ua/remote/dispatcher/state_purchase_view/24239363"/>
    <hyperlink ref="B1058" r:id="rId1056" display="https://my.zakupki.prom.ua/remote/dispatcher/state_purchase_view/24235621"/>
    <hyperlink ref="B1059" r:id="rId1057" display="https://my.zakupki.prom.ua/remote/dispatcher/state_purchase_view/22899687"/>
    <hyperlink ref="B1060" r:id="rId1058" display="https://my.zakupki.prom.ua/remote/dispatcher/state_purchase_view/23820305"/>
    <hyperlink ref="B1061" r:id="rId1059" display="https://my.zakupki.prom.ua/remote/dispatcher/state_purchase_view/29282018"/>
    <hyperlink ref="B1062" r:id="rId1060" display="https://my.zakupki.prom.ua/remote/dispatcher/state_purchase_view/28377885"/>
    <hyperlink ref="B1063" r:id="rId1061" display="https://my.zakupki.prom.ua/remote/dispatcher/state_purchase_view/29088144"/>
    <hyperlink ref="B1064" r:id="rId1062" display="https://my.zakupki.prom.ua/remote/dispatcher/state_purchase_view/25511538"/>
    <hyperlink ref="B1065" r:id="rId1063" display="https://my.zakupki.prom.ua/remote/dispatcher/state_purchase_view/25960946"/>
    <hyperlink ref="B1066" r:id="rId1064" display="https://my.zakupki.prom.ua/remote/dispatcher/state_purchase_view/31286105"/>
    <hyperlink ref="B1067" r:id="rId1065" display="https://my.zakupki.prom.ua/remote/dispatcher/state_purchase_view/31383848"/>
    <hyperlink ref="B1068" r:id="rId1066" display="https://my.zakupki.prom.ua/remote/dispatcher/state_purchase_view/31619031"/>
    <hyperlink ref="B1069" r:id="rId1067" display="https://my.zakupki.prom.ua/remote/dispatcher/state_purchase_view/31942984"/>
    <hyperlink ref="B1070" r:id="rId1068" display="https://my.zakupki.prom.ua/remote/dispatcher/state_purchase_view/32319993"/>
    <hyperlink ref="B1071" r:id="rId1069" display="https://my.zakupki.prom.ua/remote/dispatcher/state_purchase_view/22465766"/>
    <hyperlink ref="B1072" r:id="rId1070" display="https://my.zakupki.prom.ua/remote/dispatcher/state_purchase_view/33833167"/>
    <hyperlink ref="B1073" r:id="rId1071" display="https://my.zakupki.prom.ua/remote/dispatcher/state_purchase_view/33939029"/>
    <hyperlink ref="B1074" r:id="rId1072" display="https://my.zakupki.prom.ua/remote/dispatcher/state_purchase_view/31619029"/>
    <hyperlink ref="B1075" r:id="rId1073" display="https://my.zakupki.prom.ua/remote/dispatcher/state_purchase_view/30994713"/>
    <hyperlink ref="B1076" r:id="rId1074" display="https://my.zakupki.prom.ua/remote/dispatcher/state_purchase_view/30941894"/>
    <hyperlink ref="B1077" r:id="rId1075" display="https://my.zakupki.prom.ua/remote/dispatcher/state_purchase_view/24290690"/>
    <hyperlink ref="B1078" r:id="rId1076" display="https://my.zakupki.prom.ua/remote/dispatcher/state_purchase_view/24291093"/>
    <hyperlink ref="B1079" r:id="rId1077" display="https://my.zakupki.prom.ua/remote/dispatcher/state_purchase_view/23442824"/>
    <hyperlink ref="B1080" r:id="rId1078" display="https://my.zakupki.prom.ua/remote/dispatcher/state_purchase_view/23045136"/>
    <hyperlink ref="B1081" r:id="rId1079" display="https://my.zakupki.prom.ua/remote/dispatcher/state_purchase_view/21565348"/>
    <hyperlink ref="B1082" r:id="rId1080" display="https://my.zakupki.prom.ua/remote/dispatcher/state_purchase_view/24072784"/>
    <hyperlink ref="B1083" r:id="rId1081" display="https://my.zakupki.prom.ua/remote/dispatcher/state_purchase_view/25186378"/>
    <hyperlink ref="B1084" r:id="rId1082" display="https://my.zakupki.prom.ua/remote/dispatcher/state_purchase_view/25335086"/>
    <hyperlink ref="B1085" r:id="rId1083" display="https://my.zakupki.prom.ua/remote/dispatcher/state_purchase_view/26771585"/>
    <hyperlink ref="B1086" r:id="rId1084" display="https://my.zakupki.prom.ua/remote/dispatcher/state_purchase_view/26947199"/>
    <hyperlink ref="B1087" r:id="rId1085" display="https://my.zakupki.prom.ua/remote/dispatcher/state_purchase_view/26843804"/>
    <hyperlink ref="B1088" r:id="rId1086" display="https://my.zakupki.prom.ua/remote/dispatcher/state_purchase_view/24555156"/>
    <hyperlink ref="B1089" r:id="rId1087" display="https://my.zakupki.prom.ua/remote/dispatcher/state_purchase_view/26949705"/>
    <hyperlink ref="B1090" r:id="rId1088" display="https://my.zakupki.prom.ua/remote/dispatcher/state_purchase_view/33827166"/>
    <hyperlink ref="B1091" r:id="rId1089" display="https://my.zakupki.prom.ua/remote/dispatcher/state_purchase_view/27809293"/>
    <hyperlink ref="B1092" r:id="rId1090" display="https://my.zakupki.prom.ua/remote/dispatcher/state_purchase_view/29907216"/>
    <hyperlink ref="B1093" r:id="rId1091" display="https://my.zakupki.prom.ua/remote/dispatcher/state_purchase_view/31381237"/>
    <hyperlink ref="B1094" r:id="rId1092" display="https://my.zakupki.prom.ua/remote/dispatcher/state_purchase_view/29240049"/>
    <hyperlink ref="B1095" r:id="rId1093" display="https://my.zakupki.prom.ua/remote/dispatcher/state_purchase_view/33950051"/>
    <hyperlink ref="B1096" r:id="rId1094" display="https://my.zakupki.prom.ua/remote/dispatcher/state_purchase_view/21869033"/>
    <hyperlink ref="B1097" r:id="rId1095" display="https://my.zakupki.prom.ua/remote/dispatcher/state_purchase_view/33009406"/>
    <hyperlink ref="B1098" r:id="rId1096" display="https://my.zakupki.prom.ua/remote/dispatcher/state_purchase_view/33949538"/>
    <hyperlink ref="B1099" r:id="rId1097" display="https://my.zakupki.prom.ua/remote/dispatcher/state_purchase_view/20875366"/>
    <hyperlink ref="B1100" r:id="rId1098" display="https://my.zakupki.prom.ua/remote/dispatcher/state_purchase_view/23046391"/>
    <hyperlink ref="B1101" r:id="rId1099" display="https://my.zakupki.prom.ua/remote/dispatcher/state_purchase_view/21081882"/>
    <hyperlink ref="B1102" r:id="rId1100" display="https://my.zakupki.prom.ua/remote/dispatcher/state_purchase_view/28381544"/>
    <hyperlink ref="B1103" r:id="rId1101" display="https://my.zakupki.prom.ua/remote/dispatcher/state_purchase_view/25475806"/>
    <hyperlink ref="B1104" r:id="rId1102" display="https://my.zakupki.prom.ua/remote/dispatcher/state_purchase_view/23537603"/>
    <hyperlink ref="B1105" r:id="rId1103" display="https://my.zakupki.prom.ua/remote/dispatcher/state_purchase_view/23497581"/>
    <hyperlink ref="B1106" r:id="rId1104" display="https://my.zakupki.prom.ua/remote/dispatcher/state_purchase_view/23508812"/>
    <hyperlink ref="B1107" r:id="rId1105" display="https://my.zakupki.prom.ua/remote/dispatcher/state_purchase_view/24255686"/>
    <hyperlink ref="B1108" r:id="rId1106" display="https://my.zakupki.prom.ua/remote/dispatcher/state_purchase_view/24116237"/>
    <hyperlink ref="B1109" r:id="rId1107" display="https://my.zakupki.prom.ua/remote/dispatcher/state_purchase_view/26673300"/>
    <hyperlink ref="B1110" r:id="rId1108" display="https://my.zakupki.prom.ua/remote/dispatcher/state_purchase_view/24876457"/>
    <hyperlink ref="B1111" r:id="rId1109" display="https://my.zakupki.prom.ua/remote/dispatcher/state_purchase_view/30123101"/>
    <hyperlink ref="B1112" r:id="rId1110" display="https://my.zakupki.prom.ua/remote/dispatcher/state_purchase_view/16717990"/>
    <hyperlink ref="B1113" r:id="rId1111" display="https://my.zakupki.prom.ua/remote/dispatcher/state_purchase_view/33923931"/>
    <hyperlink ref="B1114" r:id="rId1112" display="https://my.zakupki.prom.ua/remote/dispatcher/state_purchase_view/24784916"/>
    <hyperlink ref="B1115" r:id="rId1113" display="https://my.zakupki.prom.ua/remote/dispatcher/state_purchase_view/32412463"/>
    <hyperlink ref="B1116" r:id="rId1114" display="https://my.zakupki.prom.ua/remote/dispatcher/state_purchase_view/32602476"/>
    <hyperlink ref="B1117" r:id="rId1115" display="https://my.zakupki.prom.ua/remote/dispatcher/state_purchase_view/29906662"/>
    <hyperlink ref="B1118" r:id="rId1116" display="https://my.zakupki.prom.ua/remote/dispatcher/state_purchase_view/27070655"/>
    <hyperlink ref="B1119" r:id="rId1117" display="https://my.zakupki.prom.ua/remote/dispatcher/state_purchase_view/26805404"/>
    <hyperlink ref="B1120" r:id="rId1118" display="https://my.zakupki.prom.ua/remote/dispatcher/state_purchase_view/32747106"/>
    <hyperlink ref="B1121" r:id="rId1119" display="https://my.zakupki.prom.ua/remote/dispatcher/state_purchase_view/33448309"/>
    <hyperlink ref="B1122" r:id="rId1120" display="https://my.zakupki.prom.ua/remote/dispatcher/state_purchase_view/33273997"/>
    <hyperlink ref="B1123" r:id="rId1121" display="https://my.zakupki.prom.ua/remote/dispatcher/state_purchase_view/18991029"/>
    <hyperlink ref="B1124" r:id="rId1122" display="https://my.zakupki.prom.ua/remote/dispatcher/state_purchase_view/19284421"/>
    <hyperlink ref="B1125" r:id="rId1123" display="https://my.zakupki.prom.ua/remote/dispatcher/state_purchase_view/18561834"/>
    <hyperlink ref="B1126" r:id="rId1124" display="https://my.zakupki.prom.ua/remote/dispatcher/state_purchase_view/19854632"/>
    <hyperlink ref="B1127" r:id="rId1125" display="https://my.zakupki.prom.ua/remote/dispatcher/state_purchase_view/28039098"/>
    <hyperlink ref="B1128" r:id="rId1126" display="https://my.zakupki.prom.ua/remote/dispatcher/state_purchase_view/27483501"/>
    <hyperlink ref="B1129" r:id="rId1127" display="https://my.zakupki.prom.ua/remote/dispatcher/state_purchase_view/28961780"/>
    <hyperlink ref="B1130" r:id="rId1128" display="https://my.zakupki.prom.ua/remote/dispatcher/state_purchase_view/33951143"/>
    <hyperlink ref="B1131" r:id="rId1129" display="https://my.zakupki.prom.ua/remote/dispatcher/state_purchase_view/31532402"/>
    <hyperlink ref="B1132" r:id="rId1130" display="https://my.zakupki.prom.ua/remote/dispatcher/state_purchase_view/24784230"/>
    <hyperlink ref="B1133" r:id="rId1131" display="https://my.zakupki.prom.ua/remote/dispatcher/state_purchase_view/29241468"/>
    <hyperlink ref="B1134" r:id="rId1132" display="https://my.zakupki.prom.ua/remote/dispatcher/state_purchase_view/20626547"/>
    <hyperlink ref="B1135" r:id="rId1133" display="https://my.zakupki.prom.ua/remote/dispatcher/state_purchase_view/18298863"/>
    <hyperlink ref="B1136" r:id="rId1134" display="https://my.zakupki.prom.ua/remote/dispatcher/state_purchase_view/18232844"/>
    <hyperlink ref="B1137" r:id="rId1135" display="https://my.zakupki.prom.ua/remote/dispatcher/state_purchase_view/18238171"/>
    <hyperlink ref="B1138" r:id="rId1136" display="https://my.zakupki.prom.ua/remote/dispatcher/state_purchase_view/19799556"/>
    <hyperlink ref="B1139" r:id="rId1137" display="https://my.zakupki.prom.ua/remote/dispatcher/state_purchase_view/21132746"/>
    <hyperlink ref="B1140" r:id="rId1138" display="https://my.zakupki.prom.ua/remote/dispatcher/state_purchase_view/18942551"/>
    <hyperlink ref="B1141" r:id="rId1139" display="https://my.zakupki.prom.ua/remote/dispatcher/state_purchase_view/18493946"/>
    <hyperlink ref="B1142" r:id="rId1140" display="https://my.zakupki.prom.ua/remote/dispatcher/state_purchase_view/23524686"/>
    <hyperlink ref="B1143" r:id="rId1141" display="https://my.zakupki.prom.ua/remote/dispatcher/state_purchase_view/21338595"/>
    <hyperlink ref="B1144" r:id="rId1142" display="https://my.zakupki.prom.ua/remote/dispatcher/state_purchase_view/26039457"/>
    <hyperlink ref="B1145" r:id="rId1143" display="https://my.zakupki.prom.ua/remote/dispatcher/state_purchase_view/25166331"/>
    <hyperlink ref="B1146" r:id="rId1144" display="https://my.zakupki.prom.ua/remote/dispatcher/state_purchase_view/26402140"/>
    <hyperlink ref="B1147" r:id="rId1145" display="https://my.zakupki.prom.ua/remote/dispatcher/state_purchase_view/24931182"/>
    <hyperlink ref="B1148" r:id="rId1146" display="https://my.zakupki.prom.ua/remote/dispatcher/state_purchase_view/24650151"/>
    <hyperlink ref="B1149" r:id="rId1147" display="https://my.zakupki.prom.ua/remote/dispatcher/state_purchase_view/27992801"/>
    <hyperlink ref="B1150" r:id="rId1148" display="https://my.zakupki.prom.ua/remote/dispatcher/state_purchase_view/27994521"/>
    <hyperlink ref="B1151" r:id="rId1149" display="https://my.zakupki.prom.ua/remote/dispatcher/state_purchase_view/29775254"/>
    <hyperlink ref="B1152" r:id="rId1150" display="https://my.zakupki.prom.ua/remote/dispatcher/state_purchase_view/29824872"/>
    <hyperlink ref="B1153" r:id="rId1151" display="https://my.zakupki.prom.ua/remote/dispatcher/state_purchase_view/28620037"/>
    <hyperlink ref="B1154" r:id="rId1152" display="https://my.zakupki.prom.ua/remote/dispatcher/state_purchase_view/28320625"/>
    <hyperlink ref="B1155" r:id="rId1153" display="https://my.zakupki.prom.ua/remote/dispatcher/state_purchase_view/29203688"/>
    <hyperlink ref="B1156" r:id="rId1154" display="https://my.zakupki.prom.ua/remote/dispatcher/state_purchase_view/31315076"/>
    <hyperlink ref="B1157" r:id="rId1155" display="https://my.zakupki.prom.ua/remote/dispatcher/state_purchase_view/32852018"/>
    <hyperlink ref="B1158" r:id="rId1156" display="https://my.zakupki.prom.ua/remote/dispatcher/state_purchase_view/32871258"/>
    <hyperlink ref="B1159" r:id="rId1157" display="https://my.zakupki.prom.ua/remote/dispatcher/state_purchase_view/32400796"/>
    <hyperlink ref="B1160" r:id="rId1158" display="https://my.zakupki.prom.ua/remote/dispatcher/state_purchase_view/32328638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2022-01-18T15:08:34Z</dcterms:created>
  <dcterms:modified xsi:type="dcterms:W3CDTF">2022-01-19T08:54:51Z</dcterms:modified>
  <cp:category/>
</cp:coreProperties>
</file>