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ідкриті дані\Прозорро\"/>
    </mc:Choice>
  </mc:AlternateContent>
  <bookViews>
    <workbookView xWindow="0" yWindow="0" windowWidth="28800" windowHeight="12330"/>
  </bookViews>
  <sheets>
    <sheet name="Sheet" sheetId="1" r:id="rId1"/>
  </sheets>
  <definedNames>
    <definedName name="_xlnm._FilterDatabase" localSheetId="0" hidden="1">Sheet!$A$5:$AD$809</definedName>
  </definedNames>
  <calcPr calcId="162913"/>
</workbook>
</file>

<file path=xl/calcChain.xml><?xml version="1.0" encoding="utf-8"?>
<calcChain xmlns="http://schemas.openxmlformats.org/spreadsheetml/2006/main">
  <c r="Q15" i="1" l="1"/>
  <c r="Q16" i="1"/>
  <c r="Q17" i="1"/>
  <c r="Q19" i="1"/>
  <c r="Q27" i="1"/>
  <c r="Q28" i="1"/>
  <c r="Q32" i="1"/>
  <c r="Q34" i="1"/>
  <c r="Q41" i="1"/>
  <c r="Q42" i="1"/>
  <c r="Q43" i="1"/>
  <c r="Q44" i="1"/>
  <c r="Q46" i="1"/>
  <c r="Q47" i="1"/>
  <c r="Q50" i="1"/>
  <c r="Q51" i="1"/>
  <c r="Q52" i="1"/>
  <c r="Q53" i="1"/>
  <c r="Q55" i="1"/>
  <c r="Q56" i="1"/>
  <c r="Q62" i="1"/>
  <c r="Q63" i="1"/>
  <c r="Q64" i="1"/>
  <c r="Q66" i="1"/>
  <c r="Q67" i="1"/>
  <c r="Q68" i="1"/>
  <c r="Q69" i="1"/>
  <c r="Q70" i="1"/>
  <c r="Q72" i="1"/>
  <c r="Q78" i="1"/>
  <c r="Q79" i="1"/>
  <c r="Q82" i="1"/>
  <c r="Q83" i="1"/>
  <c r="Q84" i="1"/>
  <c r="Q85" i="1"/>
  <c r="Q90" i="1"/>
  <c r="Q91" i="1"/>
  <c r="Q93" i="1"/>
  <c r="Q94" i="1"/>
  <c r="Q98" i="1"/>
  <c r="Q100" i="1"/>
  <c r="Q102" i="1"/>
  <c r="Q103" i="1"/>
  <c r="Q104" i="1"/>
  <c r="Q107" i="1"/>
  <c r="Q110" i="1"/>
  <c r="Q111" i="1"/>
  <c r="Q113" i="1"/>
  <c r="Q115" i="1"/>
  <c r="Q116" i="1"/>
  <c r="Q117" i="1"/>
  <c r="Q119" i="1"/>
  <c r="Q120" i="1"/>
  <c r="Q121" i="1"/>
  <c r="Q123" i="1"/>
  <c r="Q128" i="1"/>
  <c r="Q129" i="1"/>
  <c r="Q130" i="1"/>
  <c r="Q131" i="1"/>
  <c r="Q132" i="1"/>
  <c r="Q136" i="1"/>
  <c r="Q138" i="1"/>
  <c r="Q141" i="1"/>
  <c r="Q142" i="1"/>
  <c r="Q154" i="1"/>
  <c r="Q161" i="1"/>
  <c r="Q162" i="1"/>
  <c r="Q168" i="1"/>
  <c r="Q174" i="1"/>
  <c r="Q175" i="1"/>
  <c r="Q176" i="1"/>
  <c r="Q180" i="1"/>
  <c r="Q187" i="1"/>
  <c r="Q188" i="1"/>
  <c r="Q189" i="1"/>
  <c r="Q190" i="1"/>
  <c r="Q193" i="1"/>
  <c r="Q194" i="1"/>
  <c r="Q196" i="1"/>
  <c r="Q197" i="1"/>
  <c r="Q200" i="1"/>
  <c r="Q202" i="1"/>
  <c r="Q204" i="1"/>
  <c r="Q206" i="1"/>
  <c r="Q227" i="1"/>
  <c r="Q240" i="1"/>
  <c r="Q249" i="1"/>
  <c r="Q252" i="1"/>
  <c r="Q254" i="1"/>
  <c r="Q255" i="1"/>
  <c r="Q256" i="1"/>
  <c r="Q288" i="1"/>
  <c r="Q292" i="1"/>
  <c r="Q294" i="1"/>
  <c r="Q295" i="1"/>
  <c r="Q296" i="1"/>
  <c r="Q297" i="1"/>
  <c r="Q303" i="1"/>
  <c r="Q305" i="1"/>
  <c r="Q306" i="1"/>
  <c r="Q307" i="1"/>
  <c r="Q311" i="1"/>
  <c r="Q327" i="1"/>
  <c r="Q330" i="1"/>
  <c r="Q333" i="1"/>
  <c r="Q336" i="1"/>
  <c r="Q342" i="1"/>
  <c r="Q344" i="1"/>
  <c r="Q346" i="1"/>
  <c r="Q349" i="1"/>
  <c r="Q350" i="1"/>
  <c r="Q351" i="1"/>
  <c r="Q352" i="1"/>
  <c r="Q354" i="1"/>
  <c r="Q356" i="1"/>
  <c r="Q357" i="1"/>
  <c r="Q358" i="1"/>
  <c r="Q359" i="1"/>
  <c r="Q361" i="1"/>
  <c r="Q362" i="1"/>
  <c r="Q363" i="1"/>
  <c r="Q364" i="1"/>
  <c r="Q366" i="1"/>
  <c r="Q369" i="1"/>
  <c r="Q370" i="1"/>
  <c r="Q371" i="1"/>
  <c r="Q372" i="1"/>
  <c r="Q373" i="1"/>
  <c r="Q374" i="1"/>
  <c r="Q376" i="1"/>
  <c r="Q377" i="1"/>
  <c r="Q378" i="1"/>
  <c r="Q379" i="1"/>
  <c r="Q380" i="1"/>
  <c r="Q382" i="1"/>
  <c r="Q383" i="1"/>
  <c r="Q384" i="1"/>
  <c r="Q385" i="1"/>
  <c r="Q388" i="1"/>
  <c r="Q389" i="1"/>
  <c r="Q390" i="1"/>
  <c r="Q394" i="1"/>
  <c r="Q398" i="1"/>
  <c r="Q405" i="1"/>
  <c r="Q406" i="1"/>
  <c r="Q407" i="1"/>
  <c r="Q410" i="1"/>
  <c r="Q416" i="1"/>
  <c r="Q417" i="1"/>
  <c r="Q418" i="1"/>
  <c r="Q421" i="1"/>
  <c r="Q422" i="1"/>
  <c r="Q423" i="1"/>
  <c r="Q426" i="1"/>
  <c r="Q430" i="1"/>
  <c r="Q431" i="1"/>
  <c r="Q436" i="1"/>
  <c r="Q438" i="1"/>
  <c r="Q445" i="1"/>
  <c r="Q451" i="1"/>
  <c r="Q452" i="1"/>
  <c r="Q453" i="1"/>
  <c r="Q454" i="1"/>
  <c r="Q464" i="1"/>
  <c r="Q468" i="1"/>
  <c r="Q470" i="1"/>
  <c r="Q471" i="1"/>
  <c r="Q472" i="1"/>
  <c r="Q474" i="1"/>
  <c r="Q476" i="1"/>
  <c r="Q477" i="1"/>
  <c r="Q478" i="1"/>
  <c r="Q480" i="1"/>
  <c r="Q486" i="1"/>
  <c r="Q487" i="1"/>
  <c r="Q490" i="1"/>
  <c r="Q491" i="1"/>
  <c r="Q493" i="1"/>
  <c r="Q497" i="1"/>
  <c r="Q501" i="1"/>
  <c r="Q502" i="1"/>
  <c r="Q505" i="1"/>
  <c r="Q506" i="1"/>
  <c r="Q507" i="1"/>
  <c r="Q508" i="1"/>
  <c r="Q517" i="1"/>
  <c r="Q520" i="1"/>
  <c r="Q524" i="1"/>
  <c r="Q527" i="1"/>
  <c r="Q531" i="1"/>
  <c r="Q533" i="1"/>
  <c r="Q535" i="1"/>
  <c r="Q536" i="1"/>
  <c r="Q537" i="1"/>
  <c r="Q540" i="1"/>
  <c r="Q541" i="1"/>
  <c r="Q542" i="1"/>
  <c r="Q543" i="1"/>
  <c r="Q550" i="1"/>
  <c r="Q551" i="1"/>
  <c r="Q553" i="1"/>
  <c r="Q554" i="1"/>
  <c r="Q555" i="1"/>
  <c r="Q557" i="1"/>
  <c r="Q558" i="1"/>
  <c r="Q559" i="1"/>
  <c r="Q560" i="1"/>
  <c r="Q561" i="1"/>
  <c r="Q562" i="1"/>
  <c r="Q563" i="1"/>
  <c r="Q564" i="1"/>
  <c r="Q565" i="1"/>
  <c r="Q566" i="1"/>
  <c r="Q570" i="1"/>
  <c r="Q571" i="1"/>
  <c r="Q572" i="1"/>
  <c r="Q576" i="1"/>
  <c r="Q577" i="1"/>
  <c r="Q578" i="1"/>
  <c r="Q579" i="1"/>
  <c r="Q580" i="1"/>
  <c r="Q581" i="1"/>
  <c r="Q582" i="1"/>
  <c r="Q585" i="1"/>
  <c r="Q586" i="1"/>
  <c r="Q587" i="1"/>
  <c r="Q589" i="1"/>
  <c r="Q590" i="1"/>
  <c r="Q591" i="1"/>
  <c r="Q592" i="1"/>
  <c r="Q593" i="1"/>
  <c r="Q594" i="1"/>
  <c r="Q596" i="1"/>
  <c r="Q597" i="1"/>
  <c r="Q600" i="1"/>
  <c r="Q602" i="1"/>
  <c r="Q603" i="1"/>
  <c r="Q605" i="1"/>
  <c r="Q607" i="1"/>
  <c r="Q608" i="1"/>
  <c r="Q609" i="1"/>
  <c r="Q611" i="1"/>
  <c r="Q612" i="1"/>
  <c r="Q613" i="1"/>
  <c r="Q614" i="1"/>
  <c r="Q616" i="1"/>
  <c r="Q626" i="1"/>
  <c r="Q627" i="1"/>
  <c r="Q628" i="1"/>
  <c r="Q629" i="1"/>
  <c r="Q630" i="1"/>
  <c r="Q632" i="1"/>
  <c r="Q633" i="1"/>
  <c r="Q634" i="1"/>
  <c r="Q635" i="1"/>
  <c r="Q637" i="1"/>
  <c r="Q643" i="1"/>
  <c r="Q644" i="1"/>
  <c r="Q645" i="1"/>
  <c r="Q646" i="1"/>
  <c r="Q647" i="1"/>
  <c r="Q648" i="1"/>
  <c r="Q649" i="1"/>
  <c r="Q651" i="1"/>
  <c r="Q653" i="1"/>
  <c r="Q654" i="1"/>
  <c r="Q655" i="1"/>
  <c r="Q661" i="1"/>
  <c r="Q664" i="1"/>
  <c r="Q668" i="1"/>
  <c r="Q669" i="1"/>
  <c r="Q670" i="1"/>
  <c r="Q671" i="1"/>
  <c r="Q673" i="1"/>
  <c r="Q674" i="1"/>
  <c r="Q675" i="1"/>
  <c r="Q676" i="1"/>
  <c r="Q679" i="1"/>
  <c r="Q680" i="1"/>
  <c r="Q686" i="1"/>
  <c r="Q688" i="1"/>
  <c r="Q692" i="1"/>
  <c r="Q699" i="1"/>
  <c r="Q703" i="1"/>
  <c r="Q705" i="1"/>
  <c r="Q707" i="1"/>
  <c r="Q711" i="1"/>
  <c r="Q713" i="1"/>
  <c r="Q715" i="1"/>
  <c r="Q718" i="1"/>
  <c r="Q721" i="1"/>
  <c r="Q723" i="1"/>
  <c r="Q724" i="1"/>
  <c r="Q726" i="1"/>
  <c r="Q728" i="1"/>
  <c r="Q729" i="1"/>
  <c r="Q730" i="1"/>
  <c r="Q731" i="1"/>
  <c r="Q732" i="1"/>
  <c r="Q733" i="1"/>
  <c r="Q735" i="1"/>
  <c r="Q736" i="1"/>
  <c r="Q737" i="1"/>
  <c r="Q738" i="1"/>
  <c r="Q739" i="1"/>
  <c r="Q740" i="1"/>
  <c r="Q741" i="1"/>
  <c r="Q742" i="1"/>
  <c r="Q744" i="1"/>
  <c r="Q745" i="1"/>
  <c r="Q747" i="1"/>
  <c r="Q748" i="1"/>
  <c r="Q749" i="1"/>
  <c r="Q754" i="1"/>
  <c r="Q757" i="1"/>
  <c r="Q760" i="1"/>
  <c r="Q764" i="1"/>
  <c r="Q770" i="1"/>
  <c r="Q771" i="1"/>
  <c r="Q775" i="1"/>
  <c r="Q780" i="1"/>
  <c r="Q788" i="1"/>
  <c r="Q795" i="1"/>
  <c r="Q796" i="1"/>
  <c r="Q797" i="1"/>
  <c r="Q798" i="1"/>
  <c r="Q803" i="1"/>
  <c r="Q808" i="1"/>
</calcChain>
</file>

<file path=xl/sharedStrings.xml><?xml version="1.0" encoding="utf-8"?>
<sst xmlns="http://schemas.openxmlformats.org/spreadsheetml/2006/main" count="7381" uniqueCount="1981">
  <si>
    <t xml:space="preserve"> "Капітальний ремонт елементів благоустрою частини парку  ім. Писаржевського у м. Дніпрі" (I,II черга) </t>
  </si>
  <si>
    <t xml:space="preserve"> Блокноти ДК 021:2015 Код 22816100-4 Блокноти</t>
  </si>
  <si>
    <t xml:space="preserve"> Виконання проектно-вишукувальних робiт  по об`єкту «Реконструкція парку ім. Писаржевського у  м. Дніпрі» За ДК 021:2015 Код 71220000-6  Послуги з архітектурного проектування виконання проектно-вишукувальних робіт.</t>
  </si>
  <si>
    <t xml:space="preserve"> Електромеханічних ручних інструментів За ДК 021:2015 Код 42652000-1 Електромеханічні ручні інструменти.</t>
  </si>
  <si>
    <t xml:space="preserve"> Кабелі та супутня продукція За ДК 021:2015 Код 44320000-9 Кабелі та супутня продукція</t>
  </si>
  <si>
    <t xml:space="preserve"> Монтаж та демонтаж святкових прикрас </t>
  </si>
  <si>
    <t xml:space="preserve"> Необхідно внести зміни то технічних умов в зв’язку з уточненням кількості об’єктів надання послуг cанітарної та формовочної обрізки, зняття аварійних дерев на території парку Зелений Гай.</t>
  </si>
  <si>
    <t xml:space="preserve"> Новорічні ялинки 8 м, За ДК 021:2015 Код 39298910-9 Новорічні ялинки</t>
  </si>
  <si>
    <t xml:space="preserve"> Персональні комп’ютери : Мережеві адаптери </t>
  </si>
  <si>
    <t xml:space="preserve"> Персональні комп’ютери :Багатофункціональний пристрій </t>
  </si>
  <si>
    <t xml:space="preserve"> Персональні комп’ютери :Джерела безперебійного  живлення </t>
  </si>
  <si>
    <t xml:space="preserve"> Персональні комп’ютери :Персональні комп’ютери ( в комплекті) </t>
  </si>
  <si>
    <t xml:space="preserve"> Послуга з вивезення, утилізації або захоронення твердих побутових відходів ДК 021:2015 Код 90513000-6 (Послуги з поводження з безпечними сміттям і відходами та  їх утилізація)</t>
  </si>
  <si>
    <t xml:space="preserve"> Послуга з інвентаризації об’єктів нерухомого майна та надання інформації з Реєстру права власності на нерухоме майно За ДК 021:2015 Код 79991000-7 Послуги з інвентаризації</t>
  </si>
  <si>
    <t xml:space="preserve"> Послуги для проведення святкових заходів в парку ім. Писаржевського та парку ім. В.Дубініна. За ДК 021:2015 Код 98110000-7 Послуги підприємницьких, професійних та спеціалізованих організацій</t>
  </si>
  <si>
    <t xml:space="preserve"> Прожектори За ДК 021:2015 Код 31500000-1 Освітлювальне обладнання та електричні лампи</t>
  </si>
  <si>
    <t xml:space="preserve"> Розроблення проектно-кошторисної документації по об’єкту: «Капітальний ремонт центральної алеї парку Зелений Гай у м. Дніпрі» </t>
  </si>
  <si>
    <t xml:space="preserve"> Ручні інструменти</t>
  </si>
  <si>
    <t xml:space="preserve"> ФОП Пасіцельська Марія Юріївна</t>
  </si>
  <si>
    <t xml:space="preserve"> Шатер За ДК 021:2015 Код 39522530-1 Намет</t>
  </si>
  <si>
    <t>"ДніпроДІІНТР"-ДФ ДП "УкрНДІІНТВ"</t>
  </si>
  <si>
    <t>"Роботи з виконання інженерно-геологічних вишукувань по об'єкту "Парк Зелений Гай у місті Дніпрі"</t>
  </si>
  <si>
    <t>+03580677244593</t>
  </si>
  <si>
    <t>+0380503614738</t>
  </si>
  <si>
    <t>+0380675607556</t>
  </si>
  <si>
    <t>+0380677244593</t>
  </si>
  <si>
    <t>+038567446448</t>
  </si>
  <si>
    <t>+3080503674557</t>
  </si>
  <si>
    <t>+3080675651368</t>
  </si>
  <si>
    <t>+3080676324298</t>
  </si>
  <si>
    <t>+3080951919647</t>
  </si>
  <si>
    <t>+30953299230</t>
  </si>
  <si>
    <t>+38 056 373 45 59</t>
  </si>
  <si>
    <t>+380442063782</t>
  </si>
  <si>
    <t>+380442067210</t>
  </si>
  <si>
    <t>+380442357042</t>
  </si>
  <si>
    <t>+380443347520</t>
  </si>
  <si>
    <t>+380444929585</t>
  </si>
  <si>
    <t>+380445036638, +380957095494, +380675020426</t>
  </si>
  <si>
    <t>+380445865606</t>
  </si>
  <si>
    <t>+380501335662</t>
  </si>
  <si>
    <t>+380502843564</t>
  </si>
  <si>
    <t>+380503201152</t>
  </si>
  <si>
    <t>+380503201914</t>
  </si>
  <si>
    <t>+380503202946</t>
  </si>
  <si>
    <t>+380503231318</t>
  </si>
  <si>
    <t>+380503575514</t>
  </si>
  <si>
    <t>+380503625087</t>
  </si>
  <si>
    <t>+380503846200</t>
  </si>
  <si>
    <t>+380504003723</t>
  </si>
  <si>
    <t>+380504043310</t>
  </si>
  <si>
    <t>+380504202444</t>
  </si>
  <si>
    <t>+380504534393</t>
  </si>
  <si>
    <t>+380504788076</t>
  </si>
  <si>
    <t>+380504813295</t>
  </si>
  <si>
    <t>+380504828282</t>
  </si>
  <si>
    <t>+380505559555</t>
  </si>
  <si>
    <t>+380506416077, +380577525555</t>
  </si>
  <si>
    <t>+380508723560</t>
  </si>
  <si>
    <t>+380509257195</t>
  </si>
  <si>
    <t>+380509815241</t>
  </si>
  <si>
    <t>+380562318092</t>
  </si>
  <si>
    <t>+380562320668</t>
  </si>
  <si>
    <t>+380562341340</t>
  </si>
  <si>
    <t>+380562360438</t>
  </si>
  <si>
    <t>+38056310384</t>
  </si>
  <si>
    <t>+38056360438</t>
  </si>
  <si>
    <t>+380563701784, +380562398454, +380931030145</t>
  </si>
  <si>
    <t>+380563703561</t>
  </si>
  <si>
    <t>+380563713351</t>
  </si>
  <si>
    <t>+380563717429</t>
  </si>
  <si>
    <t>+380563723318</t>
  </si>
  <si>
    <t>+380563735059</t>
  </si>
  <si>
    <t>+380563735779</t>
  </si>
  <si>
    <t>+38056398608</t>
  </si>
  <si>
    <t>+3805667908</t>
  </si>
  <si>
    <t>+380567136044</t>
  </si>
  <si>
    <t>+380567199090</t>
  </si>
  <si>
    <t>+380567445114</t>
  </si>
  <si>
    <t>+380567446448</t>
  </si>
  <si>
    <t>+38056769090</t>
  </si>
  <si>
    <t>+380567720148</t>
  </si>
  <si>
    <t>+380567765763</t>
  </si>
  <si>
    <t>+380567786312</t>
  </si>
  <si>
    <t>+380567855054</t>
  </si>
  <si>
    <t>+380567855184</t>
  </si>
  <si>
    <t>+380567885535,+380952300130</t>
  </si>
  <si>
    <t>+380567893483</t>
  </si>
  <si>
    <t>+380567911343</t>
  </si>
  <si>
    <t>+380567945269</t>
  </si>
  <si>
    <t>+380577522579</t>
  </si>
  <si>
    <t>+380577568373</t>
  </si>
  <si>
    <t>+380577808002</t>
  </si>
  <si>
    <t>+380632063126</t>
  </si>
  <si>
    <t>+380632331128, +380632336696</t>
  </si>
  <si>
    <t>+380637969609</t>
  </si>
  <si>
    <t>+380660460589</t>
  </si>
  <si>
    <t>+380660605759</t>
  </si>
  <si>
    <t>+380660619914</t>
  </si>
  <si>
    <t>+380662300374</t>
  </si>
  <si>
    <t>+380662952501</t>
  </si>
  <si>
    <t>+380663366238</t>
  </si>
  <si>
    <t>+380664468129</t>
  </si>
  <si>
    <t>+380666000777</t>
  </si>
  <si>
    <t>+380670101555</t>
  </si>
  <si>
    <t>+380672012793</t>
  </si>
  <si>
    <t>+380672336577</t>
  </si>
  <si>
    <t>+380672336577, +3800967088442</t>
  </si>
  <si>
    <t>+380672336577, +380975275357</t>
  </si>
  <si>
    <t>+380672578585</t>
  </si>
  <si>
    <t>+380673206699</t>
  </si>
  <si>
    <t>+380674433838</t>
  </si>
  <si>
    <t>+380674842884</t>
  </si>
  <si>
    <t>+380675067566</t>
  </si>
  <si>
    <t>+380675238300</t>
  </si>
  <si>
    <t>+380675238311</t>
  </si>
  <si>
    <t>+380675401969</t>
  </si>
  <si>
    <t>+380675607556</t>
  </si>
  <si>
    <t>+380675613822</t>
  </si>
  <si>
    <t>+380675617368</t>
  </si>
  <si>
    <t>+380675617750</t>
  </si>
  <si>
    <t>+380675651368</t>
  </si>
  <si>
    <t>+380675657867</t>
  </si>
  <si>
    <t>+380675660436</t>
  </si>
  <si>
    <t>+380675667908</t>
  </si>
  <si>
    <t>+380675667908, +380675238377</t>
  </si>
  <si>
    <t>+380675912395</t>
  </si>
  <si>
    <t>+380675915776</t>
  </si>
  <si>
    <t>+380676131414</t>
  </si>
  <si>
    <t>+380676185599</t>
  </si>
  <si>
    <t>+380676301156</t>
  </si>
  <si>
    <t>+380676302093</t>
  </si>
  <si>
    <t>+380676303838</t>
  </si>
  <si>
    <t>+380676314075</t>
  </si>
  <si>
    <t>+380676323267</t>
  </si>
  <si>
    <t>+380676324298</t>
  </si>
  <si>
    <t>+380676324640</t>
  </si>
  <si>
    <t>+380676324664</t>
  </si>
  <si>
    <t>+380676327525</t>
  </si>
  <si>
    <t>+380676334521</t>
  </si>
  <si>
    <t>+380676363634</t>
  </si>
  <si>
    <t>+380676377999</t>
  </si>
  <si>
    <t>+380676722933</t>
  </si>
  <si>
    <t>+380676914788</t>
  </si>
  <si>
    <t>+380677022121</t>
  </si>
  <si>
    <t>+380677155559</t>
  </si>
  <si>
    <t>+380677244593</t>
  </si>
  <si>
    <t>+380679428283</t>
  </si>
  <si>
    <t>+380682076067</t>
  </si>
  <si>
    <t>+380682365209</t>
  </si>
  <si>
    <t>+380684001995</t>
  </si>
  <si>
    <t>+380684633030</t>
  </si>
  <si>
    <t>+380688331187</t>
  </si>
  <si>
    <t>+380688910131</t>
  </si>
  <si>
    <t>+380735035050</t>
  </si>
  <si>
    <t>+380930631130</t>
  </si>
  <si>
    <t>+380935533643</t>
  </si>
  <si>
    <t>+380938841230</t>
  </si>
  <si>
    <t>+380953895300</t>
  </si>
  <si>
    <t>+380955083310</t>
  </si>
  <si>
    <t>+380955496870</t>
  </si>
  <si>
    <t>+380956594727</t>
  </si>
  <si>
    <t>+380958467676</t>
  </si>
  <si>
    <t>+380961100021</t>
  </si>
  <si>
    <t>+380961757997</t>
  </si>
  <si>
    <t>+380963218556</t>
  </si>
  <si>
    <t>+380964014771</t>
  </si>
  <si>
    <t>+380965284833</t>
  </si>
  <si>
    <t>+380971688720</t>
  </si>
  <si>
    <t>+380972224587</t>
  </si>
  <si>
    <t>+380973855208</t>
  </si>
  <si>
    <t>+380974502542</t>
  </si>
  <si>
    <t>+380975738276</t>
  </si>
  <si>
    <t>+380975898429</t>
  </si>
  <si>
    <t>+380979965688</t>
  </si>
  <si>
    <t>+380982368398</t>
  </si>
  <si>
    <t>+380983163184</t>
  </si>
  <si>
    <t>+380983268406</t>
  </si>
  <si>
    <t>+380983405012</t>
  </si>
  <si>
    <t>+380987889988</t>
  </si>
  <si>
    <t>+380988088560</t>
  </si>
  <si>
    <t>+380989203057</t>
  </si>
  <si>
    <t>+380989743686</t>
  </si>
  <si>
    <t>+380990058532</t>
  </si>
  <si>
    <t>+380990477237</t>
  </si>
  <si>
    <t>+380990924394</t>
  </si>
  <si>
    <t>+380991756225</t>
  </si>
  <si>
    <t>+380992477387</t>
  </si>
  <si>
    <t>+380996658931</t>
  </si>
  <si>
    <t>+380999042096</t>
  </si>
  <si>
    <t>0-020418</t>
  </si>
  <si>
    <t>0-101117</t>
  </si>
  <si>
    <t>0-260218</t>
  </si>
  <si>
    <t>00001/18</t>
  </si>
  <si>
    <t>000813-00/10</t>
  </si>
  <si>
    <t>00276-00</t>
  </si>
  <si>
    <t>0050169754</t>
  </si>
  <si>
    <t>00856-00</t>
  </si>
  <si>
    <t>0090</t>
  </si>
  <si>
    <t>01-14/08/2018</t>
  </si>
  <si>
    <t>01-17</t>
  </si>
  <si>
    <t>01/01</t>
  </si>
  <si>
    <t>01/02</t>
  </si>
  <si>
    <t>01/02/2019</t>
  </si>
  <si>
    <t>0104-1</t>
  </si>
  <si>
    <t>0108-1</t>
  </si>
  <si>
    <t>0111-1</t>
  </si>
  <si>
    <t>0112-1</t>
  </si>
  <si>
    <t>0120</t>
  </si>
  <si>
    <t>0169</t>
  </si>
  <si>
    <t>01_05_2019</t>
  </si>
  <si>
    <t>02</t>
  </si>
  <si>
    <t>02-08/01/2019</t>
  </si>
  <si>
    <t>02-17</t>
  </si>
  <si>
    <t>02/18</t>
  </si>
  <si>
    <t>02/20/02</t>
  </si>
  <si>
    <t>02/20/1</t>
  </si>
  <si>
    <t>02/20/2</t>
  </si>
  <si>
    <t>0208</t>
  </si>
  <si>
    <t>02128158</t>
  </si>
  <si>
    <t>02178-00</t>
  </si>
  <si>
    <t>0220</t>
  </si>
  <si>
    <t>0220-1</t>
  </si>
  <si>
    <t>0220-3</t>
  </si>
  <si>
    <t>0220-4</t>
  </si>
  <si>
    <t>0220/1</t>
  </si>
  <si>
    <t>02472-00</t>
  </si>
  <si>
    <t>03</t>
  </si>
  <si>
    <t>03-17</t>
  </si>
  <si>
    <t>03/20</t>
  </si>
  <si>
    <t>0320-12</t>
  </si>
  <si>
    <t>03341305</t>
  </si>
  <si>
    <t>03341641</t>
  </si>
  <si>
    <t>03341776</t>
  </si>
  <si>
    <t>03440000-6 Продукція лісівництва</t>
  </si>
  <si>
    <t>03450000-9 Розсадницька продукція</t>
  </si>
  <si>
    <t>03_00006809</t>
  </si>
  <si>
    <t>04</t>
  </si>
  <si>
    <t>04-03/1</t>
  </si>
  <si>
    <t>04-11/07/18</t>
  </si>
  <si>
    <t>04-17</t>
  </si>
  <si>
    <t>04/04/18</t>
  </si>
  <si>
    <t>04/08</t>
  </si>
  <si>
    <t>0410-17</t>
  </si>
  <si>
    <t>0411</t>
  </si>
  <si>
    <t>0420-2</t>
  </si>
  <si>
    <t>0420-3</t>
  </si>
  <si>
    <t>0420/1</t>
  </si>
  <si>
    <t>0442294839</t>
  </si>
  <si>
    <t>0442294849</t>
  </si>
  <si>
    <t>05-17</t>
  </si>
  <si>
    <t>05/08</t>
  </si>
  <si>
    <t>05/09-Б</t>
  </si>
  <si>
    <t>05/18-П</t>
  </si>
  <si>
    <t>05/19</t>
  </si>
  <si>
    <t>0503</t>
  </si>
  <si>
    <t>0503201152</t>
  </si>
  <si>
    <t>0503674557</t>
  </si>
  <si>
    <t>0504065223</t>
  </si>
  <si>
    <t>0505359283</t>
  </si>
  <si>
    <t>0509815241@i.ua</t>
  </si>
  <si>
    <t>0520-1</t>
  </si>
  <si>
    <t>0520-2</t>
  </si>
  <si>
    <t>0520-3</t>
  </si>
  <si>
    <t>0562 32 06 68</t>
  </si>
  <si>
    <t>0562230003</t>
  </si>
  <si>
    <t>0562310384</t>
  </si>
  <si>
    <t>0562318092</t>
  </si>
  <si>
    <t>0562341465</t>
  </si>
  <si>
    <t>05627874780</t>
  </si>
  <si>
    <t>0563702156</t>
  </si>
  <si>
    <t>0563724508</t>
  </si>
  <si>
    <t>0563735059</t>
  </si>
  <si>
    <t>0563735779</t>
  </si>
  <si>
    <t>0563755059</t>
  </si>
  <si>
    <t>0567199090</t>
  </si>
  <si>
    <t>0567324100</t>
  </si>
  <si>
    <t>0567446448</t>
  </si>
  <si>
    <t>0567450206</t>
  </si>
  <si>
    <t>0567451473</t>
  </si>
  <si>
    <t>0567601000</t>
  </si>
  <si>
    <t>0567653158</t>
  </si>
  <si>
    <t>0567654740</t>
  </si>
  <si>
    <t>0567850441</t>
  </si>
  <si>
    <t>0567851585</t>
  </si>
  <si>
    <t>0567855184</t>
  </si>
  <si>
    <t>0567893483</t>
  </si>
  <si>
    <t>0567901913</t>
  </si>
  <si>
    <t>0577522579</t>
  </si>
  <si>
    <t>06-0720</t>
  </si>
  <si>
    <t>06/01</t>
  </si>
  <si>
    <t>06/17</t>
  </si>
  <si>
    <t>0607jv@gmail.com</t>
  </si>
  <si>
    <t>0612200770</t>
  </si>
  <si>
    <t>0631958515</t>
  </si>
  <si>
    <t>0638</t>
  </si>
  <si>
    <t>0670101555</t>
  </si>
  <si>
    <t>0672578585</t>
  </si>
  <si>
    <t>0675067566</t>
  </si>
  <si>
    <t>0675079004</t>
  </si>
  <si>
    <t>0675223500</t>
  </si>
  <si>
    <t>0675607556</t>
  </si>
  <si>
    <t>0675613822</t>
  </si>
  <si>
    <t>0675613882</t>
  </si>
  <si>
    <t>0675651368</t>
  </si>
  <si>
    <t>0675659731</t>
  </si>
  <si>
    <t>0675985631</t>
  </si>
  <si>
    <t>0676314075</t>
  </si>
  <si>
    <t>0676376823</t>
  </si>
  <si>
    <t>0677410403</t>
  </si>
  <si>
    <t>0679294547</t>
  </si>
  <si>
    <t>0679428283</t>
  </si>
  <si>
    <t>0686423304</t>
  </si>
  <si>
    <t>0687684247</t>
  </si>
  <si>
    <t>07-0720</t>
  </si>
  <si>
    <t>07/09</t>
  </si>
  <si>
    <t>076363634</t>
  </si>
  <si>
    <t>08/19</t>
  </si>
  <si>
    <t>09130000-9 Нафта і дистиляти</t>
  </si>
  <si>
    <t>09132000-3 Бензин</t>
  </si>
  <si>
    <t>09210000-4 Мастильні засоби</t>
  </si>
  <si>
    <t>09211000-1 Мастильні оливи та мастильні матеріали</t>
  </si>
  <si>
    <t>0930631130</t>
  </si>
  <si>
    <t>09310000-5 Електрична енергія</t>
  </si>
  <si>
    <t>0951615214</t>
  </si>
  <si>
    <t>0952757545</t>
  </si>
  <si>
    <t>0952765712</t>
  </si>
  <si>
    <t>0955083310</t>
  </si>
  <si>
    <t>0957042436, 044-561-27-53</t>
  </si>
  <si>
    <t>0961100021</t>
  </si>
  <si>
    <t>0961100021@ukr.net</t>
  </si>
  <si>
    <t>0964495974</t>
  </si>
  <si>
    <t>0973631155</t>
  </si>
  <si>
    <t>0974502542</t>
  </si>
  <si>
    <t>0976382799</t>
  </si>
  <si>
    <t>0987889988</t>
  </si>
  <si>
    <t>0988497480</t>
  </si>
  <si>
    <t>0991917050</t>
  </si>
  <si>
    <t>1</t>
  </si>
  <si>
    <t>1-07/2017</t>
  </si>
  <si>
    <t>1-1</t>
  </si>
  <si>
    <t>1-12/8473</t>
  </si>
  <si>
    <t>1-2</t>
  </si>
  <si>
    <t>1-23/07/18</t>
  </si>
  <si>
    <t>1-3</t>
  </si>
  <si>
    <t>1/10</t>
  </si>
  <si>
    <t>1/10420</t>
  </si>
  <si>
    <t>1/11</t>
  </si>
  <si>
    <t>1/11/17</t>
  </si>
  <si>
    <t>1/19</t>
  </si>
  <si>
    <t>1/4</t>
  </si>
  <si>
    <t>10/10/2017</t>
  </si>
  <si>
    <t>10/18</t>
  </si>
  <si>
    <t>10/18-14</t>
  </si>
  <si>
    <t>10/18-4</t>
  </si>
  <si>
    <t>10053-00</t>
  </si>
  <si>
    <t>101</t>
  </si>
  <si>
    <t>102</t>
  </si>
  <si>
    <t>103</t>
  </si>
  <si>
    <t>11</t>
  </si>
  <si>
    <t>1103</t>
  </si>
  <si>
    <t>1119/1</t>
  </si>
  <si>
    <t>119</t>
  </si>
  <si>
    <t>12/17</t>
  </si>
  <si>
    <t>1219-1</t>
  </si>
  <si>
    <t>1219/1</t>
  </si>
  <si>
    <t>13</t>
  </si>
  <si>
    <t>13/11-1</t>
  </si>
  <si>
    <t>13/11-2</t>
  </si>
  <si>
    <t>13459295</t>
  </si>
  <si>
    <t>13468510</t>
  </si>
  <si>
    <t>135</t>
  </si>
  <si>
    <t>136-17</t>
  </si>
  <si>
    <t>14/03-3</t>
  </si>
  <si>
    <t>1402/17</t>
  </si>
  <si>
    <t>14210000-6 Гравій, пісок, щебінь і наповнювачі</t>
  </si>
  <si>
    <t>14280931</t>
  </si>
  <si>
    <t>14308919</t>
  </si>
  <si>
    <t>14315</t>
  </si>
  <si>
    <t>14630000-6 Шлак, окалина, відходи та скрап чорних металів</t>
  </si>
  <si>
    <t>1502/17</t>
  </si>
  <si>
    <t>150817-2</t>
  </si>
  <si>
    <t>150817/1</t>
  </si>
  <si>
    <t>16</t>
  </si>
  <si>
    <t>16/07</t>
  </si>
  <si>
    <t>16/1</t>
  </si>
  <si>
    <t>161117/1</t>
  </si>
  <si>
    <t>16160000-4 Садова техніка різна</t>
  </si>
  <si>
    <t>162</t>
  </si>
  <si>
    <t>163</t>
  </si>
  <si>
    <t>1631</t>
  </si>
  <si>
    <t>16310000-1 Косарки</t>
  </si>
  <si>
    <t>16311000-8 Газонокосарки</t>
  </si>
  <si>
    <t>16311100-9 Косарки для газонів, парків і спортивних майданчиків</t>
  </si>
  <si>
    <t>16320000-4 Сінозбиральні машини</t>
  </si>
  <si>
    <t>16700000-2 Трактори</t>
  </si>
  <si>
    <t>16800000-3 Частини для сільськогосподарської та лісогосподарської техніки</t>
  </si>
  <si>
    <t>16820000-9 Частини для лісогосподарської техніки</t>
  </si>
  <si>
    <t>17/17</t>
  </si>
  <si>
    <t>1707/1</t>
  </si>
  <si>
    <t>18</t>
  </si>
  <si>
    <t>18-00848/51</t>
  </si>
  <si>
    <t>18-00849/52</t>
  </si>
  <si>
    <t>18/1-43</t>
  </si>
  <si>
    <t>18/1-43/1</t>
  </si>
  <si>
    <t>18/1-46</t>
  </si>
  <si>
    <t>18/1-47</t>
  </si>
  <si>
    <t>18/10</t>
  </si>
  <si>
    <t>180308</t>
  </si>
  <si>
    <t>1805/1</t>
  </si>
  <si>
    <t>1810/1</t>
  </si>
  <si>
    <t>18100000-0 Формений одяг, спеціальний робочий одяг та аксесуари</t>
  </si>
  <si>
    <t>18130000-9 Спеціальний робочий одяг</t>
  </si>
  <si>
    <t>18140000-2 Аксесуари до робочого одягу</t>
  </si>
  <si>
    <t>18220000-7 Штормовий одяг</t>
  </si>
  <si>
    <t>18230000-0 Верхній одяг різний</t>
  </si>
  <si>
    <t>18420000-9 Аксесуари для одягу</t>
  </si>
  <si>
    <t>18810000-0 Взуття різне, крім спортивного та захисного</t>
  </si>
  <si>
    <t>18930000-7 Мішки та пакети</t>
  </si>
  <si>
    <t>19-1705/1</t>
  </si>
  <si>
    <t>19/1-57</t>
  </si>
  <si>
    <t>190305</t>
  </si>
  <si>
    <t>19210000-1 Натуральні тканини</t>
  </si>
  <si>
    <t>19314830</t>
  </si>
  <si>
    <t>193148304631</t>
  </si>
  <si>
    <t>19430915</t>
  </si>
  <si>
    <t>19510000-4 Гумові вироби</t>
  </si>
  <si>
    <t>19520000-7 Пластмасові вироби</t>
  </si>
  <si>
    <t>19640000-4 Поліетиленові мішки та пакети для сміття</t>
  </si>
  <si>
    <t>19ДН</t>
  </si>
  <si>
    <t>1aurumltd@mail.ru</t>
  </si>
  <si>
    <t>2</t>
  </si>
  <si>
    <t>2-07/2017</t>
  </si>
  <si>
    <t>2-16/10/19</t>
  </si>
  <si>
    <t>2-18/06/18</t>
  </si>
  <si>
    <t>2-22/10/18</t>
  </si>
  <si>
    <t>2-23/07/18</t>
  </si>
  <si>
    <t>2-27/03/2020</t>
  </si>
  <si>
    <t>2-30/08/18</t>
  </si>
  <si>
    <t>20/04/18</t>
  </si>
  <si>
    <t>2002-02</t>
  </si>
  <si>
    <t>201</t>
  </si>
  <si>
    <t>202</t>
  </si>
  <si>
    <t>2045520898</t>
  </si>
  <si>
    <t>20ДН</t>
  </si>
  <si>
    <t>21</t>
  </si>
  <si>
    <t>2110514671</t>
  </si>
  <si>
    <t>2142100798</t>
  </si>
  <si>
    <t>21547168</t>
  </si>
  <si>
    <t>21559964</t>
  </si>
  <si>
    <t>22</t>
  </si>
  <si>
    <t>22/04</t>
  </si>
  <si>
    <t>2211116</t>
  </si>
  <si>
    <t>221117/1</t>
  </si>
  <si>
    <t>22120000-7 Видання</t>
  </si>
  <si>
    <t>2212202005</t>
  </si>
  <si>
    <t>22210000-5 Газети</t>
  </si>
  <si>
    <t>2224300830</t>
  </si>
  <si>
    <t>22450000-9 Друкована продукція з елементами захисту</t>
  </si>
  <si>
    <t>228-25-15</t>
  </si>
  <si>
    <t>22816100-4 Блокноти</t>
  </si>
  <si>
    <t>22852000-7 Теки</t>
  </si>
  <si>
    <t>22900000-9 Друкована продукція різна</t>
  </si>
  <si>
    <t>23/04</t>
  </si>
  <si>
    <t>23101701</t>
  </si>
  <si>
    <t>23359034</t>
  </si>
  <si>
    <t>2346500338</t>
  </si>
  <si>
    <t>2347615862</t>
  </si>
  <si>
    <t>2379700270</t>
  </si>
  <si>
    <t>24/1/2019</t>
  </si>
  <si>
    <t>244</t>
  </si>
  <si>
    <t>24430000-7 Добрива тваринного та рослинного походження</t>
  </si>
  <si>
    <t>24440000-0 Добрива різні</t>
  </si>
  <si>
    <t>24447616</t>
  </si>
  <si>
    <t>24450000-3 Агрохімічна продукція</t>
  </si>
  <si>
    <t>2446305441</t>
  </si>
  <si>
    <t>2454101618</t>
  </si>
  <si>
    <t>2481310505</t>
  </si>
  <si>
    <t>25/05-1</t>
  </si>
  <si>
    <t>25/09/2019-01</t>
  </si>
  <si>
    <t>2504622034</t>
  </si>
  <si>
    <t>2507/1</t>
  </si>
  <si>
    <t>2517305621</t>
  </si>
  <si>
    <t>25394112</t>
  </si>
  <si>
    <t>2546100489</t>
  </si>
  <si>
    <t>25517827</t>
  </si>
  <si>
    <t>2590817346</t>
  </si>
  <si>
    <t>25_03_2020</t>
  </si>
  <si>
    <t>2602902652</t>
  </si>
  <si>
    <t>2633300327</t>
  </si>
  <si>
    <t>2642100474</t>
  </si>
  <si>
    <t>2661500297</t>
  </si>
  <si>
    <t>266150297</t>
  </si>
  <si>
    <t>2671413610</t>
  </si>
  <si>
    <t>2673907217</t>
  </si>
  <si>
    <t>2678800373</t>
  </si>
  <si>
    <t>2686412513</t>
  </si>
  <si>
    <t>27</t>
  </si>
  <si>
    <t>2704-20</t>
  </si>
  <si>
    <t>2724300153</t>
  </si>
  <si>
    <t>2737516145</t>
  </si>
  <si>
    <t>2748200413</t>
  </si>
  <si>
    <t>2798720812</t>
  </si>
  <si>
    <t>28-08-17</t>
  </si>
  <si>
    <t>2801709999</t>
  </si>
  <si>
    <t>2804-1</t>
  </si>
  <si>
    <t>2818507266</t>
  </si>
  <si>
    <t>2844004782</t>
  </si>
  <si>
    <t>2849500019</t>
  </si>
  <si>
    <t>2871100018</t>
  </si>
  <si>
    <t>2873104490</t>
  </si>
  <si>
    <t>2875</t>
  </si>
  <si>
    <t>2878805636</t>
  </si>
  <si>
    <t>29/11/19</t>
  </si>
  <si>
    <t>291ПМ</t>
  </si>
  <si>
    <t>2932715076</t>
  </si>
  <si>
    <t>2939302919</t>
  </si>
  <si>
    <t>2987508553</t>
  </si>
  <si>
    <t>3</t>
  </si>
  <si>
    <t>3-11/12/18</t>
  </si>
  <si>
    <t>30</t>
  </si>
  <si>
    <t>30/05</t>
  </si>
  <si>
    <t>30/06</t>
  </si>
  <si>
    <t>3003</t>
  </si>
  <si>
    <t>3005611654</t>
  </si>
  <si>
    <t>3010-17</t>
  </si>
  <si>
    <t>30120000-6 Фотокопіювальне та поліграфічне обладнання для офсетного друку</t>
  </si>
  <si>
    <t>30190000-7 Офісне устаткування та приладдя різне</t>
  </si>
  <si>
    <t>30191000-4 Офісне устаткування, крім меблів</t>
  </si>
  <si>
    <t>30197630-1 Папір для друку</t>
  </si>
  <si>
    <t>30213000-5 Персональні комп’ютери</t>
  </si>
  <si>
    <t>30213100-6 Портативні комп’ютери</t>
  </si>
  <si>
    <t>30230000-0 Комп’ютерне обладнання</t>
  </si>
  <si>
    <t>30232000-4 Периферійне обладнання</t>
  </si>
  <si>
    <t>30233180-6 Флеш-накопичувачі</t>
  </si>
  <si>
    <t>3043901636</t>
  </si>
  <si>
    <t>3050224033</t>
  </si>
  <si>
    <t>3065005329</t>
  </si>
  <si>
    <t>30728887</t>
  </si>
  <si>
    <t>3079721076</t>
  </si>
  <si>
    <t>3081115954</t>
  </si>
  <si>
    <t>3090705959</t>
  </si>
  <si>
    <t>3093404672</t>
  </si>
  <si>
    <t>3101504595</t>
  </si>
  <si>
    <t>3108406500</t>
  </si>
  <si>
    <t>31120000-3 Генератори</t>
  </si>
  <si>
    <t>31419223</t>
  </si>
  <si>
    <t>31500000-1 Освітлювальне обладнання та електричні лампи</t>
  </si>
  <si>
    <t>31520000-7 Світильники та освітлювальна арматура</t>
  </si>
  <si>
    <t>31522000-1 Ялинкові електричні гірлянди</t>
  </si>
  <si>
    <t>3160209952</t>
  </si>
  <si>
    <t>31682000-0 Електричне приладдя</t>
  </si>
  <si>
    <t>31759235</t>
  </si>
  <si>
    <t>31793056</t>
  </si>
  <si>
    <t>3192120637</t>
  </si>
  <si>
    <t>31944196</t>
  </si>
  <si>
    <t>31952558</t>
  </si>
  <si>
    <t>32</t>
  </si>
  <si>
    <t>3211105170</t>
  </si>
  <si>
    <t>32140051</t>
  </si>
  <si>
    <t>32149819</t>
  </si>
  <si>
    <t>3215819075</t>
  </si>
  <si>
    <t>32191331</t>
  </si>
  <si>
    <t>32241041</t>
  </si>
  <si>
    <t>3227020938</t>
  </si>
  <si>
    <t>32320000-2 Телевізійне й аудіовізуальне обладнання</t>
  </si>
  <si>
    <t>32338465</t>
  </si>
  <si>
    <t>32342400-6 Акустичні пристрої</t>
  </si>
  <si>
    <t>32350310</t>
  </si>
  <si>
    <t>3243715558</t>
  </si>
  <si>
    <t>32447987</t>
  </si>
  <si>
    <t>32489155</t>
  </si>
  <si>
    <t>32490244</t>
  </si>
  <si>
    <t>32627857</t>
  </si>
  <si>
    <t>32627857@mail.ru</t>
  </si>
  <si>
    <t>3271504027</t>
  </si>
  <si>
    <t>32781303</t>
  </si>
  <si>
    <t>3280803898</t>
  </si>
  <si>
    <t>32835987</t>
  </si>
  <si>
    <t>3285107479</t>
  </si>
  <si>
    <t>32887658</t>
  </si>
  <si>
    <t>3296102092</t>
  </si>
  <si>
    <t>32964716</t>
  </si>
  <si>
    <t>3305613330</t>
  </si>
  <si>
    <t>33140000-3 Медичні матеріали</t>
  </si>
  <si>
    <t>33205677</t>
  </si>
  <si>
    <t>3330319752</t>
  </si>
  <si>
    <t>3330612427</t>
  </si>
  <si>
    <t>33325242</t>
  </si>
  <si>
    <t>33383131</t>
  </si>
  <si>
    <t>33421700</t>
  </si>
  <si>
    <t>3344605375</t>
  </si>
  <si>
    <t>33542497</t>
  </si>
  <si>
    <t>3363910534</t>
  </si>
  <si>
    <t>3365102253</t>
  </si>
  <si>
    <t>33718143</t>
  </si>
  <si>
    <t>33740000-9 Засоби для догляду за руками та нігтями</t>
  </si>
  <si>
    <t>33760000-5 Туалетний папір, носові хустинки, рушники для рук і серветки</t>
  </si>
  <si>
    <t>33770025</t>
  </si>
  <si>
    <t>33869116</t>
  </si>
  <si>
    <t>33916100-5 Пили для розтину</t>
  </si>
  <si>
    <t>3412703837</t>
  </si>
  <si>
    <t>34140000-0 Великовантажні мототранспортні засоби</t>
  </si>
  <si>
    <t>3419211072</t>
  </si>
  <si>
    <t>34320000-6 Механічні запасні частини, крім двигунів і частин двигунів</t>
  </si>
  <si>
    <t>3470814370</t>
  </si>
  <si>
    <t>34860245</t>
  </si>
  <si>
    <t>34899754</t>
  </si>
  <si>
    <t>34910000-9 Гужові чи ручні вози, інші транспортні засоби з немеханічним приводом, багажні вози та різні запасні частини</t>
  </si>
  <si>
    <t>34920000-2 Дорожнє обладнання</t>
  </si>
  <si>
    <t>34928200-0 Огорожі</t>
  </si>
  <si>
    <t>34928480-6 Контейнери та урни для відходів і сміття</t>
  </si>
  <si>
    <t>34990000-3 Регулювальне, запобіжне, сигнальне та освітлювальне обладнання</t>
  </si>
  <si>
    <t>35110000-8 Протипожежне, рятувальне та захисне обладнання</t>
  </si>
  <si>
    <t>35268595</t>
  </si>
  <si>
    <t>354607704120</t>
  </si>
  <si>
    <t>35460778</t>
  </si>
  <si>
    <t>35542855</t>
  </si>
  <si>
    <t>35578530</t>
  </si>
  <si>
    <t>36216548</t>
  </si>
  <si>
    <t>36297386</t>
  </si>
  <si>
    <t>3631409560</t>
  </si>
  <si>
    <t>36355421</t>
  </si>
  <si>
    <t>36367678</t>
  </si>
  <si>
    <t>36573156</t>
  </si>
  <si>
    <t>36865753</t>
  </si>
  <si>
    <t>36906092</t>
  </si>
  <si>
    <t>36920630</t>
  </si>
  <si>
    <t>37006343</t>
  </si>
  <si>
    <t>37167117</t>
  </si>
  <si>
    <t>37189023</t>
  </si>
  <si>
    <t>37410000-5 Інвентар для спортивних ігор на відкритому повітрі</t>
  </si>
  <si>
    <t>37420000-8 Гімнастичний інвентар</t>
  </si>
  <si>
    <t>37431162</t>
  </si>
  <si>
    <t>37440000-4 Інвентар для фітнесу</t>
  </si>
  <si>
    <t>37450000-7 Спортивний інвентар для полів і кортів</t>
  </si>
  <si>
    <t>37453584</t>
  </si>
  <si>
    <t>37500000-3 Ігри та іграшки; атракціони</t>
  </si>
  <si>
    <t>37520000-9 Іграшки</t>
  </si>
  <si>
    <t>37530000-2 Вироби для парків розваг, настільних або кімнатних ігор</t>
  </si>
  <si>
    <t>37607238</t>
  </si>
  <si>
    <t>37734085</t>
  </si>
  <si>
    <t>37988223</t>
  </si>
  <si>
    <t>38</t>
  </si>
  <si>
    <t>38010544</t>
  </si>
  <si>
    <t>380442477056, 380442477056,</t>
  </si>
  <si>
    <t>380680187942, 380680187942</t>
  </si>
  <si>
    <t>380950958692, 380950958692</t>
  </si>
  <si>
    <t>380982396000, 380982396000</t>
  </si>
  <si>
    <t>38198149</t>
  </si>
  <si>
    <t>38299343</t>
  </si>
  <si>
    <t>38300000-8 Вимірювальні прилади</t>
  </si>
  <si>
    <t>38360040</t>
  </si>
  <si>
    <t>38361369</t>
  </si>
  <si>
    <t>38550000-5 Лічильники</t>
  </si>
  <si>
    <t>38650000-6 Фотографічне обладнання</t>
  </si>
  <si>
    <t>38652100-1 Проектори</t>
  </si>
  <si>
    <t>38653400-1 Проекційні екрани</t>
  </si>
  <si>
    <t>38835207</t>
  </si>
  <si>
    <t>39100000-3 Меблі</t>
  </si>
  <si>
    <t>39110000-6 Сидіння, стільці та супутні вироби і частини до них</t>
  </si>
  <si>
    <t>39140000-5 Меблі для дому</t>
  </si>
  <si>
    <t>39150000-8 Меблі та приспособи різні</t>
  </si>
  <si>
    <t>39154100-7 Виставкові стенди</t>
  </si>
  <si>
    <t>39200703</t>
  </si>
  <si>
    <t>39240000-6 Різальні інструменти</t>
  </si>
  <si>
    <t>39260000-2 Секційні лотки та канцелярське приладдя</t>
  </si>
  <si>
    <t>39290000-1 Фурнітура різна</t>
  </si>
  <si>
    <t>39298900-6 Декоративні вироби різні</t>
  </si>
  <si>
    <t>39298910-9 Новорічні ялинки</t>
  </si>
  <si>
    <t>39330000-4 Дезінфекційне обладнання</t>
  </si>
  <si>
    <t>39398164</t>
  </si>
  <si>
    <t>39413538</t>
  </si>
  <si>
    <t>39417349</t>
  </si>
  <si>
    <t>39502989</t>
  </si>
  <si>
    <t>39520000-3 Готові текстильні вироби</t>
  </si>
  <si>
    <t>39522530-1 Намети</t>
  </si>
  <si>
    <t>39531000-3 Килимові покриття</t>
  </si>
  <si>
    <t>39540000-9 Вироби різні з канату, мотузки, шпагату та сітки</t>
  </si>
  <si>
    <t>39560000-5 Текстильні вироби різні</t>
  </si>
  <si>
    <t>39588481</t>
  </si>
  <si>
    <t>39710000-2 Електричні побутові прилади</t>
  </si>
  <si>
    <t>39713430-6 Пилососи</t>
  </si>
  <si>
    <t>39715240-1 Електроприлади для обігріву приміщень</t>
  </si>
  <si>
    <t>39734265</t>
  </si>
  <si>
    <t>39754779</t>
  </si>
  <si>
    <t>39830000-9 Продукція для чищення</t>
  </si>
  <si>
    <t>39847915</t>
  </si>
  <si>
    <t>39954285</t>
  </si>
  <si>
    <t>3995485</t>
  </si>
  <si>
    <t>4-1</t>
  </si>
  <si>
    <t>4-16/10/19</t>
  </si>
  <si>
    <t>4-27/04/202</t>
  </si>
  <si>
    <t>40085598</t>
  </si>
  <si>
    <t>40118282</t>
  </si>
  <si>
    <t>40218148</t>
  </si>
  <si>
    <t>40322673</t>
  </si>
  <si>
    <t>40560621</t>
  </si>
  <si>
    <t>40594601</t>
  </si>
  <si>
    <t>40610992</t>
  </si>
  <si>
    <t>40657996</t>
  </si>
  <si>
    <t>407-2020</t>
  </si>
  <si>
    <t>40707329</t>
  </si>
  <si>
    <t>40724648</t>
  </si>
  <si>
    <t>40832912</t>
  </si>
  <si>
    <t>40850674</t>
  </si>
  <si>
    <t>40856907</t>
  </si>
  <si>
    <t>40878412</t>
  </si>
  <si>
    <t>40878517</t>
  </si>
  <si>
    <t>40957682</t>
  </si>
  <si>
    <t>41</t>
  </si>
  <si>
    <t>41094252</t>
  </si>
  <si>
    <t>41192545</t>
  </si>
  <si>
    <t>41435964</t>
  </si>
  <si>
    <t>41449359</t>
  </si>
  <si>
    <t>41908882</t>
  </si>
  <si>
    <t>42082379</t>
  </si>
  <si>
    <t>42120000-6 Насоси та компресори</t>
  </si>
  <si>
    <t>42152681</t>
  </si>
  <si>
    <t>42649710</t>
  </si>
  <si>
    <t>42650000-7 Ручні інструменти пневматичні чи моторизовані</t>
  </si>
  <si>
    <t>42652000-1 Електромеханічні ручні інструменти</t>
  </si>
  <si>
    <t>42814874</t>
  </si>
  <si>
    <t>42990000-2 Машини спеціального призначення різні</t>
  </si>
  <si>
    <t>43320000-2 Будівельне обладнання</t>
  </si>
  <si>
    <t>43410000-0 Машини для обробки мінералів</t>
  </si>
  <si>
    <t>43812000-8 Пиляльне обладнання</t>
  </si>
  <si>
    <t>43830000-0 Електричні інструменти</t>
  </si>
  <si>
    <t>44110000-4 Конструкційні матеріали</t>
  </si>
  <si>
    <t>44160000-9 Магістралі, трубопроводи, труби, обсадні труби, тюбінги та супутні вироби</t>
  </si>
  <si>
    <t>44170000-2 Плити, листи, стрічки та фольга, пов’язані з конструкційними матеріалами</t>
  </si>
  <si>
    <t>44190000-8 Конструкційні матеріали різні</t>
  </si>
  <si>
    <t>44200000-2 Конструкційні вироби</t>
  </si>
  <si>
    <t>44210000-5 Конструкції та їх частини</t>
  </si>
  <si>
    <t>44220000-8 Столярні вироби</t>
  </si>
  <si>
    <t>44230000-1 Теслярські вироби</t>
  </si>
  <si>
    <t>44316500-3 Ковані вироби</t>
  </si>
  <si>
    <t>44320000-9 Кабелі та супутня продукція</t>
  </si>
  <si>
    <t>44400000-4 Готова продукція різних видів та супутні вироби</t>
  </si>
  <si>
    <t>44420000-0 Будівельні товари</t>
  </si>
  <si>
    <t>44423220-9 Розкладні драбини</t>
  </si>
  <si>
    <t>44510000-8 Знаряддя</t>
  </si>
  <si>
    <t>44530000-4 Кріпильні деталі</t>
  </si>
  <si>
    <t>44610000-9 Цистерни, резервуари, контейнери та посудини високого тиску</t>
  </si>
  <si>
    <t>44810000-1 Фарби</t>
  </si>
  <si>
    <t>45/10</t>
  </si>
  <si>
    <t>45000000-7 Будівельні роботи та поточний ремонт</t>
  </si>
  <si>
    <t>45110000-1 Руйнування та знесення будівель і земляні роботи</t>
  </si>
  <si>
    <t>45111000-8 Руйнування будівель, підготовки і розчищання будівельного майданчика</t>
  </si>
  <si>
    <t>45212220-4 Будівництво багатоцільових спортивних об’єктів</t>
  </si>
  <si>
    <t>45220000-5 Інженерні та будівельні роботи</t>
  </si>
  <si>
    <t>45230000-8 Будівництво трубопроводів, ліній зв’язку та електропередач, шосе, доріг, аеродромів і залізничних доріг; вирівнювання поверхонь</t>
  </si>
  <si>
    <t>45260000-7 Покрівельні роботи та інші спеціалізовані будівельні роботи</t>
  </si>
  <si>
    <t>45300000-0 Будівельно-монтажні роботи</t>
  </si>
  <si>
    <t>45310000-3 Електромонтажні роботи</t>
  </si>
  <si>
    <t>45340000-2 Зведення огорож, монтаж поручнів і захисних засобів</t>
  </si>
  <si>
    <t>45420000-7 Столярні та теслярні роботи</t>
  </si>
  <si>
    <t>45430000-0 Покривання підлоги та стін</t>
  </si>
  <si>
    <t>45450000-6 Інші завершальні будівельні роботи</t>
  </si>
  <si>
    <t>48624000-8 Пакети програмного забезпечення для операційних систем для персональних комп’ютерів</t>
  </si>
  <si>
    <t>5</t>
  </si>
  <si>
    <t>50000000-5 Послуги з ремонту і технічного обслуговування</t>
  </si>
  <si>
    <t>50230000-6 Послуги з ремонту, технічного обслуговування дорожньої інфраструктури і пов’язаного обладнання та супутні послуги</t>
  </si>
  <si>
    <t>50310000-1 Технічне обслуговування і ремонт офісної техніки</t>
  </si>
  <si>
    <t>50312000-5 Технічне обслуговування і ремонт комп’ютерного обладнання</t>
  </si>
  <si>
    <t>5036638@optima.com.ua</t>
  </si>
  <si>
    <t>50410000-2 Послуги з ремонту і технічного обслуговування вимірювальних, випробувальних і контрольних приладів</t>
  </si>
  <si>
    <t>50530000-9 Послуги з ремонту і технічного обслуговування техніки</t>
  </si>
  <si>
    <t>50700000-2 Послуги з ремонту і технічного обслуговування будівельних конструкцій</t>
  </si>
  <si>
    <t>50800000-3 Послуги з різних видів ремонту і технічного обслуговування</t>
  </si>
  <si>
    <t>50870000-4 Послуги з ремонту і технічного обслуговування обладнання для ігрових майданчиків</t>
  </si>
  <si>
    <t>54-16</t>
  </si>
  <si>
    <t>58380</t>
  </si>
  <si>
    <t>6</t>
  </si>
  <si>
    <t>60100000-9 Послуги з автомобільних перевезень</t>
  </si>
  <si>
    <t>60180000-3 Прокат вантажних транспортних засобів із водієм для перевезення товарів</t>
  </si>
  <si>
    <t>6131414@gmail.com</t>
  </si>
  <si>
    <t>63</t>
  </si>
  <si>
    <t>64220000-4 Телекомунікаційні послуги, крім послуг телефонного зв’язку і передачі даних</t>
  </si>
  <si>
    <t>64221000-1 Послуги з під’єднання</t>
  </si>
  <si>
    <t>65</t>
  </si>
  <si>
    <t>65100000-4 Послуги з розподілу води та супутні послуги</t>
  </si>
  <si>
    <t>65110000-7 Розподіл води</t>
  </si>
  <si>
    <t>69/17</t>
  </si>
  <si>
    <t>7-1</t>
  </si>
  <si>
    <t>70220000-9 Послуги з надання в оренду чи лізингу нежитлової нерухомості</t>
  </si>
  <si>
    <t>70330000-3 Послуги з управління нерухомістю, надавані на платній основі чи на договірних засадах</t>
  </si>
  <si>
    <t>71220000-6 Послуги з архітектурного проектування</t>
  </si>
  <si>
    <t>71240000-2 Архітектурні, інженерні та планувальні послуги</t>
  </si>
  <si>
    <t>71250000-5 Архітектурні, інженерні та геодезичні послуги</t>
  </si>
  <si>
    <t>71330000-0 Інженерні послуги різні</t>
  </si>
  <si>
    <t>71350000-6 Науково-технічні послуги в галузі інженерії</t>
  </si>
  <si>
    <t>71420000-8 Послуги у сфері ландшафтної архітектури</t>
  </si>
  <si>
    <t>71520000-9 Послуги з нагляду за виконанням будівельних робіт</t>
  </si>
  <si>
    <t>72250000-2 Послуги, пов’язані із системами та підтримкою</t>
  </si>
  <si>
    <t>72260000-5 Послуги, пов’язані з програмним забезпеченням</t>
  </si>
  <si>
    <t>72310000-1 Послуги з обробки даних</t>
  </si>
  <si>
    <t>72400000-4 Інтернет-послуги</t>
  </si>
  <si>
    <t>72410000-7 Послуги провайдерів</t>
  </si>
  <si>
    <t>72720000-3 Послуги у сфері глобальних мереж</t>
  </si>
  <si>
    <t>729/П</t>
  </si>
  <si>
    <t>73/17</t>
  </si>
  <si>
    <t>730/П</t>
  </si>
  <si>
    <t>731/П</t>
  </si>
  <si>
    <t>732/П</t>
  </si>
  <si>
    <t>733/П</t>
  </si>
  <si>
    <t>735/П</t>
  </si>
  <si>
    <t>7655811,+380504514063</t>
  </si>
  <si>
    <t>77210000-5 Лісозаготівельні послуги</t>
  </si>
  <si>
    <t>77300000-3 Послуги у сфері рослинництва</t>
  </si>
  <si>
    <t>77310000-6 Послуги з озеленення територій та утримання зелених насаджень</t>
  </si>
  <si>
    <t>79</t>
  </si>
  <si>
    <t>79100000-5 Юридичні послуги</t>
  </si>
  <si>
    <t>79110000-8 Послуги з юридичного консультування та юридичного представництва</t>
  </si>
  <si>
    <t>79340000-9 Рекламні та маркетингові послуги</t>
  </si>
  <si>
    <t>79410000-1 Консультаційні послуги з питань підприємницької діяльності та управління</t>
  </si>
  <si>
    <t>79421200-3 Послуги з розробки проектів, крім будівельних</t>
  </si>
  <si>
    <t>79710000-4 Охоронні послуги</t>
  </si>
  <si>
    <t>79713000-5 Послуги з охорони об’єктів та особистої охорони</t>
  </si>
  <si>
    <t>79820000-8 Послуги, пов’язані з друком</t>
  </si>
  <si>
    <t>79900000-3 Різні ділові та пов’язані з діловою сферою послуги</t>
  </si>
  <si>
    <t>79930000-2 Професійні дизайнерські послуги</t>
  </si>
  <si>
    <t>79950000-8 Послуги з організації виставок, ярмарок і конгресів</t>
  </si>
  <si>
    <t>79960000-1 Послуги фотографів і супутні послуги</t>
  </si>
  <si>
    <t>79990000-0 Різні послуги, пов’язані з діловою сферою</t>
  </si>
  <si>
    <t>79991000-7 Послуги з інвентаризації</t>
  </si>
  <si>
    <t>8-1</t>
  </si>
  <si>
    <t>8/01005</t>
  </si>
  <si>
    <t>8/01005-2019</t>
  </si>
  <si>
    <t>8/01005-2020</t>
  </si>
  <si>
    <t>80570000-0 Послуги з професійної підготовки у сфері підвищення кваліфікації</t>
  </si>
  <si>
    <t>85140000-2 Послуги у сфері охорони здоров’я різні</t>
  </si>
  <si>
    <t>88</t>
  </si>
  <si>
    <t>90510000-5 Утилізація сміття та поводження зі сміттям</t>
  </si>
  <si>
    <t>90510000-5 Утилізація/видалення сміття та поводження зі сміттям</t>
  </si>
  <si>
    <t>90511000-2 Послуги зі збирання сміття</t>
  </si>
  <si>
    <t>90512000-9 Послуги з перевезення сміття</t>
  </si>
  <si>
    <t>90513000-6 Послуги з поводження із безпечними сміттям і відходами та їх утилізація</t>
  </si>
  <si>
    <t>90600000-3 Послуги з прибирання й асенізації для міських і сільських громад та супутні послуги</t>
  </si>
  <si>
    <t>90620000-9 Послуги з прибирання снігу</t>
  </si>
  <si>
    <t>90670000-4 Послуги з дезінфікування та дератизування міських і сільських територій</t>
  </si>
  <si>
    <t>90910000-9 Послуги з прибирання</t>
  </si>
  <si>
    <t>92110000-5 Послуги з виробництва кіноплівки та відеокасет і супутні послуги</t>
  </si>
  <si>
    <t>92330000-3 Послуги відпочивально-розважальних комплексів</t>
  </si>
  <si>
    <t>92340000-6 Розважальні послуги, пов’язані з танцями та шоу</t>
  </si>
  <si>
    <t>93</t>
  </si>
  <si>
    <t>94</t>
  </si>
  <si>
    <t>95</t>
  </si>
  <si>
    <t>96</t>
  </si>
  <si>
    <t>96/18</t>
  </si>
  <si>
    <t>97</t>
  </si>
  <si>
    <t>98</t>
  </si>
  <si>
    <t>98110000-7 Послуги підприємницьких, професійних та спеціалізованих організацій</t>
  </si>
  <si>
    <t>99</t>
  </si>
  <si>
    <t>A-111218</t>
  </si>
  <si>
    <t>Denis.Serykh@biko.com.ua</t>
  </si>
  <si>
    <t>Ignatenko-new-line@ukr.net</t>
  </si>
  <si>
    <t>Iнтелект-Право + Приватне Пiдприємство</t>
  </si>
  <si>
    <t>KiloamperLLP@gmail.com</t>
  </si>
  <si>
    <t>M.LARINA@AVIAS.UA</t>
  </si>
  <si>
    <t>O.DERGACH@AVIAS.UA</t>
  </si>
  <si>
    <t>TENDER@DP.EPICENTRK.COM</t>
  </si>
  <si>
    <t>YARIK@UKRPAPIR.COM.UA</t>
  </si>
  <si>
    <t>_______</t>
  </si>
  <si>
    <t>___________</t>
  </si>
  <si>
    <t>achupinin@gmail.com</t>
  </si>
  <si>
    <t>alarmdp2017@gmail.com</t>
  </si>
  <si>
    <t>andreypuchkov78@gmail.com</t>
  </si>
  <si>
    <t>annav@ukrpapir.com.ua</t>
  </si>
  <si>
    <t>antink@mail.ru</t>
  </si>
  <si>
    <t>ao@ltd.com.ua</t>
  </si>
  <si>
    <t>arhangelm1113@gmail.com</t>
  </si>
  <si>
    <t>assenizator2018@gmail.com</t>
  </si>
  <si>
    <t>aurumltdu@gmail.com</t>
  </si>
  <si>
    <t>bklass@ua.fm</t>
  </si>
  <si>
    <t>blag2018@ua.fm</t>
  </si>
  <si>
    <t>boe@ak.ua</t>
  </si>
  <si>
    <t>bogdanovich1988@ukr.net</t>
  </si>
  <si>
    <t>bonuskontrakt@gmail.com</t>
  </si>
  <si>
    <t>byuroocenki@gmail.com</t>
  </si>
  <si>
    <t>cherevcenko@mail.ru</t>
  </si>
  <si>
    <t>cityparking@mail.ru</t>
  </si>
  <si>
    <t>dem2019@ukr.net</t>
  </si>
  <si>
    <t>dementyevm@gmail.com</t>
  </si>
  <si>
    <t>denis@podiya.com.ua</t>
  </si>
  <si>
    <t>dianetick0@gmail.com</t>
  </si>
  <si>
    <t>dmitry.chikalov1973@gmail.com</t>
  </si>
  <si>
    <t>dmitry_chikalov@mail.ru</t>
  </si>
  <si>
    <t>dniprolandshaft@gmail.com</t>
  </si>
  <si>
    <t>dniprozelenbud.llc@gmail.com</t>
  </si>
  <si>
    <t>dogovornoy3@dkt.dp.ua</t>
  </si>
  <si>
    <t>dpark@i.ua</t>
  </si>
  <si>
    <t>eagle30031990@gmail.com</t>
  </si>
  <si>
    <t>ekobud77@ukr.net</t>
  </si>
  <si>
    <t>evgen-rti@i.ua</t>
  </si>
  <si>
    <t>fedsvet1971@gmail.com</t>
  </si>
  <si>
    <t>feeling01@mail.ru</t>
  </si>
  <si>
    <t>fop.sokur@gmail.com</t>
  </si>
  <si>
    <t>fopholod@gmail.com</t>
  </si>
  <si>
    <t>galantyukartem@gmail.com</t>
  </si>
  <si>
    <t>germash@i.ua</t>
  </si>
  <si>
    <t>gilservis-2@i.ua</t>
  </si>
  <si>
    <t>grandprint777@gmail.com</t>
  </si>
  <si>
    <t>i.a.sedykh@gmail.com</t>
  </si>
  <si>
    <t>imviro@i.ua</t>
  </si>
  <si>
    <t>info.shapoval@gmail.com</t>
  </si>
  <si>
    <t>info@bezpeka.dp.ua</t>
  </si>
  <si>
    <t>itl254@yandex.ua</t>
  </si>
  <si>
    <t>ivkov@ua.fm</t>
  </si>
  <si>
    <t>jdankonkord@gmail.com</t>
  </si>
  <si>
    <t>julia.ups@i.ua</t>
  </si>
  <si>
    <t>k7.tender@epicentrk.com</t>
  </si>
  <si>
    <t>koretsky7@gmail.com</t>
  </si>
  <si>
    <t>koskor@i.ua</t>
  </si>
  <si>
    <t>kuznetzova.natalija2018@gmail.com</t>
  </si>
  <si>
    <t>kva04090@gmail.com</t>
  </si>
  <si>
    <t>l33718143l@gmail.com</t>
  </si>
  <si>
    <t>lesisad.dp.ua@gmail.com</t>
  </si>
  <si>
    <t>lisa_1957@ukr.net</t>
  </si>
  <si>
    <t>llcsodel@gmail.com</t>
  </si>
  <si>
    <t>lysyyvitaliy@gmail.com</t>
  </si>
  <si>
    <t>m.starodubec@biosphere-corp.com</t>
  </si>
  <si>
    <t>maf1@prodmashdnepr.com</t>
  </si>
  <si>
    <t>maf@prodmashdnepr.com</t>
  </si>
  <si>
    <t>mafstb@gmail.com</t>
  </si>
  <si>
    <t>magayag5@gmail.com</t>
  </si>
  <si>
    <t>maxim.dudenko@gmail.com</t>
  </si>
  <si>
    <t>melixova_nina@ukr.net</t>
  </si>
  <si>
    <t>mezhigirya@gmail.com</t>
  </si>
  <si>
    <t>mikhail-dn18@ukr.net</t>
  </si>
  <si>
    <t>mikhail-migol@yandex.ru</t>
  </si>
  <si>
    <t>mlg56@ukr.net</t>
  </si>
  <si>
    <t>monolitplatinum@gmail.com</t>
  </si>
  <si>
    <t>mp.ac.ukr@gmail.com</t>
  </si>
  <si>
    <t>n.deviatkin@mail.ru</t>
  </si>
  <si>
    <t>naryshkova.i@svitok.com.ua</t>
  </si>
  <si>
    <t>natalia.ivanchenko@glusco.swiss</t>
  </si>
  <si>
    <t>natalibraun1@yahoo.com</t>
  </si>
  <si>
    <t>new_bild_grup@ukr.net</t>
  </si>
  <si>
    <t>office@tch.com.ua</t>
  </si>
  <si>
    <t>oleskrapivniy@ukr.net</t>
  </si>
  <si>
    <t>olik_pol@ukr.net</t>
  </si>
  <si>
    <t>on-line_dnepr@ukr.net</t>
  </si>
  <si>
    <t>ooototal@rambler.ru</t>
  </si>
  <si>
    <t>oxz.sdc@gmail.com</t>
  </si>
  <si>
    <t>pavelgorak@gmail.com</t>
  </si>
  <si>
    <t>pitko-s-m@yandex.ru</t>
  </si>
  <si>
    <t>podiya.light@gmail.com</t>
  </si>
  <si>
    <t>pozhtech-v@i.ua</t>
  </si>
  <si>
    <t>pp.metaoil@gmail.com</t>
  </si>
  <si>
    <t>rb169581@gmail.com</t>
  </si>
  <si>
    <t>rudenkoyana40@gmail.com</t>
  </si>
  <si>
    <t>rudes.sales@gmail.com</t>
  </si>
  <si>
    <t>rzametall@gmail.com</t>
  </si>
  <si>
    <t>s_pol@i.ua</t>
  </si>
  <si>
    <t>saafinma@i.ua</t>
  </si>
  <si>
    <t>salebiko@gmail.com</t>
  </si>
  <si>
    <t>sales@expertgroup.com.ua</t>
  </si>
  <si>
    <t>sales@most-it.com.ua</t>
  </si>
  <si>
    <t>sav@ak.ua</t>
  </si>
  <si>
    <t>serg_77762@mail.ru</t>
  </si>
  <si>
    <t>sergey.oshega@gmail.com</t>
  </si>
  <si>
    <t>shchukina@meta.ua</t>
  </si>
  <si>
    <t>shitoffal@gmail.com</t>
  </si>
  <si>
    <t>shopin.s@ipcom.ua</t>
  </si>
  <si>
    <t>shulga1285a@gmail.com</t>
  </si>
  <si>
    <t>sofit700@gmail.com</t>
  </si>
  <si>
    <t>solomka.taras@icloud.com</t>
  </si>
  <si>
    <t>sotaplast@gmail.com</t>
  </si>
  <si>
    <t>spezkompl@sm.ukrtel.net</t>
  </si>
  <si>
    <t>svetakancler@gmail.com</t>
  </si>
  <si>
    <t>tantsiuran@gmail.com</t>
  </si>
  <si>
    <t>tender@clovin.com.ua</t>
  </si>
  <si>
    <t>tender@mbti.dp.ua</t>
  </si>
  <si>
    <t>terranika88@gmail.com</t>
  </si>
  <si>
    <t>tonicsvirid2013@ukr.net</t>
  </si>
  <si>
    <t>tpf-astra-ooo@yandex.ua</t>
  </si>
  <si>
    <t>ukrtree@gmail.com</t>
  </si>
  <si>
    <t>vedo@ua.fm</t>
  </si>
  <si>
    <t>victor.kozachok@gmail.com</t>
  </si>
  <si>
    <t>viktor_ligerko@dp.altsest.ua</t>
  </si>
  <si>
    <t>vip-yalunka@mail.ru</t>
  </si>
  <si>
    <t>vitalik0505dnepr@ukr.net</t>
  </si>
  <si>
    <t>vitlus18@ukr.net</t>
  </si>
  <si>
    <t>vladimirsivy89@gmail.com</t>
  </si>
  <si>
    <t>vodoley-dp@ukr.net</t>
  </si>
  <si>
    <t>vs.vorota@gmail.com</t>
  </si>
  <si>
    <t>y.maksimovskaja@ukraina-print.com</t>
  </si>
  <si>
    <t>yalunka.ukrainu@gmail.com</t>
  </si>
  <si>
    <t>yannbelousov@gmail.com</t>
  </si>
  <si>
    <t>yartas@mail.ru</t>
  </si>
  <si>
    <t>ystimhuk2017@gmail.com</t>
  </si>
  <si>
    <t>yu.krikun@nl.ua</t>
  </si>
  <si>
    <t>yurkov-87@ukr.net</t>
  </si>
  <si>
    <t>zes@podiya.com.ua</t>
  </si>
  <si>
    <t>zilach@ukr.net</t>
  </si>
  <si>
    <t xml:space="preserve">«Капітальний ремонт Парку ім. Писаржевського у м. Дніпрі» (Джерело фінансування: місцевий бюджет м.Дніпра)
</t>
  </si>
  <si>
    <t>«Капітальний ремонт центральної алеї парку  Зелений Гай у м. Дніпрі» Коригування (Коригування 3)</t>
  </si>
  <si>
    <t>«Капітальний ремонт центральної алеї парку  Зелений Гай у м. Дніпрі». Коригування (Коригування 2)</t>
  </si>
  <si>
    <t>«Коригування меж червоних ліній та ліній регулювання забудови парку ім. Писаржевського у м. Дніпрі»</t>
  </si>
  <si>
    <t>«Коригування червоних ліній просп. О. Поля та просп. Б. Хмельницького на ділянці між вулицями Титова та Гавриленка за місцем розташування парку ім. Писаржевського»</t>
  </si>
  <si>
    <t xml:space="preserve">«Послуги з розробки візуальної концепції (ескізу) об’єкту  «Івент-зона парку Зелений Гай» 
(Джерело фінансування: міський бюджет м. Дніпра)
</t>
  </si>
  <si>
    <t xml:space="preserve">«Поточний ремонт скверу Івана Старова» 
(Джерело фінансування: міський бюджет м. Дніпра)
</t>
  </si>
  <si>
    <t xml:space="preserve">«Поточний ремонт тротуарного покриття у сквері «Амурський парк» </t>
  </si>
  <si>
    <t>«Поточний ремонт тротуарного покриття»:«Поточний ремонт тротуарного покриття у парку Зелений Гай»</t>
  </si>
  <si>
    <t>«Поточний ремонт тротуарного покриття»:«Поточний ремонт тротуарного покриття у сквері «Амурський парк»</t>
  </si>
  <si>
    <t xml:space="preserve">«Реконструкція парку ім. Володі Дубініна у м. Дніпрі» (Коригування) від 11.11.2019
</t>
  </si>
  <si>
    <t>«Реконструкція парку ім.Володі Дубініна у  м. Дніпрі»  1, 2 та 3 пускові комплекси</t>
  </si>
  <si>
    <t>«Реконструкція парку ім.Володі Дубініна у м.Дніпрі». Коригування (Додаткові роботи)</t>
  </si>
  <si>
    <t>Ігрове обладнання</t>
  </si>
  <si>
    <t xml:space="preserve">Ігрове обладнання </t>
  </si>
  <si>
    <t>Ігрове обладнання для дитячо-спортивного майданчика за адресою: м. Дніпро, вул. Коробова,20</t>
  </si>
  <si>
    <t>Ігрове обладнання для майданчиків</t>
  </si>
  <si>
    <t>Ігрове обладнання для облаштування дитячого майданчику «Гайочок дитячих розваг»</t>
  </si>
  <si>
    <t>Інвентаризація нерухомого майна та зелених насаджень стадіону  по вул. Євгена Маланюка (вул. Кантемирівська), 1 (Самарський район).:Інвентаризація зелених насаджень стадіону  по вул. Євгена Маланюка (вул. Кантемирівська), 1 (Самарський район)</t>
  </si>
  <si>
    <t>Інвентаризація нерухомого майна та зелених насаджень стадіону  по вул. Євгена Маланюка (вул. Кантемирівська), 1 (Самарський район).:Інвентаризація нерухомого майна стадіону  по вул. Євгена Маланюка (вул. Кантемирівська), 1 (Самарський район).</t>
  </si>
  <si>
    <t>Інформацйно-технологічний супровід Програми 1С</t>
  </si>
  <si>
    <t>Інформаційний банер</t>
  </si>
  <si>
    <t xml:space="preserve">Інформаційно-консультативні послуги по роботі з програмним забезпеченням </t>
  </si>
  <si>
    <t>Інформаційні плакати</t>
  </si>
  <si>
    <t xml:space="preserve">Інформаційні плакати та супутня продукція пов'язана з COVID-19 </t>
  </si>
  <si>
    <t>Інформаційні таблички</t>
  </si>
  <si>
    <t xml:space="preserve">Інформаційні таблички </t>
  </si>
  <si>
    <t xml:space="preserve">Інформаційні таблички (Джерело фінансування: місцевий бюджет м. Дніпра) </t>
  </si>
  <si>
    <t>АКЦІОНЕРНЕ ТОВАРИСТВО "ДТЕК ДНІПРОВСЬКІ ЕЛЕКТРОМЕРЕЖІ"</t>
  </si>
  <si>
    <t>АН 01/08-2018</t>
  </si>
  <si>
    <t>АН 01/08-2019</t>
  </si>
  <si>
    <t>АН 20/01-2017</t>
  </si>
  <si>
    <t>АТ "Дніпропетровська філія  "Альцест"</t>
  </si>
  <si>
    <t xml:space="preserve">Авторський нагляд з виконання проекту: "Капітальний ремонт Парку ім. Писаржевського у м. Дніпрі"(Джерело фінансування: міський бюджет м. Дніпра)
</t>
  </si>
  <si>
    <t>Авторський нагляд з виконання проекту: "Реконструкція парку ім. Володі Дубініна у м. Дніпрі"(Коригування) від 11.11.2019</t>
  </si>
  <si>
    <t>Аксесуари до робочого одягу (захисний щиток для обличчя для захисту від гострої респіраторної хвороби COVID-19 спричиненої коронавірусом SARS-CoV-2)</t>
  </si>
  <si>
    <t>Аксесуари індивідуального захисту до робочого одягу (респіратори, фільтри)</t>
  </si>
  <si>
    <t>Акустичні колонки. За ДК 021:2015 Код 32342400-6 Акустичні пристрої</t>
  </si>
  <si>
    <t xml:space="preserve">Альтанка (Джерело фінансування: міський бюджет м. Дніпра) </t>
  </si>
  <si>
    <t>Альтанки (Джерело фінансування: міський бюджет м. Дніпра)</t>
  </si>
  <si>
    <t>Антисептичені засоби</t>
  </si>
  <si>
    <t>Архістратіг -М ТОВ</t>
  </si>
  <si>
    <t>Б/Н</t>
  </si>
  <si>
    <t>Багаторічні насадження</t>
  </si>
  <si>
    <t xml:space="preserve">Багаторічні насадження </t>
  </si>
  <si>
    <t>Багаторічні насадження (Газонна трава)</t>
  </si>
  <si>
    <t xml:space="preserve">Багаторічні насадження (Джерело фінансування: міський бюджет м. Дніпра) </t>
  </si>
  <si>
    <t xml:space="preserve">Багаторічні насадження (Джерело фінансування: міський бюджет м. Дніпра) 
</t>
  </si>
  <si>
    <t>Багаторічні насадження (Розсадницька продукція)</t>
  </si>
  <si>
    <t>Банер</t>
  </si>
  <si>
    <t xml:space="preserve">Безкаркасний дах для зони патіо (Джерело фінансування: міський бюджет м. Дніпра) </t>
  </si>
  <si>
    <t>Бензин</t>
  </si>
  <si>
    <t xml:space="preserve">Бензин За ДК 021:2015 Код 09132000-3   (Бензин А 92 Energy) </t>
  </si>
  <si>
    <t xml:space="preserve">Бензопила За ДК 021:2015 Код 43812000-8 Пиляльне обладнання </t>
  </si>
  <si>
    <t>Бетонозмішувач</t>
  </si>
  <si>
    <t>Блажко Анатолій Андрійович</t>
  </si>
  <si>
    <t>Бокс антивандальний для дезінфікуючого засобу</t>
  </si>
  <si>
    <t xml:space="preserve">Бокс для шахів </t>
  </si>
  <si>
    <t>Будівельні матеріали</t>
  </si>
  <si>
    <t xml:space="preserve">Будівельні матеріали </t>
  </si>
  <si>
    <t>Будівельні матеріали (Джерело фінансування: місцевий бюджет м. Дніпра)</t>
  </si>
  <si>
    <t xml:space="preserve">Будівельні матеріали (Джерело фінансування: міський бюджет м. Дніпра) </t>
  </si>
  <si>
    <t>Будівництво багатоцільового спортивного об'єкту</t>
  </si>
  <si>
    <t>Біндер</t>
  </si>
  <si>
    <t>Біном</t>
  </si>
  <si>
    <t>Вазони</t>
  </si>
  <si>
    <t xml:space="preserve">Вазони СPV 39298900-6 Декоративні вироби різні </t>
  </si>
  <si>
    <t>Виконання проектно-вишукувальних робiт  по об`єкту «Реконструкція парку ім. Володі Дубініна у  м. Дніпрі» За ДК 021:2015 Код 71220000-6  Послуги з архітектурного проектування виконання проектно-вишукувальних робіт.</t>
  </si>
  <si>
    <t>Виконання проектно-вишукувальних робiт  по об`єкту «Реконструкція парку ім. Писаржевського у  м. Дніпрі» За ДК 021:2015 Код 71220000-6  Послуги з архітектурного проектування виконання проектно-вишукувальних робіт.</t>
  </si>
  <si>
    <t>Виконання інженерно-геодезичні послуги</t>
  </si>
  <si>
    <t>Вимірювальні прилади</t>
  </si>
  <si>
    <t xml:space="preserve">Вимірювальні прилади </t>
  </si>
  <si>
    <t>Висоторіз у комплекті (2 акумулятори, 1 зарядний пристрій) За ДК 021:2015 Код 33916100-5 Пили для ростину</t>
  </si>
  <si>
    <t>Виставкове обладнання</t>
  </si>
  <si>
    <t>Виставкове обладнання, 2000х2430 мм</t>
  </si>
  <si>
    <t>Виставкові стенди</t>
  </si>
  <si>
    <t xml:space="preserve">Витратні матеріали для електроінструментів </t>
  </si>
  <si>
    <t>Вказівники</t>
  </si>
  <si>
    <t xml:space="preserve">Вогнегасники </t>
  </si>
  <si>
    <t>Водопостачання парків</t>
  </si>
  <si>
    <t>Водопровідні труби та супутні вироби</t>
  </si>
  <si>
    <t>Ворота</t>
  </si>
  <si>
    <t xml:space="preserve">Встановлення та обслуговування біотуалетів </t>
  </si>
  <si>
    <t xml:space="preserve">Встановлення та обслуговування біотуалетів СPV 90600000-3 Послуги з прибирання й асенізації для міських та сільських громад та супутні послуги. </t>
  </si>
  <si>
    <t>Відбійний молоток</t>
  </si>
  <si>
    <t>Відкриті торги</t>
  </si>
  <si>
    <t>Відкриті торги з публікацією англійською мовою</t>
  </si>
  <si>
    <t>Відпала потреба</t>
  </si>
  <si>
    <t>Відсутня подальша потреба в закупівлі, відповідно до ст.31 ЗУ "Про публічні закупівлі"</t>
  </si>
  <si>
    <t>Відсутність кількісних характеристик у технічних вимогах унеможливлює визначення обсягу послуг</t>
  </si>
  <si>
    <t>Гаврилов Дмитро Дмитрович</t>
  </si>
  <si>
    <t xml:space="preserve">Газонна трава (в рулонах) (Джерело фінансування: міський бюджет м. Дніпра) </t>
  </si>
  <si>
    <t>Газонокосарка (Джерело фінансування: місцевий бюджет м. Дніпра)</t>
  </si>
  <si>
    <t>Газонокосарки За ДК 021:2015 Код 16311000-8 Газонокосарки</t>
  </si>
  <si>
    <t>Гаражі</t>
  </si>
  <si>
    <t>Генератор</t>
  </si>
  <si>
    <t>Генератор. За ДК 021:2015 Код 31120000-3 Генератори</t>
  </si>
  <si>
    <t xml:space="preserve">Гойдалки паркові  </t>
  </si>
  <si>
    <t>Господарський інвентар</t>
  </si>
  <si>
    <t>Господарчий інвентар</t>
  </si>
  <si>
    <t xml:space="preserve">Господарчий інвентар   </t>
  </si>
  <si>
    <t>Господарчий інвентар (Джерело фінансування: місцевий бюджет м. Дніпра)</t>
  </si>
  <si>
    <t>Господарчі товари</t>
  </si>
  <si>
    <t xml:space="preserve">Господарчі товари
</t>
  </si>
  <si>
    <t xml:space="preserve">Господарчі товари  </t>
  </si>
  <si>
    <t xml:space="preserve">Господарчі товари  
</t>
  </si>
  <si>
    <t>Господарчі товари (Джерело фінансування: місцевий бюджет м. Дніпра)</t>
  </si>
  <si>
    <t>Господарчі товари (Джерело фінансування: міський бюджет м. Дніпра)</t>
  </si>
  <si>
    <t xml:space="preserve">Господарчі товари (Джерело фінансування: міський бюджет м. Дніпра) </t>
  </si>
  <si>
    <t>Господарчі товари (Оприскувач акумуляторний для боротьби з COVID -19)</t>
  </si>
  <si>
    <t>Гранд Принт 25 Товариство З Обмеженою Вiдповiдальнiстю</t>
  </si>
  <si>
    <t>Гумове покриття</t>
  </si>
  <si>
    <t xml:space="preserve">Гумове покриття Тартан </t>
  </si>
  <si>
    <t>Гімнастичний інвентар</t>
  </si>
  <si>
    <t>ДД 11/03</t>
  </si>
  <si>
    <t>ДЕМИДЕНКО ОЛЕКСАНДР ОЛЕКСАНДРОВИЧ</t>
  </si>
  <si>
    <t>ДЕМЧЕНКО ЄВГЕНІЙ ДМИТРОВИЧ</t>
  </si>
  <si>
    <t>ДЕРЖАВНЕ ПІДПРИЄМСТВО "ДЕРЖАВНИЙ ІНСТИТУТ ПО ПРОЕКТУВАННЮ ПІДПРИЄМСТВ ГІРНИЧОРУДНОЇ ПРОМИСЛОВОСТІ "КРИВБАСПРОЕКТ"</t>
  </si>
  <si>
    <t>ДЕРЖАВНИЙ ЗАКЛАД "СПЕЦІАЛІЗОВАНА БАГАТОПРОФІЛЬНА ЛІКАРНЯ №1 МІНІСТЕРСТВА ОХОРОНИ ЗДОРОВ’Я УКРАЇНИ"</t>
  </si>
  <si>
    <t>ДК 021:2015  39154100-7 Виставкові стенди</t>
  </si>
  <si>
    <t xml:space="preserve">ДК 021:2015  Код 38600000-1 Оптичні прилади : ДК 021:2015  Код 38652100-1 Проектор </t>
  </si>
  <si>
    <t>ДК 021:2015  Код 38600000-1 Оптичні прилади :ДК 021:2015 Код 38653400-1 Проекційний екран</t>
  </si>
  <si>
    <t>ДК 021:2015 39531000-3 Килимова доріжка:ДК 021:2015 39531000-3 Килимова доріжка</t>
  </si>
  <si>
    <t>ДК 021:2015 39531000-3 Килимова доріжка:Лот 1 ДК 021:2015 39531000-3 Килимова доріжка</t>
  </si>
  <si>
    <t>ДК 021:2015 39531000-3 Килимова доріжка:Лот 2 ДК 021:2015 39531000-3 Килимова доріжка</t>
  </si>
  <si>
    <t xml:space="preserve">ДК 021:2015 Код 30191000 Проекційний стіл </t>
  </si>
  <si>
    <t xml:space="preserve">ДК 021:2015 Код 30191000- 4 Проекційний стіл </t>
  </si>
  <si>
    <t>ДК 021:2015 Код 39298910-9 Новорічні ялинки</t>
  </si>
  <si>
    <t xml:space="preserve">ДК 021:2015 Код 45212220-4 Виконання проектно-вишукувальних робiт  по об`єкту: «Реконструкція стадіону «Авангард» по вул. Євгена Маланюка,1 у м. Дніпрі» </t>
  </si>
  <si>
    <t xml:space="preserve">ДК 021:2015 Код 48624000-8 Операційна система Windows 10 Home </t>
  </si>
  <si>
    <t>ДК 021:2015 Код 77310000-6 Санітарна та формовочна обрізка, зняття аварійних дерев на території парку Зелений Гай у м. Дніпрі</t>
  </si>
  <si>
    <t>ДК 021:2015 Код 90511000-2 : Послуги зі збирання сміття на території парку «Зелений Гай»  (ім. Ленінського комсомолу) по вул. Олександра Макарова в районі будинку № 27А (Чечелівський (Красногавардійський ) район)</t>
  </si>
  <si>
    <t>ДК 021:2015 Код 90512000-9 : Послуги з перевезення сміття (ліквідація стихійних звалищ) з території парку «Зелений Гай» (ім. Ленінського комсомолу) по вул, Олександра Макарова в районі будинку № 27А (Чечелівський (Красногавардійський ) район)</t>
  </si>
  <si>
    <t>ДНІПРОПЕТРОВСЬКИЙ РЕГІОНАЛЬНИЙ ЦЕНТР З ГІДРОМЕТЕОРОЛОГІЇ</t>
  </si>
  <si>
    <t>ДОЧІРНЄ ІНОЗЕМНЕ ПІДПРИЄМСТВО "ДНІПРОДОР"</t>
  </si>
  <si>
    <t>ДОЧІРНЄ ПІДПРИЄМСТВО "ДНІПРОПЕТРОВСЬКИЙ НАВЧАЛЬНО-КУРСОВИЙ КОМБІНАТ "МОНОЛІТ" ДЕРЖАВНОГО ПУБЛІЧНОГО АКЦІОНЕРНОГО ТОВАРИСТВА "БУДІВЕЛЬНА КОМПАНІЯ "УКРБУД"</t>
  </si>
  <si>
    <t>ДП "Дніпроводоканал" ДМР</t>
  </si>
  <si>
    <t>ДП Форест-Д</t>
  </si>
  <si>
    <t>Дата публікації закупівлі</t>
  </si>
  <si>
    <t xml:space="preserve">Дезінфекційний засіб в концентрованому вигляді </t>
  </si>
  <si>
    <t xml:space="preserve">Декоративні вироби різні </t>
  </si>
  <si>
    <t>Декоративні фігури</t>
  </si>
  <si>
    <t>Демонтаж новорічних ялинок з прикрасами</t>
  </si>
  <si>
    <t>Демонтаж світлодіодних прикрас</t>
  </si>
  <si>
    <t>Дерев’яні вироби</t>
  </si>
  <si>
    <t xml:space="preserve">Дерев’яні вироби </t>
  </si>
  <si>
    <t xml:space="preserve">Дитячий лабіринт </t>
  </si>
  <si>
    <t xml:space="preserve">Дитячі ігрові комплекси  </t>
  </si>
  <si>
    <t xml:space="preserve">Дитячій ігровий комплекс </t>
  </si>
  <si>
    <t>Добрива</t>
  </si>
  <si>
    <t>Добрива СPV 24440000-0 Добрива різні</t>
  </si>
  <si>
    <t>Допорогова закупівля</t>
  </si>
  <si>
    <t>Драбини</t>
  </si>
  <si>
    <t xml:space="preserve">Драбини СPV 44423220-9 Розкладні драбини  </t>
  </si>
  <si>
    <t>Електрична енергія</t>
  </si>
  <si>
    <t xml:space="preserve">Електрична енергія </t>
  </si>
  <si>
    <t xml:space="preserve">Електричні інструменти </t>
  </si>
  <si>
    <t xml:space="preserve">Електричні інструменти (Джерело фінансування: місцевий бюджет м. Дніпра) </t>
  </si>
  <si>
    <t>Електроінструменти</t>
  </si>
  <si>
    <t>Електроінструменти CPV- 43830000-0 Електричні інструменти</t>
  </si>
  <si>
    <t xml:space="preserve">За ДК 021:2015 Код 09211000-1 Мастило трансмісійне, масло для ланцюгів електро- та бензопил, масло Т2 для 2-х тактних двигунів, моторне масло (Мастильні оливи та мастильні матеріали)  </t>
  </si>
  <si>
    <t>Закупівля без використання електронної системи</t>
  </si>
  <si>
    <t xml:space="preserve">Закупівля була огорошена на очикуванц вартість, на даний ча </t>
  </si>
  <si>
    <t>Заправка картриджів СPV 50312000- 5 Технічне обслуговування і ремонт комп’ютерного обладнання</t>
  </si>
  <si>
    <t>Запчастини для обладнання</t>
  </si>
  <si>
    <t xml:space="preserve">Запчастини для обладнання </t>
  </si>
  <si>
    <t xml:space="preserve">Запчастини для обладнання (Джерело фінансування: місцевий бюджет м. Дніпра) </t>
  </si>
  <si>
    <t xml:space="preserve">Запчастини для ігрового обладнання  </t>
  </si>
  <si>
    <t>Засоби для захисту від гострої респіраторної хвороби COVID-19 (маска медична захисна, рукавички медичні (розміри S, M, L, XL), дезінфек-ційний засіб DEZ-330, дезінфекційний засіб для рук “Антисептичний”)</t>
  </si>
  <si>
    <t>Захисні засоби</t>
  </si>
  <si>
    <t xml:space="preserve">Захисні засоби
</t>
  </si>
  <si>
    <t>Збільшення замовником виконання послуг</t>
  </si>
  <si>
    <t>Звітувати про виконання</t>
  </si>
  <si>
    <t>Зміна обсягів необхідного товару</t>
  </si>
  <si>
    <t>Зміна обсягів та технічних вимог</t>
  </si>
  <si>
    <t>КАНІБОЛОЦЬКА ІРИНА ВАЛЕРІЇВНА</t>
  </si>
  <si>
    <t>КОВТУН ІВАН ОЛЕГОВИЧ</t>
  </si>
  <si>
    <t>КОМУНАЛЬНЕ ПІДПРИЄМСТВО "ДНІПРОВОДОКАНАЛ" ДНІПРОВСЬКОЇ МІСЬКОЇ РАДИ</t>
  </si>
  <si>
    <t>КОМУНАЛЬНЕ ПІДПРИЄМСТВО "ЖИЛСЕРВІС-2" ДНІПРОВСЬКОЇ МІСЬКОЇ РАДИ</t>
  </si>
  <si>
    <t>КОМУНАЛЬНЕ ПІДПРИЄМСТВО "УПРАВЛІННЯ ПО РЕМОНТУ ТА ЕКСПЛУАТАЦІЇ АВТОШЛЯХІВ" ДНІПРОВСЬКОЇ МІСЬКОЇ РАДИ</t>
  </si>
  <si>
    <t>КП "Дніпропетровське міжміське бюро технічної інвентаризації" Дніпропетровської обласної ради</t>
  </si>
  <si>
    <t>КП "ЖИЛСЕРВІС-2" ДНІПРОВСЬКОЇ МІСЬКОЇ РАДИ"</t>
  </si>
  <si>
    <t>КУЦ ЛІДІЯ ГРИГОРІВНА</t>
  </si>
  <si>
    <t>Кабель</t>
  </si>
  <si>
    <t>Кабель CPV 44320000-9 Кабелі та супутня продукція</t>
  </si>
  <si>
    <t>Кабелі та супутня продукція</t>
  </si>
  <si>
    <t xml:space="preserve">Кабелі та супутня продукція </t>
  </si>
  <si>
    <t>Кабелі та супутня продукція (Джерело фінансування: місцевий бюджет м. Дніпра)</t>
  </si>
  <si>
    <t xml:space="preserve">Кабелі та супутня продукція (Джерело фінансування: місцевий бюджет м. Дніпра) </t>
  </si>
  <si>
    <t>Кабелі та супутня продукція За ДК 021:2015 Код 44320000-9 Кабелі та супутня продукція</t>
  </si>
  <si>
    <t>Кабелі та супутня продукція СPV 4432000-9 Кабель та супутня продукція</t>
  </si>
  <si>
    <t>Кабелі та супутні товари</t>
  </si>
  <si>
    <t>Кабелі та супутні товари (Джерело фінансування: міський бюджет м. Дніпра)</t>
  </si>
  <si>
    <t>Канцелярського приладдя За ДК 021:2015 Код 39260000-2 Секційні лотки та канцелярське приладдя</t>
  </si>
  <si>
    <t>Канцелярські товари</t>
  </si>
  <si>
    <t xml:space="preserve">Канцелярські товари (Джерело фінансування: міський бюджет м. Дніпра) </t>
  </si>
  <si>
    <t>Канцелярські товари За ДК 021:2015 Код 30190000-7 Офісне устаткування та приладдя різне</t>
  </si>
  <si>
    <t>Капітальний ремонт газону звичайного 7730м² у парку Зелений Гай у м. Дніпрі</t>
  </si>
  <si>
    <t>Капітальний ремонт центральної алеї парку Зелений Гай у м. Дніпрі (Додаткові роботи)</t>
  </si>
  <si>
    <t>Капітальний ремонт центральної алеї парку Зелений Гай у м.Дніпрі</t>
  </si>
  <si>
    <t>Картриджі</t>
  </si>
  <si>
    <t>Квитки</t>
  </si>
  <si>
    <t>Класифікатор</t>
  </si>
  <si>
    <t>Кобиляцький Віктор Андрійович</t>
  </si>
  <si>
    <t xml:space="preserve">Колодязь дерев’яний </t>
  </si>
  <si>
    <t>Ком'ютерна програма "1 С: Підприємство 8. Клієнтська ліцензія на 1р.м.(програмний захист)"</t>
  </si>
  <si>
    <t>Комар Наталія Миколаївна</t>
  </si>
  <si>
    <t xml:space="preserve">Комплекс ігрового обладнання для дитячого майданчика за адресою: ж/м Червоний Камінь,5 </t>
  </si>
  <si>
    <t>Комплект гумового покриття для дитячого майданчика за адресою: ж/м Червоний Камінь, буд.5</t>
  </si>
  <si>
    <t>Комплект гумового покриття для спортивних та дитячих майданчиків на території м. Дніпра</t>
  </si>
  <si>
    <t>Комплект для зони патіо. (Джерело фінансування: міський бюджет м. Дніпра)</t>
  </si>
  <si>
    <t>Комплект обладнання для системи відеоспостереження</t>
  </si>
  <si>
    <t xml:space="preserve">Компресор (Джерело фінансування: місцевий бюджет м. Дніпра) </t>
  </si>
  <si>
    <t>Комп’ютерна техніка</t>
  </si>
  <si>
    <t>Комп’ютерне обладнання</t>
  </si>
  <si>
    <t xml:space="preserve">Комп’ютерне обладнання </t>
  </si>
  <si>
    <t>Комунальне підприємство "Дніпроводоканал" ДМР</t>
  </si>
  <si>
    <t>Консалтингові послуги</t>
  </si>
  <si>
    <t>Конструкційні вироби:Лот 1. Комплект парковий «Барбекю»</t>
  </si>
  <si>
    <t>Конструкційні вироби:Лот 2. Ворота</t>
  </si>
  <si>
    <t>Косарки</t>
  </si>
  <si>
    <t>Костюми</t>
  </si>
  <si>
    <t>ЛАКТІОНОВ ДМИТРО МИХАЙЛОВИЧ</t>
  </si>
  <si>
    <t>Лавка паркова «Змійка»</t>
  </si>
  <si>
    <t>Лавки</t>
  </si>
  <si>
    <t>Лавки  СPV – 44316500-3 Ковані вироби.</t>
  </si>
  <si>
    <t>Лампа ДК 021:2015 Код 31682000-0  Електричне приладдя</t>
  </si>
  <si>
    <t>Лежак парковий (Джерело фінансування: міський бюджет м. Дніпра)</t>
  </si>
  <si>
    <t xml:space="preserve">Ліхтар вуличного освітлення фігурний </t>
  </si>
  <si>
    <t xml:space="preserve">Ліхтар декоративний парковий </t>
  </si>
  <si>
    <t>Лічильник (Джерело фінансування: місцевий бюджет м. Дніпра)</t>
  </si>
  <si>
    <t>М/98/01/2020</t>
  </si>
  <si>
    <t>МАРТИНЮК АНДРІЙ МИХАЙЛОВИЧ</t>
  </si>
  <si>
    <t>МОСКАЛЕНКО ОЛЕКСАНДР МИКОЛАЙОВИЧ</t>
  </si>
  <si>
    <t>МОСКАЛЬЧЕНКО ЛЕОНІД ГАВРИЛОВИЧ</t>
  </si>
  <si>
    <t>МУСЕНКО КАТЕРИНА ВІКТОРІВНА</t>
  </si>
  <si>
    <t xml:space="preserve">Мангал (Джерело фінансування: міський бюджет м. Дніпра) </t>
  </si>
  <si>
    <t xml:space="preserve">Масла СPV 09211000-1 Мастильні оливи та мастильні матеріали  </t>
  </si>
  <si>
    <t>Мастерджем Товариство З Обмеженою Вiдповiдальнiстю</t>
  </si>
  <si>
    <t>Мастила</t>
  </si>
  <si>
    <t>Мастило</t>
  </si>
  <si>
    <t>Матеріали для поливальної системи</t>
  </si>
  <si>
    <t xml:space="preserve">Матеріали для поливальної системи
( Джерело фінансування: міський бюджет м. Дніпра)
</t>
  </si>
  <si>
    <t xml:space="preserve">Матеріали для поливальної системи (Джерело фінансування: міський бюджет м. Дніпра)
</t>
  </si>
  <si>
    <t>Матеріали для системи поливу (Джерело фінансування: міський бюджет м. Дніпра)</t>
  </si>
  <si>
    <t>Матеріали для системи туманоутворення</t>
  </si>
  <si>
    <t>Меблі</t>
  </si>
  <si>
    <t xml:space="preserve">Меблі садові  </t>
  </si>
  <si>
    <t>Мега-Майстер</t>
  </si>
  <si>
    <t>Медичний огляд</t>
  </si>
  <si>
    <t>Металева конструкція</t>
  </si>
  <si>
    <t>Модульні споруди</t>
  </si>
  <si>
    <t xml:space="preserve">Модульні споруди
(Джерело фінансування: міський бюджет м. Дніпра)
</t>
  </si>
  <si>
    <t xml:space="preserve">Модульні споруди </t>
  </si>
  <si>
    <t>Модульні споруди (Дерев’яна альтанка в комплекті з меблями)</t>
  </si>
  <si>
    <t xml:space="preserve">Модульні споруди (Джерело фінансування: міський бюджет м. Дніпра) 
</t>
  </si>
  <si>
    <t>Модульні споруди (Побутовий будиночок)</t>
  </si>
  <si>
    <t>Модульні споруди:Лот1 Дерев’яна альтанка в комплекті з меблями</t>
  </si>
  <si>
    <t>Модульні споруди:Лот2 Побутовий будиночок</t>
  </si>
  <si>
    <t>Модульні та переносні споруди</t>
  </si>
  <si>
    <t xml:space="preserve">Монтаж новорічних ялинок з прикрасами (Джерело фінансування: міський бюджет м. Дніпра)  </t>
  </si>
  <si>
    <t xml:space="preserve">Монтаж світлодіодних прикрас (Джерело фінансування: міський бюджет м. Дніпра)
</t>
  </si>
  <si>
    <t>Монтаж світлодіодних фігур та приладів</t>
  </si>
  <si>
    <t>Монтаж та демонтаж :Лот -1 Монтаж та демонтаж святкових прикрас</t>
  </si>
  <si>
    <t>Монтаж та демонтаж :Лот -2 Монтаж та демонтаж ялинок та святкових прикрас</t>
  </si>
  <si>
    <t xml:space="preserve">Монтаж та демонтаж святкових прикрас </t>
  </si>
  <si>
    <t>Монтаж та демонтаж світлодіодних фігур</t>
  </si>
  <si>
    <t xml:space="preserve">Монтажні та демонтажні послуги «під ключ» </t>
  </si>
  <si>
    <t>Монтажні та демонтажні послуги «під ключ» За ДК 021:2015 Код 50000000-5  Послуги з ремонту і технічного обслуговування</t>
  </si>
  <si>
    <t>Мороз Ігор Леонідович</t>
  </si>
  <si>
    <t>Москаленко  Олександр Миколайович</t>
  </si>
  <si>
    <t>Москальченко Леонід Гаврилович</t>
  </si>
  <si>
    <t>Мотокоси За ДК 021:2015 Код 16311100-9 Косарки для газонів, парків і спортивних майданчиків</t>
  </si>
  <si>
    <t>Навіс</t>
  </si>
  <si>
    <t>Надання послуги з встановленням програми АВК-5 СPV 72260000 - Послуги, пов’язані з програмним забезпеченням</t>
  </si>
  <si>
    <t>Насос у комплекті</t>
  </si>
  <si>
    <t xml:space="preserve">Новорічна ялинка </t>
  </si>
  <si>
    <t>Новорічна ялинка у комплекті з огорожою</t>
  </si>
  <si>
    <t xml:space="preserve">Новорічна ялинка у комплекті з огорожою </t>
  </si>
  <si>
    <t>Новорічні іграшки</t>
  </si>
  <si>
    <t xml:space="preserve">Новорічні іграшки </t>
  </si>
  <si>
    <t>Новорічні іграшки. За ДК 021:2015 Код 37520000-9 Іграшки</t>
  </si>
  <si>
    <t>Обладнання для експлуатації майданчиків:Дитячий майданчик у дворі між будинками по просп. Гагаріна,131, м. Дніпро</t>
  </si>
  <si>
    <t>Обладнання для експлуатації майданчиків:Спортивний майданчик (баскетбольне поле) між будинками просп. Гагаріна №161,163 та 165, м .Дніпро</t>
  </si>
  <si>
    <t>Обладнання для експлуатації майданчиків:Спортивний та дитячий майданчик між будинками по вул. Полігонній, 23, м. Дніпро</t>
  </si>
  <si>
    <t>Обладнання для облаштування мотузкового комплексу  «Кленовий байрак»</t>
  </si>
  <si>
    <t xml:space="preserve">Обладнання для облаштування мотузкового комплексу  «Кленовий байрак» </t>
  </si>
  <si>
    <t xml:space="preserve">Обладнання для поливальної системи </t>
  </si>
  <si>
    <t>Обладнання для поливальної системи та дренажу</t>
  </si>
  <si>
    <t xml:space="preserve">Обслуговування біотуалетів </t>
  </si>
  <si>
    <t>Обігрівачі</t>
  </si>
  <si>
    <t>Обігрівачі інфрачервоний та масляний для приміщень:Обігрівач масляний для приміщень</t>
  </si>
  <si>
    <t>Обігрівачі інфрачервоний та масляний для приміщень:Обігрівач інфрачервоний  для приміщень</t>
  </si>
  <si>
    <t>Огорожа</t>
  </si>
  <si>
    <t>Огорожа (Джерело фінансування: місцевий бюджет м. Дніпра)</t>
  </si>
  <si>
    <t xml:space="preserve">Огорожа (Джерело фінансування: міський бюджет м. Дніпра) </t>
  </si>
  <si>
    <t>Огорожа дерев'яна</t>
  </si>
  <si>
    <t>Огорожа для ялинки</t>
  </si>
  <si>
    <t xml:space="preserve">Огорожа для ялинки </t>
  </si>
  <si>
    <t>Огорожа для ялинки (Джерело фінансування: місцевий бюджет м. Дніпра)</t>
  </si>
  <si>
    <t>Огорожа для ялинок (збірна конструкція)   За ДК 021:2015 Код 34928200-0  Огорожа</t>
  </si>
  <si>
    <t>Омолодження зелених насаджень на території парку ім. Писаржевського у м. Дніпрі CPV- 77310000-6 Послуги з озеленення територій та утримання зелених насаджень.</t>
  </si>
  <si>
    <t>Опори</t>
  </si>
  <si>
    <t>Оренда нежитлового приміщення</t>
  </si>
  <si>
    <t>Освітлення для ялинки За ДК 021:2015 Код 31522000-1 (Ялинкові електричні гірлянди)</t>
  </si>
  <si>
    <t>Освітлювальне обладнання СPV – 31500000-1 Освітлювальне обладнання та електричні лампи.</t>
  </si>
  <si>
    <t>ПАТ " ДТЕК ДНІПРООБЛЕНЕРГО"</t>
  </si>
  <si>
    <t>ПАТ "ДТЕК ДНІПРООБЛЕНЕРГО"</t>
  </si>
  <si>
    <t>ПАТ "ОДЕСЬКА КІНОСТУДІЯ"</t>
  </si>
  <si>
    <t>ПОДУШКІН ЛЕОНІД ВІКТОРОВИЧ</t>
  </si>
  <si>
    <t>ПОЛЮШКІН СЕРГІЙ СЕРГІЙОВИЧ</t>
  </si>
  <si>
    <t>ПП "Європа-Схід"</t>
  </si>
  <si>
    <t>ПП "Вірго Инвест Украина"</t>
  </si>
  <si>
    <t>ПП "КОМПАНІЯ "ПРІМАВЕРА"</t>
  </si>
  <si>
    <t>ПП "Осауленко Алексей Владимирович"</t>
  </si>
  <si>
    <t>ПП "РЕГІОН 21"</t>
  </si>
  <si>
    <t>ПП "Спецкомплект"</t>
  </si>
  <si>
    <t>ПП "ФЕНІКС"</t>
  </si>
  <si>
    <t>ПП "Фарматех"</t>
  </si>
  <si>
    <t>ПП "Ялинка України"</t>
  </si>
  <si>
    <t>ПП АВАНТАЖ ПЛЮС</t>
  </si>
  <si>
    <t>ПП ЗАГАЛЬНЕ БУДІВНИЦТВО</t>
  </si>
  <si>
    <t>ПРИВАТНЕ АКЦІОНЕРНЕ ТОВАРИСТВО "АЛЬЦЕСТ"</t>
  </si>
  <si>
    <t>ПРИВАТНЕ АКЦІОНЕРНЕ ТОВАРИСТВО "НОВА ЛІНІЯ"</t>
  </si>
  <si>
    <t>ПРИВАТНЕ АКЦІОНЕРНЕ ТОВАРИСТВО "ПІДПРИЄМСТВО З ЕКСПЛУАТАЦІЇ ЕЛЕКТРИЧНИХ МЕРЕЖ "ЦЕНТРАЛЬНА ЕНЕРГЕТИЧНА КОМПАНІЯ"</t>
  </si>
  <si>
    <t>ПРИВАТНЕ НАУКОВО-ВИРОБНИЧЕ ПІДПРИЄМСТВО "МАГНІТА"</t>
  </si>
  <si>
    <t>ПРИВАТНЕ ПІДПРИЄМСТВО "ГІДРОБУД"</t>
  </si>
  <si>
    <t>ПРИВАТНЕ ПІДПРИЄМСТВО "ГЛОРІЯ- ТЕТ"</t>
  </si>
  <si>
    <t>ПРИВАТНЕ ПІДПРИЄМСТВО "ФЕНІКС"</t>
  </si>
  <si>
    <t>ПРИВАТНЕ ПІДПРИЄМСТВО "ХІМІЧНА ТОРГІВЕЛЬНА МЕРЕЖА"</t>
  </si>
  <si>
    <t>ПУБЛІЧНЕ АКЦІОНЕРНЕ ТОВАРИСТВО "ДТЕК ДНІПРООБЛЕНЕРГО"</t>
  </si>
  <si>
    <t>Павлов Євген Олегович</t>
  </si>
  <si>
    <t>Пакети для сміття</t>
  </si>
  <si>
    <t>Паливо</t>
  </si>
  <si>
    <t>Паливо (Джерело фінансування: місцевий бюджет м. Дніпра)</t>
  </si>
  <si>
    <t>Папір для друку</t>
  </si>
  <si>
    <t xml:space="preserve">Папір для друку
</t>
  </si>
  <si>
    <t>Паркові шахи</t>
  </si>
  <si>
    <t>Пасіцельська Марія Юріївна</t>
  </si>
  <si>
    <t>Переговорна процедура</t>
  </si>
  <si>
    <t>Переговорна процедура, скорочена</t>
  </si>
  <si>
    <t xml:space="preserve">Перила металеві </t>
  </si>
  <si>
    <t>Періодичне видання</t>
  </si>
  <si>
    <t>Пилосос За ДК 021:2015 Код 39713430-6 Пилососи.</t>
  </si>
  <si>
    <t xml:space="preserve">Пилосос садово-парковий </t>
  </si>
  <si>
    <t>Побутова техніка</t>
  </si>
  <si>
    <t>Побутове приладдя:  Пилосос За ДК 021:2015 Код 39713430-6 Пилососи.</t>
  </si>
  <si>
    <t>Позачергова технічна перевірка правильності роботи однофазних та трифазних приладів обліку електричної енергії</t>
  </si>
  <si>
    <t>Покриття</t>
  </si>
  <si>
    <t xml:space="preserve">Покриття:Лот 1-Гумове покриття для спортивних та дитячих майданчиків на території м. Дніпра </t>
  </si>
  <si>
    <t>Покриття:Лот 2-Багатошарове безшовне (наливне) спортивне покриття</t>
  </si>
  <si>
    <t>Покриття:Лот 3-Наливне покриття для багатофункціонального майданчика</t>
  </si>
  <si>
    <t>Покриття:Наливне покриття для баскетбольного поля</t>
  </si>
  <si>
    <t>Покриття:Покриття штучне</t>
  </si>
  <si>
    <t>Полюшкін Сергій Сергійович</t>
  </si>
  <si>
    <t>Портативні комп’ютери: Портативні комп’ютери, діагональ 15. 6 дюймів (в комплекті з мишею</t>
  </si>
  <si>
    <t>Портативні комп’ютери:Портативний комп’ютер, діагональ 17. 3 дюйми ( в комплекті з мишею)</t>
  </si>
  <si>
    <t>Послуга з вивезення, утилізації або захоронення твердих побутових відходів</t>
  </si>
  <si>
    <t>Послуга з вивезення, утилізації або захоронення твердих побутових відходів ДК 021:2015 Код 90513000-6 (Послуги з поводження з безпечними сміттям і відходами та  їх утилізація)</t>
  </si>
  <si>
    <t>Послуга з облаштування квітників у парку Зелений Гай</t>
  </si>
  <si>
    <t>Послуги авторанспортом та механізмами</t>
  </si>
  <si>
    <t>Послуги автотранспортом та механізмами</t>
  </si>
  <si>
    <t>Послуги відпочивально - розважальних  комплексів (штучна ковзанка)</t>
  </si>
  <si>
    <t>Послуги для  проведення свята «Масляна 2017» в парку ім. Писаржевського та  ім. В. Дубініна CPV- 98110000-7 Послуги підприємницьких, професійних та спеціалізованих організацій</t>
  </si>
  <si>
    <t>Послуги з  фотозйомки  та розміщення в мережі Інтернет</t>
  </si>
  <si>
    <t>Послуги з благоустрою частини Парку Зелений Гай</t>
  </si>
  <si>
    <t>Послуги з вивезення сміттєзвалища</t>
  </si>
  <si>
    <t>Послуги з виготовлення банерів СPV 79820000-8 Послуги, пов’язані з друком.</t>
  </si>
  <si>
    <t>Послуги з виготовлення відеофільму «Про діяльність КП «Міська інфраструктура» ДМР»</t>
  </si>
  <si>
    <t>Послуги з видалення аварійних та фаутних дерев</t>
  </si>
  <si>
    <t>Послуги з видалення дерев, корчування пнів, вивезення та утилізації утворених відходів з парків</t>
  </si>
  <si>
    <t>Послуги з видалення сухостійних аварійних та фаутних дерев з застосуванням автопідйомників, видалення дерев в ручну, розкряжування, корчування пнів, вирубка порослі, навантаження, вивезення та утилізації утворених відходів</t>
  </si>
  <si>
    <t>Послуги з видалення сухостійних, аварійних та фаутних дерев з застосуванням автопідіймачів, видалення вручну, корчування пнів, навантаження, вивезення та утилізації утворених відходів.</t>
  </si>
  <si>
    <t xml:space="preserve">Послуги з видалення сухостійних, аварійних та фаутних дерев з застосуванням автопідіймачів, влення вручну, навантаження, вивезення та утилізації утворених відходів
</t>
  </si>
  <si>
    <t>Послуги з видалення, розкряжування дерев, корчування пнів, навантаження, вивезення та утилізації утворених відходів</t>
  </si>
  <si>
    <t>Послуги з видалення, розкряжування, омолодження дерев, корчування пнів, вивезення та утилізації утворених відходів</t>
  </si>
  <si>
    <t>Послуги з використання ком'ютерної программи "Єдина інформаційна система управління бюджетом" для місцевих бюджетів</t>
  </si>
  <si>
    <t>Послуги з вирубки порослі</t>
  </si>
  <si>
    <t xml:space="preserve">Послуги з вирубки порослі (Джерело фінансування: міський бюджет м. Дніпра)  
</t>
  </si>
  <si>
    <t xml:space="preserve">Послуги з встановлення й налаштування бездротової мережі </t>
  </si>
  <si>
    <t>Послуги з встановлення та обслуговування біотуалетів</t>
  </si>
  <si>
    <t xml:space="preserve">Послуги з встановлення та обслуговування біотуалетів (Джерело фінансування: місцевий бюджет м. Дніпра) </t>
  </si>
  <si>
    <t>Послуги з візуалізації розміщення об’єктів інфраструктури у Парку Зелений Гай</t>
  </si>
  <si>
    <t>Послуги з дератизації, дезінсекції, деларвації у парках</t>
  </si>
  <si>
    <t>Послуги з доступу до мережі Інтернет</t>
  </si>
  <si>
    <t>Послуги з доступу до мережі інтернет</t>
  </si>
  <si>
    <t>Послуги з забеспечення доступу в мережі Інтернет</t>
  </si>
  <si>
    <t>Послуги з заправки картриджів та обслуговування комп’ютерної техніки</t>
  </si>
  <si>
    <t>Послуги з корчування пнів</t>
  </si>
  <si>
    <t xml:space="preserve">Послуги з корчування пнів (Джерело фінансування: міський бюджет м. Дніпра)
</t>
  </si>
  <si>
    <t>Послуги з корчування пнів у парку ім. Писаржевського</t>
  </si>
  <si>
    <t>Послуги з корчування пнів у парку ім. Писаржевського СPV 77210000-5 Лісозаготівельні послуги</t>
  </si>
  <si>
    <t>Послуги з ландшафтного дизайну в парку Зелений Гай у м. Дніпрі</t>
  </si>
  <si>
    <t xml:space="preserve">Послуги з ліквідації стихійних сміттєзвалищ (Джерело фінансування: міський бюджет м. Дніпра)
</t>
  </si>
  <si>
    <t>Послуги з метеорологічного забеспечення (обслуговування)</t>
  </si>
  <si>
    <t>Послуги з модернізації декоративних фігур</t>
  </si>
  <si>
    <t xml:space="preserve">Послуги з монтажу та демонтажу навісу </t>
  </si>
  <si>
    <t>Послуги з навантаження, вивезення та утилізації негабаритного сміття</t>
  </si>
  <si>
    <t>Послуги з навчання</t>
  </si>
  <si>
    <t>Послуги з облаштування квітників та газонів у парках CPV 77300000-3 Послуги у сфері рослинництва</t>
  </si>
  <si>
    <t>Послуги з облаштування квітників у парках</t>
  </si>
  <si>
    <t>Послуги з обробки даних, постачання, видачі та обслуговування кваліфікованих сертифікатів відкритих ключів кваліфікованого електронного підпису</t>
  </si>
  <si>
    <t xml:space="preserve">Послуги з обслуговування садово-паркової техніки </t>
  </si>
  <si>
    <t>Послуги з озеленення території парку Зелений Гай</t>
  </si>
  <si>
    <t>Послуги з омолодження, санітарної обрізки дерев, навантаження, вивезення та утилізації утворених відходів</t>
  </si>
  <si>
    <t>Послуги з омолодження, санітарної обрізки дерев, розкряжування, навантаження, вивезення та утилізації утворених відходів.</t>
  </si>
  <si>
    <t>Послуги з омолодження, санітарної обрізки дерев, скошування карантинної рослинності, навантаження, вивезення та утилізації утворених відходів</t>
  </si>
  <si>
    <t xml:space="preserve">Послуги з організації та проведення святкового заходу  «Відкриття центральної алеї парку Зелений Гай» </t>
  </si>
  <si>
    <t xml:space="preserve">Послуги з організації і проведення заходів (Джерело фінансування: міський бюджет м. Дніпра)
</t>
  </si>
  <si>
    <t>Послуги з організації і проведення заходів у 2020 році</t>
  </si>
  <si>
    <t xml:space="preserve">Послуги з організації і проведення заходів у 2020 році </t>
  </si>
  <si>
    <t>Послуги з організації і проведення заходів у парках у 2017 році</t>
  </si>
  <si>
    <t>Послуги з організації і проведення заходів у парках у 2017 році (CPV): 92340000-6 Розважальні послуги, пов’язані з танцями та шоу.</t>
  </si>
  <si>
    <t>Послуги з організації і проведення заходів у парках у 2018 році</t>
  </si>
  <si>
    <t xml:space="preserve">Послуги з організації і проведення заходів. (Джерело фінансування: міський бюджет м. Дніпра)
</t>
  </si>
  <si>
    <t xml:space="preserve">Послуги з організації і проведення заходів. (Джерело фінансування: міський бюджет м. Дніпра) </t>
  </si>
  <si>
    <t>Послуги з організації і проведення святкових заходів</t>
  </si>
  <si>
    <t xml:space="preserve">Послуги з оргранізації і проведення заходів у 2019 році </t>
  </si>
  <si>
    <t xml:space="preserve">Послуги з оренди біотуалету
 (Джерело фінансування: міський бюджет м. Дніпра) 
</t>
  </si>
  <si>
    <t>Послуги з оренди біотуалету (Джерело фінансування: міський бюджет м. Дніпра)</t>
  </si>
  <si>
    <t>Послуги з оренди обладнання для  відпочивально-розважального комплексу (Штучна ковзанка)</t>
  </si>
  <si>
    <t>Послуги з оренди обладнання для  відпочивально-розважального комплексу:Лот №1 – Послуги з оренди обладнання для відпочивально-розважального комплексу (тюбінговий спуск)</t>
  </si>
  <si>
    <t>Послуги з оренди обладнання для  відпочивально-розважального комплексу:Лот №2 – Послуги з оренди обладнання для відпочивально-розважального комплексу (штучна ковзанка)</t>
  </si>
  <si>
    <t xml:space="preserve">Послуги з оренди обладнання для відпочивально-розважального комплексу (Ролердром) </t>
  </si>
  <si>
    <t xml:space="preserve">Послуги з охорони </t>
  </si>
  <si>
    <t>Послуги з охорони : Лот №1 Послуги з охорони парків</t>
  </si>
  <si>
    <t>Послуги з охорони :Лот №2 Послуги з охорони стадіону та скверу</t>
  </si>
  <si>
    <t>Послуги з охорони об’єктів</t>
  </si>
  <si>
    <t xml:space="preserve">Послуги з охорони об’єктів </t>
  </si>
  <si>
    <t>Послуги з охорони об’єктів :Лот №1 -  Послуги з охорони парків</t>
  </si>
  <si>
    <t>Послуги з охорони об’єктів :Лот №2 - Послуги з охорони стадіону та скверів</t>
  </si>
  <si>
    <t>Послуги з охорони об’єктів:Лот №1 -  Послуги з охорони парків</t>
  </si>
  <si>
    <t>Послуги з охорони об’єктів:Лот №2 - Послуги з охорони скверу</t>
  </si>
  <si>
    <t xml:space="preserve">Послуги з охорони парків </t>
  </si>
  <si>
    <t xml:space="preserve">Послуги з охорони скверу </t>
  </si>
  <si>
    <t>Послуги з питань автоматизованого визначення вартості будівельних робіт при застосуванні ПК АВК-5 "Автоматизований випуск на ПЕОМ кошторисно-ресурсної документації" на основних та додаткових робочих місцях ПК АВК-5</t>
  </si>
  <si>
    <t>Послуги з поводження з побутовими відходами (крім комунальних)</t>
  </si>
  <si>
    <t>Послуги з покосу трави</t>
  </si>
  <si>
    <t>Послуги з покосу, вивезення та утилізації утворених відходів</t>
  </si>
  <si>
    <t>Послуги з постачання, встановлення та налаштування програмного забезпечення</t>
  </si>
  <si>
    <t>Послуги з постачання, встановлення та налаштування програмного забезпечення.</t>
  </si>
  <si>
    <t xml:space="preserve">Послуги з поточного ремонту виставкового обладнання (Джерело фінансування: місцевий бюджет м. Дніпра) </t>
  </si>
  <si>
    <t>Послуги з поточного ремонту елементів благоустрою Парку Зелений Гай</t>
  </si>
  <si>
    <t>Послуги з поточного ремонту елементів благоустрою у Парку ім. Писаржевського</t>
  </si>
  <si>
    <t>Послуги з поточного ремонту елементів благоустрою у сквері «Амурський парк»</t>
  </si>
  <si>
    <t>Послуги з поточного ремонту елементів благоустрою у сквері Івана Старова</t>
  </si>
  <si>
    <t>Послуги з прибирання будівельного сміття, навантаження, вивезення та утилізації утворених відходів</t>
  </si>
  <si>
    <t>Послуги з прибирання опалого листя</t>
  </si>
  <si>
    <t>Послуги з прибирання опалого листя, випадкового сміття, згрібання, навантаження, вивезення та утилізація утворених відходів</t>
  </si>
  <si>
    <t>Послуги з прибирання опалого листя, ліквідація стихійних сміттєзвалищ, навантаження, вивезення та утилізація утворених відходів</t>
  </si>
  <si>
    <t>Послуги з прибирання опалого листя, навантаження, вивезення та утилізація утворених відходів</t>
  </si>
  <si>
    <t xml:space="preserve">Послуги з прибирання опалого листя, навантаження, вивезення та утилізація утворених відходів (Джерело фінансування: міський бюджет м. Дніпра) </t>
  </si>
  <si>
    <t>Послуги з прибирання паркової зони ім. Писаржевського та  В. Дубініна СPV 90910000-9 Послуги з прибирання.</t>
  </si>
  <si>
    <t>Послуги з прибирання сміття, згрібання сміття, ліквідації стихійних сміттєзвалищ, навантаження, вивезення та утилізації утворених відходів</t>
  </si>
  <si>
    <t>Послуги з прибирання сміття, ліквідації стихійних сміттєзвалищ, навантаження, вивезення та утилізації утворених відходів</t>
  </si>
  <si>
    <t>Послуги з прибирання сміття, навантаження, перевезення та утилізації стихійних сміттєзвалищ з території скверу «Амурський парк»</t>
  </si>
  <si>
    <t>Послуги з прибирання снігу</t>
  </si>
  <si>
    <t>Послуги з приєднання електроустановок до електичних мереж парку Зелений Гай</t>
  </si>
  <si>
    <t>Послуги з проведення геодезичної зйомки парку Зелений Гай у м. Дніпрі</t>
  </si>
  <si>
    <t xml:space="preserve">Послуги з проведення технічної інвентаризації зелених насаджень скверу «Амурський парк» у місті Дніпрі </t>
  </si>
  <si>
    <t>Послуги з проведення топографо-геодезичної зйомки парку Зелений Гай у м. Дніпрі.</t>
  </si>
  <si>
    <t>Послуги з протяжки кабелю та встановлення колодязів</t>
  </si>
  <si>
    <t>Послуги з протяжки оптичної кабельної мережі для підключення інтернету</t>
  </si>
  <si>
    <t>Послуги з підключення до мереж інтернет оптоволоконним кабелем та надання послуг Інтернет</t>
  </si>
  <si>
    <t>Послуги з підтримки користувачів програми "Єдина інформаційна система управління бюджетом" для місцевих бюджетів"</t>
  </si>
  <si>
    <t xml:space="preserve">Послуги з ремонту будівельних конструкцій СPV – 50700000-2 Послуги з ремонту і технічного обслуговування будівельних конструкцій </t>
  </si>
  <si>
    <t>Послуги з ремонту електроінструменту</t>
  </si>
  <si>
    <t>Послуги з ремонту і технічного обслуговування обладнання для ігрових майданчиків парку ім. В.Дубініна СPV – 50870000-4 Послуги з ремонту і технічного обслуговування обладнання для ігрових майданчиків.</t>
  </si>
  <si>
    <t>Послуги з розміщення, розповсюдження та демонстрування інформації в мережі Інтернет</t>
  </si>
  <si>
    <t>Послуги з розробки візуальної концепції (ескіз) парку ім. Писаржевського</t>
  </si>
  <si>
    <t>Послуги з розробки візуальної концепції (ескіз) по об'єкту "Капітальний ремонт пішохідних алей з оглядовим майданчиком, що примикають до центральної алеї парку Зелений Гай у м. Дніпрі"</t>
  </si>
  <si>
    <t>Послуги з розробки візуальної концепції (ескіз) частини  парку Зелений Гай</t>
  </si>
  <si>
    <t>Послуги з розробки візуальної концепції (ескіз) частини парку Зелений Гай</t>
  </si>
  <si>
    <t>Послуги з розробки візуальної концепції святкового зовнішнього освітлення та святкового оформлення території парків міста</t>
  </si>
  <si>
    <t>Послуги з розробки ландшафтного дизайну Парку ім. Володі Дубініна</t>
  </si>
  <si>
    <t>Послуги з розробки ландшафтної архітектури у парку ім. Писаржевського</t>
  </si>
  <si>
    <t>Послуги з розробки логотипу підприємства СPV –  79930000-2 Професійні дизайнерські послуги.</t>
  </si>
  <si>
    <t>Послуги з розробки технічної документації із землеустрою щодо встановлення меж частини земельної ділянки, на яку поширюється право сервітуту ДП "Виробниче об'єднання Південний машинобудівельний завод імені О.М. Макарова" (кадастровий номер земельної ділянки 121010000:07:210:0056) на користь КП "Міська інфраструктура" Дніпровської міської ради</t>
  </si>
  <si>
    <t>Послуги з розробки технічної документації ії землеустрою щодо встановлення меж частини земельної ділянки, на яку поширюється право сервітуту ДП "Виробниче об'єднання Південний машинобудівельний завод імені О.М. Макарова" (кадастровий номер земельної ділянки 121010000:07:210:0056) на користь КП "Міська інфраструктура" Дніпровської міської ради</t>
  </si>
  <si>
    <t>Послуги з розроблення матеріалів польових топографо-геодезичних  робіт частини парку Зелений Гай ( Джерело фінансування: міський бюджет м. Дніпра)</t>
  </si>
  <si>
    <t>Послуги з розроблення матеріалів польових топографо-геодезичних робіт щодо розрахунку фізичної площі парку Зелений Гай.</t>
  </si>
  <si>
    <t>Послуги з розроблення проекту землеустрою щодо відведення земельної ділянки по фактичному розміщенню скверу «Амурський парк» у районі вул. Вітчизняної, вул. Грудневої та вул. Крилова (Амур – Нижньодніпровський район)</t>
  </si>
  <si>
    <t>Послуги з технічного обслуговування садово-паркової техніки</t>
  </si>
  <si>
    <t>Послуги з фото відео зйомки, розміщення, розповсюдження та демонстрування інформації в мережі Інтернет</t>
  </si>
  <si>
    <t xml:space="preserve">Послуги з фото відео зйомки, розміщення, розповсюдження та демонстрування інформації в мережі Інтернет </t>
  </si>
  <si>
    <t xml:space="preserve">Послуги з централізованого питного водопостачання </t>
  </si>
  <si>
    <t>Послуги з централізованого питного водопостачання та водовідведення</t>
  </si>
  <si>
    <t>Послуги з інвентаризації зелених насаджень у парку Зелений Гай у м. Дніпрі</t>
  </si>
  <si>
    <t>Послуги спеціальної техніки</t>
  </si>
  <si>
    <t xml:space="preserve">Послуги спеціальної техніки </t>
  </si>
  <si>
    <t>Послуги у сфері інформатизації</t>
  </si>
  <si>
    <t>Послуги у сфері інформаційних технологій АВК</t>
  </si>
  <si>
    <t>Послуги фотографів та супутні послуги</t>
  </si>
  <si>
    <t>Послуги фотографів та супутні послуги - CPV 79960000-1 Послуги фотографів і супутні послуги.</t>
  </si>
  <si>
    <t>Послуги щодо охорони громадського порядку та громадської безпеки код ДК 021:2015 – 79713000-5 -  Послуги з охорони об’єктів та особистої охорони.</t>
  </si>
  <si>
    <t>Послуги щодо охорони громадського порядку та громадської безпеки, інші. За ДК 021:2015 Код 39713000-5 Послуг з охорони об’єктів та особистої охорони.</t>
  </si>
  <si>
    <t xml:space="preserve">Послуги, які пов’язані з виконанням топографо-геодезичної зйомки по об’єкту сквер «Амурський парк» </t>
  </si>
  <si>
    <t>Поточний ремонт газону</t>
  </si>
  <si>
    <t>Поточний ремонт дорожнього покриття у Парку Зелений Гай</t>
  </si>
  <si>
    <t>Поточний ремонт елементу благоустрою парку Зелений Гай</t>
  </si>
  <si>
    <t>Поточний ремонт елементу благоустрою парку Зелений Гай (Облаштування огорожі сходів)</t>
  </si>
  <si>
    <t>Поточний ремонт елементів благоустрою Парку Зелений Гай</t>
  </si>
  <si>
    <t xml:space="preserve">Поточний ремонт елементів благоустрою Парку Зелений Гай </t>
  </si>
  <si>
    <t xml:space="preserve">Поточний ремонт елементів благоустрою парку Зелений Гай </t>
  </si>
  <si>
    <t>Поточний ремонт елементів благоустрою парків ім. Володі Дубініна та ім. Писаржевського</t>
  </si>
  <si>
    <t>Поточний ремонт конструкцій парку Зелений Гай у м. Дніпрі</t>
  </si>
  <si>
    <t>Поточний ремонт конструкцій парку Зелений Гай у м. Дніпрі (улаштування клумб)</t>
  </si>
  <si>
    <t xml:space="preserve">Поточний ремонт насіннєвого газону </t>
  </si>
  <si>
    <t xml:space="preserve">Поточний ремонт оглядового майданчику у Парку Зелений Гай  </t>
  </si>
  <si>
    <t>Поточний ремонт покриття зон відпочинку СPV – 50230000-6 Послуги з ремонту, технічного обслуговування дорожньої інфраструктури і пов’язаного обладнання та супутні послуги</t>
  </si>
  <si>
    <t>Поточний ремонт світлодіодних прикрас</t>
  </si>
  <si>
    <t xml:space="preserve">Поточний ремонт світлодіодних фігур та прикрас  </t>
  </si>
  <si>
    <t>Поточний ремонт світлодіодної фігури "Логотип міста Дніпро"</t>
  </si>
  <si>
    <t xml:space="preserve">Поточний ремонт скверу «Амурський парк» </t>
  </si>
  <si>
    <t>Поточний ремонт та монтаж світлодіодних прикрас та фігур</t>
  </si>
  <si>
    <t xml:space="preserve">Поточний ремонт тротуарного покриття парку Зелений Гай (Джерело фінансування: міський бюджет м. Дніпра)
</t>
  </si>
  <si>
    <t>Поточний ремонт тротуарного покриття у Парку Зелений Гай</t>
  </si>
  <si>
    <t>Поточний ремонт тротуарного покриття у парку Зелений Гай</t>
  </si>
  <si>
    <t>Поточний ремонт тротуарного покриття у парку Зелений Гай  у м. Дніпрі</t>
  </si>
  <si>
    <t xml:space="preserve">Поточний ремонт тротуарного покриття у сквері «Амурський парк» </t>
  </si>
  <si>
    <t>Поточний ямковий ремонт доріжки в сквері Івана Старова біля пам'ятника загиблим при виконанні службових обов'язків співробітників міліції</t>
  </si>
  <si>
    <t>Пояс запобіжний</t>
  </si>
  <si>
    <t>ПрАТ "ПЕЕМ "ЦЕК"</t>
  </si>
  <si>
    <t>ПрАТ Новая лінія</t>
  </si>
  <si>
    <t>Приватне багатопрофільне підприємство "Енерго-Імпекс"</t>
  </si>
  <si>
    <t>Приватне підприємство "Оптторг"</t>
  </si>
  <si>
    <t>Приватне підприємство "ФІЛІНГ"</t>
  </si>
  <si>
    <t>Придбання періодичного видання (Е-журнал Держзакупівлі)</t>
  </si>
  <si>
    <t>Приєднання  об'єкту до електричних мереж</t>
  </si>
  <si>
    <t>Приєднання до електричних мереж: об'єкт "Реконструкція парку ім. Володі Дубініна у м.Дніпрі"</t>
  </si>
  <si>
    <t>Проект землеустрою щодо відведення  земельної ділянки стадіону по вул. Євгена Маланюка (вул. Кантемирівська), 1 (Самарський район)</t>
  </si>
  <si>
    <t>Проектно-кошторисної документації по об’єкту: «Реконструкція парку ім. Володі Дубініна у м. Дніпрі» (коригування проекту)</t>
  </si>
  <si>
    <t>Прожектора</t>
  </si>
  <si>
    <t>Прожектора (Джерело фінансування: місцевий бюджет м. Дніпра)</t>
  </si>
  <si>
    <t>Прожектори За ДК 021:2015 Код 31500000-1 Освітлювальне обладнання та електричні лампи</t>
  </si>
  <si>
    <t>Пропозиція потенційного переможця (з найменшою ціною) грн</t>
  </si>
  <si>
    <t>Пісок</t>
  </si>
  <si>
    <t>Пітько Сергій Михайлович</t>
  </si>
  <si>
    <t>РЗАЄВ ВУГАР РЗА ОГЛИ</t>
  </si>
  <si>
    <t xml:space="preserve">Рекламні послуги </t>
  </si>
  <si>
    <t>Рзаєв Вугар Рза Огли</t>
  </si>
  <si>
    <t>Робити з розроблення проектно - кошторисної документації по об'єкту "Реконструкція парку імені Володі Дубініна у м. Дніпрі" (Коригування 2) (Джерело фінансування: місцевий бюджет м. Дніпра)</t>
  </si>
  <si>
    <t>Робити з розроблення проектно- кошторисної документації по об'єкту "Капітальний ремонт центральної алеї парку Зелений Гай у м. Дніпрі". Коригування.</t>
  </si>
  <si>
    <t>Робити з розроблення проектно- кошторисної докуметації по об'єкту "Реконструкція парку імені Володі Дубініна у м. Дніпрі" Коригування.</t>
  </si>
  <si>
    <t>Роботи (нове будівництво) "Влаштування електропостачання парку Зелений Гай у м. Дніпрі"</t>
  </si>
  <si>
    <t>Роботи з коригування червоних ліній парку ім. Писаржевського у м. Дніпрі</t>
  </si>
  <si>
    <t>Роботи з розроблення технічної документації з підключення водопроводу для благоустрою і поливу зелених насаджень Парку Зелений Гай</t>
  </si>
  <si>
    <t xml:space="preserve">Роботи з технічного нагляду на об'єкті "Капітальний ремонт центральної алеї парку Зелений Гай у м. Дніпрі" Коригування (Коригування 3)
</t>
  </si>
  <si>
    <t>Роботи з технічного нагляду на об'єкті "Реконструкція парку ім. Володі Дубініна у м. Дніпрі" Коригування (Додаткові роботи)</t>
  </si>
  <si>
    <t xml:space="preserve">Роботи з технічного нагляду на об'єкті: "Капітальний ремонт Парку ім. Писаржевського у м. Дніпрі" (Джерело фінансування: міський бюджет м. Дніпра)
</t>
  </si>
  <si>
    <t xml:space="preserve">Роботи з технічного нагляду на об’єкті "Капітальний ремонт центральної алеї парку Зелений Гай у м. Дніпрі" (додаткові роботи)        </t>
  </si>
  <si>
    <t xml:space="preserve">Роботи з технічного нагляду на об’єкті «Капітальний ремонт Парку ім. Писаржевського у м. Дніпрі»
</t>
  </si>
  <si>
    <t>Роботи з технічного нагляду на об’єкті «Капітальний ремонт елементів благоустрою частини парку ім. Писаржевського у м. Дніпрі" (І,ІІ черга)</t>
  </si>
  <si>
    <t xml:space="preserve">Роботи з технічного нагляду на об’єкті «Капітальний ремонт центральної алеї парку Зелений Гай у м. Дніпрі»  </t>
  </si>
  <si>
    <t>Роботи з технічного нагляду на об’єкті «Капітальний ремонт центральної алеї парку Зелений Гай у м. Дніпрі» (додаткові роботи)</t>
  </si>
  <si>
    <t xml:space="preserve">Роботи з технічного нагляду на об’єкті «Капітальний ремонт центральної алеї парку Зелений Гай у м. Дніпрі» (додаткові роботи)        </t>
  </si>
  <si>
    <t>Роботи з технічного нагляду на об’єкті «Капітальний ремонт центральної алеї парку Зелений Гай у м. Дніпрі» Коригування (Коригування 2)</t>
  </si>
  <si>
    <t xml:space="preserve">Роботи з технічного нагляду на об’єкті «Реконструкція парку ім. Володі Дубініна у м. Дніпрі» </t>
  </si>
  <si>
    <t>Роботи з технічного нагляду на об’єкті: «Влаштування електропостачання парку Зелений Гай у м. Дніпрі»</t>
  </si>
  <si>
    <t>Роботи з техічного нагляду на об'єкті "Реконструкція парку ім. Володі Дубініна у м. Дніпрі"(Коригування) від 11.11.2019</t>
  </si>
  <si>
    <t>Роботи по проведенню авторського нагляду «Влаштування електропостачання парку Зелений Гай у м. Дніпрі»</t>
  </si>
  <si>
    <t>Роботи по проведенню авторського нагляду з виконання проекту "Капітальний ремонт центральної алеї парку Зелений Гай в м. Дніпрі"</t>
  </si>
  <si>
    <t>Роботи по проведенню авторського нагляду з виконання проекту "Реконструкція парку ім. Володі Дубініна у м. Дніпрі"</t>
  </si>
  <si>
    <t>Роботи по проведенню авторського нагляду з виконання проекту "Реконструкція парку ім. Володі Дубініна у м. Дніпрі". Коригування</t>
  </si>
  <si>
    <t>Роботи по проведенню авторського нагляду з виконання проекту: Капітальний ремонт центральної алеї парку Зелений Гай у м. Дніпрі" Коригування (Коригування 3)</t>
  </si>
  <si>
    <t xml:space="preserve">Роботи по проведенню авторського нагляду по об'єкту "Капітальний ремонт елементів благоустрою частини парку ім. Писаржевського у м. Дніпрі" (І,ІІ черга) </t>
  </si>
  <si>
    <t>Роботи по проведенню авторського нагляду по об'єкту "Капітальний ремонт центральної алеї парку Зелений Гай у м. Дніпрі". Коригування</t>
  </si>
  <si>
    <t>Роботи по проведенню авторського нагляду по об'єкту "Капітальний ремонт центральної алеї парку Зелений Гай у м. Дніпрі". Коригування (Коригування 2)</t>
  </si>
  <si>
    <t>Розроблення проектно-кошторисної документації по об'єкту "Капітальний ремонт центральної алеї парку Зелений Гай у м. Дніпрі (коригування проекту)</t>
  </si>
  <si>
    <t>Розроблення проектно-кошторисної документації по об’єкту «Влаштування електропостачання парку Зелений Гай у м. Дніпрі»</t>
  </si>
  <si>
    <t>Розроблення проектно-кошторисної документації по об’єкту: "Капітальний ремонт Парку ім. Писаржевського у м. Дніпрі"</t>
  </si>
  <si>
    <t xml:space="preserve">Розроблення проектно-кошторисної документації по об’єкту: "Капітальний ремонт Парку ім. Писаржевського у м. Дніпрі" Коригування
</t>
  </si>
  <si>
    <t>Розроблення проектно-кошторисної документації по об’єкту: «Капітальний ремонт елементів благоустрою частини парка ім. Писаржевського у м. Дніпрі»</t>
  </si>
  <si>
    <t>Розроблення проектно-кошторисної документації по об’єкту: «Капітальний ремонт центральної алеї парку Зелений Гай у м. Дніпрі (коригування проекту)</t>
  </si>
  <si>
    <t>Розроблення проектно-кошторисної документації по об’єкту: Капітальний ремонт скверу «Амурський парк» у місті Дніпрі</t>
  </si>
  <si>
    <t>Розсадницька продукція</t>
  </si>
  <si>
    <t xml:space="preserve">Розсадницька продукція </t>
  </si>
  <si>
    <t>Розсадницька продукція СPV 03450000-9 Розсадницька продукція</t>
  </si>
  <si>
    <t>Ролети</t>
  </si>
  <si>
    <t>Ролети та жалюзі</t>
  </si>
  <si>
    <t>Рослинний ґрунт для багаторічних насаджень  об’ємом 400 м³</t>
  </si>
  <si>
    <t>Рукомийня</t>
  </si>
  <si>
    <t>Ручні інструменти</t>
  </si>
  <si>
    <t xml:space="preserve">Ручні інструменти </t>
  </si>
  <si>
    <t>Ручні інструменти CPV- 44510000-8 Знаряддя</t>
  </si>
  <si>
    <t>СД/50-18</t>
  </si>
  <si>
    <t>СД/69-17</t>
  </si>
  <si>
    <t>СИДЬКО ОЛЕКСАНДР ВАДИМОВИЧ</t>
  </si>
  <si>
    <t>СП027779</t>
  </si>
  <si>
    <t>СТАРИЙ ОЛЕКСІЙ ДМИТРОВИЧ</t>
  </si>
  <si>
    <t>Саджанці рослин однорічних</t>
  </si>
  <si>
    <t xml:space="preserve">Саджанці рослин однорічних </t>
  </si>
  <si>
    <t>Садова техніка різна</t>
  </si>
  <si>
    <t xml:space="preserve">Садові меблі </t>
  </si>
  <si>
    <t xml:space="preserve">Садові меблі (Джерело фінансування: міський бюджет м. Дніпра) 
</t>
  </si>
  <si>
    <t>Саленко Альбіна Володимирівна</t>
  </si>
  <si>
    <t>Санітарна та формовочна обрізка, зняття аварійних дерев на території парку Зелений Гай у м. Дніпрі,  ДК 021:2015 Код 77310000-6 Послуги з озеленення територій та утримання зелених насаджень.</t>
  </si>
  <si>
    <t>Саєнко Анжеліка Нодарівна</t>
  </si>
  <si>
    <t>Святкові прикраси (Джерело фінансування: місцевий бюджет м. Дніпра)</t>
  </si>
  <si>
    <t>Святкові прикраси :Лот -1 Святкові прикраси (Світлодіодні прикраси)</t>
  </si>
  <si>
    <t>Святкові прикраси :Лот -2 Святкові прикраси (Світлодіодні фігури)</t>
  </si>
  <si>
    <t>Світильники</t>
  </si>
  <si>
    <t>Світлодіодні прикраси</t>
  </si>
  <si>
    <t xml:space="preserve">Світлодіодні прикраси </t>
  </si>
  <si>
    <t xml:space="preserve">Світлодіодні прикраси (Джерело фінансування: міський бюджет м. Дніпра) </t>
  </si>
  <si>
    <t>Світлодіодні прикраси (Святкові прикраси)</t>
  </si>
  <si>
    <t>Світлодіодні прикраси :Лот №1 – Святкові прикраси</t>
  </si>
  <si>
    <t>Світлодіодні прикраси :Лот №2 – Світлодіодні гірлянди</t>
  </si>
  <si>
    <t xml:space="preserve">Світлодіодні прилади  </t>
  </si>
  <si>
    <t>Сейфи</t>
  </si>
  <si>
    <t xml:space="preserve">Система відеоспостереження </t>
  </si>
  <si>
    <t xml:space="preserve">Снігозбиральна машина </t>
  </si>
  <si>
    <t>Снігозбиральні машини За ДК 021:2015 Код 16320000-4 Снігозбиральні машини.</t>
  </si>
  <si>
    <t>Снігоприбиральна машина (Джерело фінансування: місцевий бюджет м. Дніпра)</t>
  </si>
  <si>
    <t>Спеціальний  робочий одяг</t>
  </si>
  <si>
    <t>Спеціальний  робочий одяг (Джерело фінансування: місцевий бюджет м. Дніпра)</t>
  </si>
  <si>
    <t>Спеціальний робочий одяг</t>
  </si>
  <si>
    <t>Спеціальний робочий одяг CPV18100000-0 Формений одяг, спеціальний одяг та аксесуари</t>
  </si>
  <si>
    <t>Спортивний інвентар</t>
  </si>
  <si>
    <t>Спрощена закупівля</t>
  </si>
  <si>
    <t xml:space="preserve">Стандартне приєднання до електричних мереж системи розподілу (Джерело фінансування: місцевий бюджет м. Дніпра)
</t>
  </si>
  <si>
    <t xml:space="preserve">Стежка дерев'яна «Трап» </t>
  </si>
  <si>
    <t xml:space="preserve">Стежка дерев'яна «Трап» (Джерело фінансування: міський бюджет м. Дніпра) </t>
  </si>
  <si>
    <t>Стежка дерев’яна «Трап» (Джерело фінансування: місцевий бюджет м. Дніпра)</t>
  </si>
  <si>
    <t>Стелажі</t>
  </si>
  <si>
    <t>Стрічка сигнальна</t>
  </si>
  <si>
    <t>Сугар Юрій Анатолійович</t>
  </si>
  <si>
    <t xml:space="preserve">Супутня продукція </t>
  </si>
  <si>
    <t>Супутня продукція СPV 4432000-9 Кабель та супутня продукція</t>
  </si>
  <si>
    <t>Супутні вироби до вікон</t>
  </si>
  <si>
    <t>Сітлодіодні прикраси</t>
  </si>
  <si>
    <t>ТДВ "Дніпрокомунтранс"</t>
  </si>
  <si>
    <t>ТН 01/08-19</t>
  </si>
  <si>
    <t>ТОВ "IP COM"</t>
  </si>
  <si>
    <t>ТОВ "ІНСТИТУТ ТЕХНОЛОГІЧНОГО ПРОЕКТУВАННЯ"</t>
  </si>
  <si>
    <t>ТОВ "ІНТРА ТРЕЙД "</t>
  </si>
  <si>
    <t>ТОВ "АВЕРС КАНЦЕЛЯРІЯ"</t>
  </si>
  <si>
    <t>ТОВ "АЛАРМ ТЕХНОЛОДЖИ"</t>
  </si>
  <si>
    <t>ТОВ "АЛЮР ПЛЮС"</t>
  </si>
  <si>
    <t>ТОВ "АРЕЛА-БУДІНВЕСТ"</t>
  </si>
  <si>
    <t>ТОВ "БІК ГРУП"</t>
  </si>
  <si>
    <t>ТОВ "БАНТОН 32"</t>
  </si>
  <si>
    <t>ТОВ "БЕСТ СТАТУС КОМПАНІ"</t>
  </si>
  <si>
    <t>ТОВ "БК ОН ЛАЙН ДНІПРО"</t>
  </si>
  <si>
    <t>ТОВ "БКС"</t>
  </si>
  <si>
    <t>ТОВ "БЛАГОУСТРІЙ 2018"</t>
  </si>
  <si>
    <t>ТОВ "БОНУС КОНТРАКТ"</t>
  </si>
  <si>
    <t>ТОВ "БСМ БУДІВНИЦТВО"</t>
  </si>
  <si>
    <t>ТОВ "БУДІВЕЛЬНА КОМПАНІЯ "АМІРА"</t>
  </si>
  <si>
    <t>ТОВ "Бориспольський завод резинотехнических изделий"</t>
  </si>
  <si>
    <t>ТОВ "ВІТЛЮС ПЛЮС"</t>
  </si>
  <si>
    <t>ТОВ "ВОРОТА 24"</t>
  </si>
  <si>
    <t>ТОВ "ВП "ПОЛІСАН"</t>
  </si>
  <si>
    <t>ТОВ "ГЕОСПЕКТР-7"</t>
  </si>
  <si>
    <t>ТОВ "ГЛУСКО-КАРТ УКРАЇНА"</t>
  </si>
  <si>
    <t>ТОВ "ГРІН ТРІ ЛАЙТС"</t>
  </si>
  <si>
    <t>ТОВ "ДІАВЕСТЕНД КОМПЛЕКСНІ РІШЕННЯ"</t>
  </si>
  <si>
    <t>ТОВ "ДНІПРО ОІЛ ТРЕЙД"</t>
  </si>
  <si>
    <t>ТОВ "ДНІПРОЗЕЛЕНБУД"</t>
  </si>
  <si>
    <t>ТОВ "ДНІПРОЛАНДШАФТ"</t>
  </si>
  <si>
    <t>ТОВ "Дия Лайт"</t>
  </si>
  <si>
    <t>ТОВ "Днепропарк"</t>
  </si>
  <si>
    <t>ТОВ "ЕКОБУД 77"</t>
  </si>
  <si>
    <t>ТОВ "ЕЛЕКТРОВЕКТОР"</t>
  </si>
  <si>
    <t>ТОВ "Епіцентр К"</t>
  </si>
  <si>
    <t>ТОВ "З ІНОЗЕМНИМИ ІНВЕСТИЦІЯМИ "ТИПОГРАФІЯ "УКРАЇНА""</t>
  </si>
  <si>
    <t>ТОВ "КОМБУД-ЕКО 77"</t>
  </si>
  <si>
    <t>ТОВ "КОМПАНІЯ "БІКО"</t>
  </si>
  <si>
    <t>ТОВ "КОМПАНІЯ "ЕКСПЕРТ ГРУП"</t>
  </si>
  <si>
    <t>ТОВ "КОМПАНІЯ АНТАРІУС"</t>
  </si>
  <si>
    <t>ТОВ "КОМПАНІЯ БІКО"</t>
  </si>
  <si>
    <t>ТОВ "КОМПАНІЯ ЛІДЕР-ДНІПРО"</t>
  </si>
  <si>
    <t>ТОВ "КОНСТАНТА СПЕЦБУД"</t>
  </si>
  <si>
    <t>ТОВ "Квартал"</t>
  </si>
  <si>
    <t>ТОВ "ЛІВАЙН ТОРГ"</t>
  </si>
  <si>
    <t>ТОВ "ЛЕОН ГУАРД"</t>
  </si>
  <si>
    <t>ТОВ "МІСЬКЗЕЛЕНБУД"</t>
  </si>
  <si>
    <t>ТОВ "МОНОЛІТ-ДАП"</t>
  </si>
  <si>
    <t>ТОВ "Мастер Буд"</t>
  </si>
  <si>
    <t>ТОВ "НЄФТЕК СІТІ ОІЛ"</t>
  </si>
  <si>
    <t>ТОВ "НАУКОВО-ІНЖИНІРИНГОВИЙ ЦЕНТР АРСЕКО"</t>
  </si>
  <si>
    <t>ТОВ "НВО "РОМСАТ"</t>
  </si>
  <si>
    <t>ТОВ "НЬЮ БІЛД ГРУП"</t>
  </si>
  <si>
    <t>ТОВ "Надійний Компаньйон"</t>
  </si>
  <si>
    <t>ТОВ "Науково виробниче підприємство "Гелион"</t>
  </si>
  <si>
    <t>ТОВ "ОХОРОННО-КОНСАЛТИНГОВА КОМПАНІЯ "ФАЛЬКОН БЕЗПЕКА"</t>
  </si>
  <si>
    <t>ТОВ "ПОЖТЕХНОЛОГІЯ"</t>
  </si>
  <si>
    <t>ТОВ "ПРЕМ'ЄРА Л ТА Л"</t>
  </si>
  <si>
    <t>ТОВ "ПРОМПРОЕКТЕНЕРГОБУД"</t>
  </si>
  <si>
    <t>ТОВ "ПРОФСТРОЙПРОЕКТ"</t>
  </si>
  <si>
    <t>ТОВ "Папарацци-Про"</t>
  </si>
  <si>
    <t>ТОВ "Пушан-Лель"</t>
  </si>
  <si>
    <t>ТОВ "Рулонні газони"</t>
  </si>
  <si>
    <t>ТОВ "СВІКОМ"</t>
  </si>
  <si>
    <t>ТОВ "СЕРВІС ЕКСПЕРТ М"</t>
  </si>
  <si>
    <t>ТОВ "СЕРВІС ПРО"</t>
  </si>
  <si>
    <t>ТОВ "СОДЕЛЬ"</t>
  </si>
  <si>
    <t>ТОВ "ТАЛАН-ПРОМ"</t>
  </si>
  <si>
    <t>ТОВ "ТД ІМПЕРІЯ РА"</t>
  </si>
  <si>
    <t>ТОВ "ТД МАЙСТЕР БУД"</t>
  </si>
  <si>
    <t>ТОВ "ТД Майстер Буд"</t>
  </si>
  <si>
    <t>ТОВ "ТЕАМАРКЕТ"</t>
  </si>
  <si>
    <t>ТОВ "ТЕХНОЦЕНТР "ХОЛОД"</t>
  </si>
  <si>
    <t>ТОВ "ТРАК ПАРТС ГРУП 2013"</t>
  </si>
  <si>
    <t>ТОВ "ТФ "Долина Мрій""</t>
  </si>
  <si>
    <t>ТОВ "Торгівельний Дім "Н'ю-Лайн"</t>
  </si>
  <si>
    <t>ТОВ "УКРАЇНСЬКИЙ ПАПІР"</t>
  </si>
  <si>
    <t>ТОВ "ФІРМА ПОЛЮС-АЙС"</t>
  </si>
  <si>
    <t>ТОВ «АГРОПРОМШИНА»</t>
  </si>
  <si>
    <t>ТОВ «ТЕХНОЦЕНТР» «ХОЛОД»</t>
  </si>
  <si>
    <t>ТОВ АВКАС</t>
  </si>
  <si>
    <t>ТОВ Академ Інвест</t>
  </si>
  <si>
    <t>ТОВ БЮРО ОЦІНКИ</t>
  </si>
  <si>
    <t>ТОВ Ведо</t>
  </si>
  <si>
    <t>ТОВ Геоленд 2000</t>
  </si>
  <si>
    <t>ТОВ ДК ОРІОН</t>
  </si>
  <si>
    <t>ТОВ КАНГАР-ТРЕЙД</t>
  </si>
  <si>
    <t>ТОВ Кьюб онлайн сервісез</t>
  </si>
  <si>
    <t>ТОВ Кілоампер</t>
  </si>
  <si>
    <t>ТОВ ЛЕОН ГУАРД</t>
  </si>
  <si>
    <t>ТОВ МАГІСТРАЛЬ</t>
  </si>
  <si>
    <t>ТОВ МЕТА ОІЛ</t>
  </si>
  <si>
    <t>ТОВ НВФ "Проммет"</t>
  </si>
  <si>
    <t>ТОВ Рекламно-виробнича компанія "Бінго"</t>
  </si>
  <si>
    <t>ТОВ СІТІПАРКІНГ</t>
  </si>
  <si>
    <t>ТОВ СЕРВІССТАР-7</t>
  </si>
  <si>
    <t>ТОВ ТВФ "АСТРА" ТОВ</t>
  </si>
  <si>
    <t>ТОВ Торговельна компанія "ЮЛіС"</t>
  </si>
  <si>
    <t>ТОВ Укрчерметавтоматика</t>
  </si>
  <si>
    <t>ТОВ Центр</t>
  </si>
  <si>
    <t>ТОВ фірма "Паритет"</t>
  </si>
  <si>
    <t>ТОВАРИСТВО З ОБМЕЖЕНОЮ ВІДПОВІДАЛЬНІСТЮ "АВКАС"</t>
  </si>
  <si>
    <t>ТОВАРИСТВО З ОБМЕЖЕНОЮ ВІДПОВІДАЛЬНІСТЮ "АЛЬФАКОМ"</t>
  </si>
  <si>
    <t>ТОВАРИСТВО З ОБМЕЖЕНОЮ ВІДПОВІДАЛЬНІСТЮ "АРЕЛА-БУДІНВЕСТ"</t>
  </si>
  <si>
    <t>ТОВАРИСТВО З ОБМЕЖЕНОЮ ВІДПОВІДАЛЬНІСТЮ "АУРУМ-Д"</t>
  </si>
  <si>
    <t>ТОВАРИСТВО З ОБМЕЖЕНОЮ ВІДПОВІДАЛЬНІСТЮ "БАНТОН 32"</t>
  </si>
  <si>
    <t>ТОВАРИСТВО З ОБМЕЖЕНОЮ ВІДПОВІДАЛЬНІСТЮ "БЕЗПЕКА-КОМПЛЕКС"</t>
  </si>
  <si>
    <t>ТОВАРИСТВО З ОБМЕЖЕНОЮ ВІДПОВІДАЛЬНІСТЮ "БК ОН ЛАЙН ДНІПРО"</t>
  </si>
  <si>
    <t>ТОВАРИСТВО З ОБМЕЖЕНОЮ ВІДПОВІДАЛЬНІСТЮ "БЮРО ОЦІНКИ"</t>
  </si>
  <si>
    <t>ТОВАРИСТВО З ОБМЕЖЕНОЮ ВІДПОВІДАЛЬНІСТЮ "ГЕОЛЕНД 2000"</t>
  </si>
  <si>
    <t>ТОВАРИСТВО З ОБМЕЖЕНОЮ ВІДПОВІДАЛЬНІСТЮ "ДНІПРОВСЬКІ ЕНЕРГЕТИЧНІ ПОСЛУГИ"</t>
  </si>
  <si>
    <t>ТОВАРИСТВО З ОБМЕЖЕНОЮ ВІДПОВІДАЛЬНІСТЮ "ДОРОЖНИК АКТИВ"</t>
  </si>
  <si>
    <t>ТОВАРИСТВО З ОБМЕЖЕНОЮ ВІДПОВІДАЛЬНІСТЮ "КОМБУД-ЕКО 77"</t>
  </si>
  <si>
    <t>ТОВАРИСТВО З ОБМЕЖЕНОЮ ВІДПОВІДАЛЬНІСТЮ "КОМПАНІЯ "ЕКСПЕРТ ГРУП"</t>
  </si>
  <si>
    <t>ТОВАРИСТВО З ОБМЕЖЕНОЮ ВІДПОВІДАЛЬНІСТЮ "КОРПОРАЦІЯ ЛОГІСТИК ГРУП"</t>
  </si>
  <si>
    <t>ТОВАРИСТВО З ОБМЕЖЕНОЮ ВІДПОВІДАЛЬНІСТЮ "ЛІВАЙН ТОРГ"</t>
  </si>
  <si>
    <t>ТОВАРИСТВО З ОБМЕЖЕНОЮ ВІДПОВІДАЛЬНІСТЮ "МІЖНАРОДНИЙ ЦЕНТР ФІНАНСОВО-ЕКОНОМІЧНОГО РОЗВИТКУ-УКРАЇНА"</t>
  </si>
  <si>
    <t>ТОВАРИСТВО З ОБМЕЖЕНОЮ ВІДПОВІДАЛЬНІСТЮ "МІНКОТРЕЙД"</t>
  </si>
  <si>
    <t>ТОВАРИСТВО З ОБМЕЖЕНОЮ ВІДПОВІДАЛЬНІСТЮ "МАГІСТРАЛЬ"</t>
  </si>
  <si>
    <t>ТОВАРИСТВО З ОБМЕЖЕНОЮ ВІДПОВІДАЛЬНІСТЮ "МОСТ АЙ ТІ"</t>
  </si>
  <si>
    <t>ТОВАРИСТВО З ОБМЕЖЕНОЮ ВІДПОВІДАЛЬНІСТЮ "МТЛ КОНСАЛТИНГ"</t>
  </si>
  <si>
    <t>ТОВАРИСТВО З ОБМЕЖЕНОЮ ВІДПОВІДАЛЬНІСТЮ "НАУКОВО-ВИРОБНИЧА ФІРМА "ІНПРОЕКТ"</t>
  </si>
  <si>
    <t>ТОВАРИСТВО З ОБМЕЖЕНОЮ ВІДПОВІДАЛЬНІСТЮ "НЬЮ БІЛД ГРУП"</t>
  </si>
  <si>
    <t>ТОВАРИСТВО З ОБМЕЖЕНОЮ ВІДПОВІДАЛЬНІСТЮ "ПРОМПРОЕКТЕНЕРГОБУД"</t>
  </si>
  <si>
    <t>ТОВАРИСТВО З ОБМЕЖЕНОЮ ВІДПОВІДАЛЬНІСТЮ "СЕРВІС ПРО"</t>
  </si>
  <si>
    <t>ТОВАРИСТВО З ОБМЕЖЕНОЮ ВІДПОВІДАЛЬНІСТЮ "СТРОЙБУД 2015"</t>
  </si>
  <si>
    <t>ТОВАРИСТВО З ОБМЕЖЕНОЮ ВІДПОВІДАЛЬНІСТЮ "СТРОНГДІЛ"</t>
  </si>
  <si>
    <t>ТОВАРИСТВО З ОБМЕЖЕНОЮ ВІДПОВІДАЛЬНІСТЮ "ТОРГОВИЙ ДІМ "КОМУНАЛЬНА ТЕХНІКА"</t>
  </si>
  <si>
    <t>ТОВАРИСТВО З ОБМЕЖЕНОЮ ВІДПОВІДАЛЬНІСТЮ "УКРАЇНСЬКИЙ ПАПІР"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</si>
  <si>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</si>
  <si>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"ЦЕНТР СЕРТИФІКАЦІЇ КЛЮЧІВ "УКРАЇНА"</t>
  </si>
  <si>
    <t>ТОВАРИСТВО З ОБМЕЖЕНОЮ ВІДПОВІДАЛЬНІСТЮ "ЮРИДИЧНА КОМПАНІЯ"ЮРИСТ-ДНІПРО"</t>
  </si>
  <si>
    <t>ТОВАРИСТВО З ОБМЕЖЕНОЮ ВІДПОВІДАЛЬНІСТЮ "ЯРТАС"</t>
  </si>
  <si>
    <t>ТОВАРИСТВО З ОБМЕЖЕНОЮ ВІДПОВІДАЛЬНІСТЮ 'АУРУМ-Д'</t>
  </si>
  <si>
    <t>ТОВАРИСТВО З ОБМЕЖЕНОЮ ВІДПОВІДАЛЬНІСТЮ «ТОІ-ТОІ   СИСТЕМИ САНІТАРНІ»</t>
  </si>
  <si>
    <t>ТОВАРИСТВО З ОБМЕЖЕНОЮ ВІДПОВІДАЛЬНІСТЮ НАУКОВО-ВИРОБНИЧА ФІРМА "ПРОММЕТ"</t>
  </si>
  <si>
    <t>ТОВАРИСТВО З ОБМЕЖЕНОЮ ВІДПОВІДАЛЬНІСТЮ ТОРГОВЫЙ ДОМ "ТЕХНИКС"</t>
  </si>
  <si>
    <t>Теки ДК 021:2015 Код 2285200-7 Теки</t>
  </si>
  <si>
    <t>Телевізори</t>
  </si>
  <si>
    <t xml:space="preserve">Технічний нагляд за проведенням проектно-вишукувальних робіт з дотриманням вимог існуючого законодавства з розроблення проектно-кошторисної документації по об'єкту " Капітальний ремонит Парку ім. Писаржевського у м. Дніпрі"
</t>
  </si>
  <si>
    <t>Тип процедури</t>
  </si>
  <si>
    <t>Товариство З Обмеженою Відповідальністю 'інтелектуальні Інтернет Технології'</t>
  </si>
  <si>
    <t>Товариство з обмеженою відповідальністю "КОМПАНІЯ"ПРОСВІТ"ЛТД"</t>
  </si>
  <si>
    <t>Товариство з обмеженою відповідальністю "Постач Роз Буд"</t>
  </si>
  <si>
    <t>Товариство з обмеженою відповідальністю "Руд Екзост Сістем"</t>
  </si>
  <si>
    <t>Товариство з обмеженою відповідальністю "ТОТАЛ ПРОДАКШН"</t>
  </si>
  <si>
    <t>Товариство з обмеженою відповідальністю "Торговий дім  "Кловін"</t>
  </si>
  <si>
    <t>Товариство з обмеженою відповідальністю "Український папір"</t>
  </si>
  <si>
    <t>Товариство з обмеженою відповідальністю «Дніпропетровський завод «Продмаш»</t>
  </si>
  <si>
    <t>Товариство з обмеженою відповідальністю фірма "Паритет"</t>
  </si>
  <si>
    <t xml:space="preserve">Топіарні рослини </t>
  </si>
  <si>
    <t>Торгівельно-виробниче приватне підпириємство "Ресурс"</t>
  </si>
  <si>
    <t xml:space="preserve">Трактор з навісним обладнанням </t>
  </si>
  <si>
    <t>Трактори у комплекті За ДК 021:2015 Код 16700000-2 Трактори</t>
  </si>
  <si>
    <t xml:space="preserve">Транспортні послуги </t>
  </si>
  <si>
    <t>Транспортні послуги автомобільних цистерн для поливу зелених насаджень у парках СPV 60100000-9 Послуги з автотранспортних перевезень</t>
  </si>
  <si>
    <t>Тренажери</t>
  </si>
  <si>
    <t>Тюбінг</t>
  </si>
  <si>
    <t xml:space="preserve">Тіньовий навіс (Джерело фінансування: міський бюджет м. Дніпра) 
</t>
  </si>
  <si>
    <t>У Зв'язку з невірно визначеним предметом закупівлі</t>
  </si>
  <si>
    <t xml:space="preserve">У зв'язку з виявленням порушень при проведенні закупівлі на «Гумове покриття Тартан» та неможливістю їх усунення, відповідно до п.1 ст.31 Закону «Про публічні закупівлі»  </t>
  </si>
  <si>
    <t>У зв'язку з встановленням невідповідностей у тендерній документації та Додатку до річного плану</t>
  </si>
  <si>
    <t>У зв'язку з відмовою переможця від співпраці</t>
  </si>
  <si>
    <t>У зв'язку з відсутністю фінансування</t>
  </si>
  <si>
    <t>У зв'язку з коригуванням плану закупівель на 2016 рік прийнято рішення, щодо відміни закупівлі Генераторів.</t>
  </si>
  <si>
    <t>У зв'язку з коригуванням проектно-кошторисної документації по об'єкту "Капітальний ремонт центральної алеї парку Зелений Гай"</t>
  </si>
  <si>
    <t>У зв'язку з неможливістю затвердження землевпорядної справи з організації і встановлення меж земельної ділянки та території рекреаційного призначення парку ім. Писаржевського, що пов’язано з затвердженням генерального плану забудови міста.</t>
  </si>
  <si>
    <t>У зв'язку з неможливістю усунення порушень при складанні технічних вимог до закупівлі</t>
  </si>
  <si>
    <t>У зв'язку з неможливістю усунення порушень, що виникли через виявлені порушення законодавства з питань публічних закупівель</t>
  </si>
  <si>
    <t>У зв'язку з необхідністю термінового підключення електроустаткування на  святкових новорічних майданчиках.</t>
  </si>
  <si>
    <t>У зв'язку з отриманням нового експертного звіту, зміна очікуваної вартості предмета закупівлі</t>
  </si>
  <si>
    <t>У зв'язку з помилкою допущеною при формуванні ціни закупівлі сума була введена без урахування ПДВ</t>
  </si>
  <si>
    <t>У зв'язку з технічною помилкою</t>
  </si>
  <si>
    <t>У зв'язку зі зміною концепції та технічних характеристик</t>
  </si>
  <si>
    <t>У зв'язку зі зміною необхідних обсягів послуги</t>
  </si>
  <si>
    <t>У зв'язку зі зміною необхідних обсягів товару</t>
  </si>
  <si>
    <t>У зв'язку зі зміною обсягів закупівлі</t>
  </si>
  <si>
    <t>У зв'язку зі зміною обсягів послуги</t>
  </si>
  <si>
    <t>У зв'язку зі зміною технічних  вимог для обладнання.</t>
  </si>
  <si>
    <t>У зв'язку зі скороченням видатків на товар</t>
  </si>
  <si>
    <t>У зв'язку скорочення видатків на здійснення закупівлі послуг</t>
  </si>
  <si>
    <t>У зв’язку зі збільшенням обсягів товарів</t>
  </si>
  <si>
    <t>У зв’язку зі скороченням видатків на здійснення закупівлі товарів, робіт і послуг</t>
  </si>
  <si>
    <t>Узагальнена назва закупівлі</t>
  </si>
  <si>
    <t>Улаштування покриття з дерева в парку Зелений Гай</t>
  </si>
  <si>
    <t>Урна та огорожа</t>
  </si>
  <si>
    <t>Урни</t>
  </si>
  <si>
    <t>Урни  СPV 34928480-6 Контейнери та урни для відходів і сміття.</t>
  </si>
  <si>
    <t>Урни (Джерело фінансування: місцевий бюджет м. Дніпра)</t>
  </si>
  <si>
    <t xml:space="preserve">Урни (Джерело фінансування: міський бюджет м. Дніпра) </t>
  </si>
  <si>
    <t>Урни для органічних відходів CPV –34920000-2 дорожнє обладнання (Урни)</t>
  </si>
  <si>
    <t>Урни та огорожа</t>
  </si>
  <si>
    <t>Урни та огорожа:огорожа для дитячого майданчика</t>
  </si>
  <si>
    <t>Урни та огорожа:огорожа для спортивних полів</t>
  </si>
  <si>
    <t>Урни та огорожа:урни металеві</t>
  </si>
  <si>
    <t>Урни та огорожа:урни пластикові</t>
  </si>
  <si>
    <t>ФІЗИЧНА ОСОБА ПІДПРИЄМЕЦЬ ІГНАТЕНКО ВАСИЛЬ ВАСИЛЬОВИЧ</t>
  </si>
  <si>
    <t>ФІЗИЧНА ОСОБА-ПІДПРИЄМЕЦЬ БІЛОУСОВ ЯН ГРИГОРОВИЧ</t>
  </si>
  <si>
    <t>ФІЗИЧНА ОСОБА-ПІДПРИЄМЕЦЬ ГАВРИЛЮК МИХАЙЛО МИХАЙЛОВИЧ</t>
  </si>
  <si>
    <t>ФІЗИЧНА ОСОБА-ПІДПРИЄМЕЦЬ КИРКО РУСЛАН ПАВЛОВИЧ</t>
  </si>
  <si>
    <t>ФІЗИЧНА ОСОБА-ПІДПРИЄМЕЦЬ МАЛИШЕВСЬКИЙ МАКСИМ ВІКТОРОВИЧ</t>
  </si>
  <si>
    <t>ФІЗИЧНА ОСОБА-ПІДПРИЄМЕЦЬ ПІТЬКО СЕРГІЙ МИХАЙЛОВИЧ</t>
  </si>
  <si>
    <t>ФІЗИЧНА ОСОБА-ПІДПРИЄМЕЦЬ САВЧЕНКО ДМИТРО ВОЛОДИМИРОВИЧ</t>
  </si>
  <si>
    <t>ФІЗИЧНА ОСОБА-ПІДПРИЄМЕЦЬ ФЕДОРЕНКО ОЛЕКСАНДР ЮРІЙОВИЧ</t>
  </si>
  <si>
    <t>ФЛП Герасимов Владимир Алексеевич</t>
  </si>
  <si>
    <t>ФЛП Девяткин Николай Борисович</t>
  </si>
  <si>
    <t>ФЛП Попов Михаил Дмитриевич</t>
  </si>
  <si>
    <t>ФЛП Чикалов Дмитрий Александрович</t>
  </si>
  <si>
    <t>ФОП " ШИТОВ ОЛЕКСІЙ АНАТОЛІЙОВИЧ"</t>
  </si>
  <si>
    <t>ФОП "АНИЩЕНКО ТАМАРА ВІКЕНТІЇВНА"</t>
  </si>
  <si>
    <t>ФОП "БЄЛІКОВ РОМАН ВІКТОРОВИЧ"</t>
  </si>
  <si>
    <t>ФОП "БЛАЖКО АНАТОЛІЙ АНДРІЙОВИЧ"</t>
  </si>
  <si>
    <t>ФОП "БОГДАН РОМАН ЮРІЙОВИЧ"</t>
  </si>
  <si>
    <t>ФОП "БОГДАНОВИЧ ЕДУАРД ВОЛОДИМИРОВИЧ"</t>
  </si>
  <si>
    <t>ФОП "Богданова Олександра Всеволодівна"</t>
  </si>
  <si>
    <t>ФОП "ГЕРМАШ ВЛАДИСЛАВ ПАВЛОВИЧ"</t>
  </si>
  <si>
    <t>ФОП "ДЕМЕНТЬЄВА МАРИНА ВОЛОДИМИРІВНА"</t>
  </si>
  <si>
    <t>ФОП "ДЕМЧЕНКО ЄВГЕНІЙ ДМИТРОВИЧ"</t>
  </si>
  <si>
    <t>ФОП "ЖДАН ДМИТРО ЮРІЙОВИЧ"</t>
  </si>
  <si>
    <t>ФОП "ЖЕВНЕР ІЛОНА СЕРГІЇВНА"</t>
  </si>
  <si>
    <t>ФОП "ЗАХАРОВА ОКСАНА ЄВГЕНІВНА"</t>
  </si>
  <si>
    <t>ФОП "КАПУСТА ВІКТОРІЯ АНАТОЛІЇВНА"</t>
  </si>
  <si>
    <t>ФОП "КИСЛИЦЬКИЙ КОСТЯНТИН ЮРІЙОВИЧ"</t>
  </si>
  <si>
    <t>ФОП "КОБИЛЯЦЬКИЙ ВІКТОР АНДРІЙОВИЧ"</t>
  </si>
  <si>
    <t>ФОП "КОВТУН ІВАН ОЛЕГОВИЧ"</t>
  </si>
  <si>
    <t>ФОП "КОСКОР ЛІЛІЯ АЛЬБЕРТІВНА"</t>
  </si>
  <si>
    <t>ФОП "КУЗНЕЦОВ АРТЕМ СЕРГІЙОВИЧ"</t>
  </si>
  <si>
    <t>ФОП "КУПІН СЕРГІЙ ПИЛИПОВИЧ"</t>
  </si>
  <si>
    <t>ФОП "ЛИСИЙ ВІТАЛІЙ ЯРОСЛАВОВИЧ"</t>
  </si>
  <si>
    <t>ФОП "ЛИСИЦЯ МИКОЛА ВОЛОДИМИРОВИЧ"</t>
  </si>
  <si>
    <t>ФОП "Лазевник Роман Анатолійович"</t>
  </si>
  <si>
    <t>ФОП "МАЗУРЕК ОЛЕКСАНДР АДОЛЬФОВИЧ"</t>
  </si>
  <si>
    <t>ФОП "МАСЛОВ ОЛЕКСАНДР ВІТАЛІЙОВИЧ"</t>
  </si>
  <si>
    <t>ФОП "МОРОЗ ІГОР ЛЕОНІДОВИЧ"</t>
  </si>
  <si>
    <t>ФОП "Москальченко Леонід Гаврилович"</t>
  </si>
  <si>
    <t>ФОП "НЕТЕЦЬКИЙ ВІТАЛІЙ ОЛЕГОВИЧ"</t>
  </si>
  <si>
    <t>ФОП "ОНИЩЕНКО ВЛАДИСЛАВ ВЯЧЕСЛАВОВИЧ"</t>
  </si>
  <si>
    <t>ФОП "ОРЕЛ ОЛЕКСІЙ ГРИГОРОВИЧ"</t>
  </si>
  <si>
    <t>ФОП "ОШЕГА НАТАЛІЯ АНАТОЛІЇВНА"</t>
  </si>
  <si>
    <t>ФОП "ПАВЛОВ ДЕНИС ІГОРОВИЧ"</t>
  </si>
  <si>
    <t>ФОП "ПЛОТНІКОВА ЛАРИСА ВЯЧЕСЛАВІВНА	"</t>
  </si>
  <si>
    <t>ФОП "ПОГРІБНА ЮЛІЯ ІГОРІВНА"</t>
  </si>
  <si>
    <t>ФОП "ПУЧКОВ АНДРІЙ ОЛЕКСАНДРОВИЧ"</t>
  </si>
  <si>
    <t>ФОП "РЗАЄВ ВУГАР РЗА ОГЛИ"</t>
  </si>
  <si>
    <t>ФОП "САФОНОВ ОЛЕКСАНДР ПАВЛОВИЧ"</t>
  </si>
  <si>
    <t>ФОП "СМАРИГІНА ІННА МИКОЛАЇВНА"</t>
  </si>
  <si>
    <t>ФОП "СОКУР КОСТЯНТИН МИКОЛАЙОВИЧ"</t>
  </si>
  <si>
    <t>ФОП "ТАНЦЮРА АНАСТАСІЯ ВІТАЛІЇВНА"</t>
  </si>
  <si>
    <t>ФОП "ТАНЦЮРА ВІТАЛІЙ ЄВГЕНОВИЧ"</t>
  </si>
  <si>
    <t>ФОП "ТАНЦЮРА МИХАЙЛО ЮРІЙОВИЧ
"</t>
  </si>
  <si>
    <t>ФОП "УСТИМЧУК АНДРІЙ ВОЛОДИМИРОВИЧ"</t>
  </si>
  <si>
    <t>ФОП "ХОЛОД ОЛЕГ РОМАНОВИЧ"</t>
  </si>
  <si>
    <t>ФОП "ЧУМЕНКО ОЛЬГА ЄВГЕНІВНА"</t>
  </si>
  <si>
    <t>ФОП "Черевченко Олексій Борисович"</t>
  </si>
  <si>
    <t>ФОП "ШАПОВАЛ ІВАН ІВАНОВИЧ"</t>
  </si>
  <si>
    <t>ФОП "ШРАМКО ДАРІЯ ДМИТРІЇВНА"</t>
  </si>
  <si>
    <t>ФОП Балюк Стефанія Дмитрівна</t>
  </si>
  <si>
    <t>ФОП Баршак Єгор Романович</t>
  </si>
  <si>
    <t>ФОП Брижахін Євген Віталійович</t>
  </si>
  <si>
    <t>ФОП Брижахіна</t>
  </si>
  <si>
    <t>ФОП Буринський Олександр Валерійович</t>
  </si>
  <si>
    <t>ФОП ВОЙТОВИЧ ОЛЬГА АНАТОЛІЇВНА</t>
  </si>
  <si>
    <t>ФОП Виничук</t>
  </si>
  <si>
    <t>ФОП Винокурова Олена Сергіївна</t>
  </si>
  <si>
    <t>ФОП ГЕРАСІМОВ ВОЛОДИМИР ОЛЕКСІЙОВИЧ</t>
  </si>
  <si>
    <t>ФОП Горак П.О.</t>
  </si>
  <si>
    <t>ФОП Дем'яненко Віктор Анатолійович</t>
  </si>
  <si>
    <t>ФОП ЖИЛАЧ ОЛЕКСАНДР СЕРГІЙОВИЧ</t>
  </si>
  <si>
    <t>ФОП КОСТЕНКО ІРИНА ВОЛОДИМИРІВНА</t>
  </si>
  <si>
    <t>ФОП КРЕМЕНЕЦЬКА ОЛЕНА ГРИГОРІВНА</t>
  </si>
  <si>
    <t>ФОП КУЗЬМЕНКО МАКСИМ ПЕТРОВИЧ</t>
  </si>
  <si>
    <t>ФОП Каніболоцька Ірина Валеріївна</t>
  </si>
  <si>
    <t>ФОП Костенко Е.В.</t>
  </si>
  <si>
    <t>ФОП Крюков Євген Володимирович</t>
  </si>
  <si>
    <t>ФОП Кутенкова О.О.</t>
  </si>
  <si>
    <t>ФОП ЛІШТВАН СВІТЛАНА ВАЛЕРІЇВНА</t>
  </si>
  <si>
    <t>ФОП Лемешко Олександр Георгійович</t>
  </si>
  <si>
    <t>ФОП Лисиця Микола Володимирович</t>
  </si>
  <si>
    <t>ФОП Мединський Володимир Володимирович</t>
  </si>
  <si>
    <t>ФОП Мельніков Сергій Сергійович</t>
  </si>
  <si>
    <t>ФОП Мороз Ігор Леонідович</t>
  </si>
  <si>
    <t>ФОП Москальченко Л.Г.</t>
  </si>
  <si>
    <t>ФОП ПАВЛОВА ЛІДІЯ АНДРІЇВНА</t>
  </si>
  <si>
    <t>ФОП ПОЛТОРАЦЬКА НАТАЛЯ МИКОЛАЇВНА</t>
  </si>
  <si>
    <t>ФОП ПОЛЯКОВ ВАСИЛЬ СЕРГІЙОВИЧ</t>
  </si>
  <si>
    <t>ФОП Полюшкін С.С.</t>
  </si>
  <si>
    <t>ФОП Полюшкін Сергій Сергійович</t>
  </si>
  <si>
    <t>ФОП Ревуцька Тетяна Миколаївна</t>
  </si>
  <si>
    <t>ФОП САВЧЕНКО ДМИТРО ВОЛОДИМИРОВИЧ</t>
  </si>
  <si>
    <t>ФОП Садика Віктор Іванович</t>
  </si>
  <si>
    <t>ФОП Синюченко А.М.</t>
  </si>
  <si>
    <t>ФОП Сон Чанке</t>
  </si>
  <si>
    <t>ФОП Танцюра Віталій Євгенович</t>
  </si>
  <si>
    <t>ФОП Тристан Г.С.</t>
  </si>
  <si>
    <t>ФОП Холодкова Юлія Геннадіївна</t>
  </si>
  <si>
    <t>ФОП Чикалов Дмитрий</t>
  </si>
  <si>
    <t>ФОП ШЕВЦОВ ДМИТРО ЮРІЙОВИЧ</t>
  </si>
  <si>
    <t>ФОП ШЕЛЕГ ПАВЛО ВАЛЕРІЙОВИЧ</t>
  </si>
  <si>
    <t>Флеш-накопичувачі ДК 021:2015 Код 30233180-6 Флеш-накопичувачі</t>
  </si>
  <si>
    <t>Фотоапарат</t>
  </si>
  <si>
    <t>Фізична особа - підприємєць Полюшкін Сергій Сергійович</t>
  </si>
  <si>
    <t>Фізична особа підприємець Абакумова Наталія Олександрівна</t>
  </si>
  <si>
    <t>Фізична особа підприємець Желтобрюхов Юрій Володимирович</t>
  </si>
  <si>
    <t>Фізична особа підприємець Кондрусь Віктор Миколайович</t>
  </si>
  <si>
    <t>Фізична особа- підприємець Полюшкін Сергій Сергійович</t>
  </si>
  <si>
    <t>Фізична особа-підприємець  Климчук Сергій Володимирович</t>
  </si>
  <si>
    <t>Цибулинні квіти</t>
  </si>
  <si>
    <t>Частини для лісогосподарської техніки CPV –16800000-3 Частини для сільськогосподарської та лісогосподарської техніки</t>
  </si>
  <si>
    <t>Черевченко Олексій Борисович</t>
  </si>
  <si>
    <t>Через спалах у світі короновірусу та встановлення на усій території України низку заборон, враховуючи, що відповідно до ст. 3 Конституції України людина, її життя і здоров`я, честь і гідність, недоторканність і безпека визнаються в Україні найвищою соціальною цінністю на підставі ч.1 ст.31 Закону України "Про публічні закупівлі" прийнято рішення скасувати закупівлю</t>
  </si>
  <si>
    <t>Шатер За ДК 021:2015 Код 39522530-1 Намет</t>
  </si>
  <si>
    <t>Шафи</t>
  </si>
  <si>
    <t>Шилін Олександр Анатолійович</t>
  </si>
  <si>
    <t>Шлагбаум</t>
  </si>
  <si>
    <t>Шлак</t>
  </si>
  <si>
    <t>Шпаківниці та годівниці</t>
  </si>
  <si>
    <t>Штучна трава та декоративні вироби</t>
  </si>
  <si>
    <t>Штучна трава та декоративні вироби :Штучна трава Монофіламентна</t>
  </si>
  <si>
    <t>Штучна трава та декоративні вироби :Штучна трава Фібрильована</t>
  </si>
  <si>
    <t>Штучна трава та декоративні вироби :декоративні вироби</t>
  </si>
  <si>
    <t>ЮРЧЕНКО ІРИНА ГРИГОРІВНА</t>
  </si>
  <si>
    <t>Югхолодторг, Товариство З Обмеженою Відповідальністю</t>
  </si>
  <si>
    <t>Юридичні послуги на умовах аутсорсингу</t>
  </si>
  <si>
    <t>Якимович Лариса Геннадіївна</t>
  </si>
  <si>
    <t>аукціон</t>
  </si>
  <si>
    <t>б</t>
  </si>
  <si>
    <t>б/н</t>
  </si>
  <si>
    <t>відповідно до протоколу тендерного комітету №134 від 10.04.2017 учасник не підтвердив кваліфікацію.</t>
  </si>
  <si>
    <t>дошка для облицювання  лавок</t>
  </si>
  <si>
    <t>завершений</t>
  </si>
  <si>
    <t>завершено</t>
  </si>
  <si>
    <t>закупівля не відбулась</t>
  </si>
  <si>
    <t>канцелярські товари</t>
  </si>
  <si>
    <t>кваліфікація</t>
  </si>
  <si>
    <t>кілька позицій</t>
  </si>
  <si>
    <t>очікує підпису</t>
  </si>
  <si>
    <t>переможець не підписав договір</t>
  </si>
  <si>
    <t>покриття:гумове покриття</t>
  </si>
  <si>
    <t xml:space="preserve">покриття:гумове покриття Тартан </t>
  </si>
  <si>
    <t>покриття:наливне покриття для багатофункціонального майданчика</t>
  </si>
  <si>
    <t>покриття:наливне покриття для баскетбольного поля</t>
  </si>
  <si>
    <t>покриття:покриття штучне</t>
  </si>
  <si>
    <t>при формуванні очикуваної вартості закупівлі допущена технічна помилка</t>
  </si>
  <si>
    <t>прийом пропозицій</t>
  </si>
  <si>
    <t>пропозиції розглянуті</t>
  </si>
  <si>
    <t>підписано</t>
  </si>
  <si>
    <t>скасована</t>
  </si>
  <si>
    <t>скасований</t>
  </si>
  <si>
    <t>труби та супутня продукція</t>
  </si>
  <si>
    <t>у зв'язку з неможливістю усунення порушень, що виникли через виявлені порушення законодавства з питань публічних закупівель</t>
  </si>
  <si>
    <t xml:space="preserve">у зв'язку зі зміною кількості, якості технічних характеристик та суми очикуваної вартості </t>
  </si>
  <si>
    <t>у зв'язу зі зміною технічних та кількісних вимог</t>
  </si>
  <si>
    <t xml:space="preserve">Ґрунт для клумб та субстрат </t>
  </si>
  <si>
    <t>№1</t>
  </si>
  <si>
    <t>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</si>
</sst>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dd\.mm\.yyyy"/>
    <numFmt numFmtId="166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65" fontId="1" fillId="0" borderId="0" xfId="0" applyNumberFormat="1" applyFont="1"/>
    <xf numFmtId="166" fontId="1" fillId="0" borderId="0" xfId="0" applyNumberFormat="1" applyFont="1"/>
    <xf numFmtId="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uction.openprocurement.org/tenders/ee18839e4c1743e7b7032e99207ccbf5" TargetMode="External"/><Relationship Id="rId299" Type="http://schemas.openxmlformats.org/officeDocument/2006/relationships/hyperlink" Target="https://auction.openprocurement.org/tenders/120d57d588e6497dbb67851f09037afc" TargetMode="External"/><Relationship Id="rId21" Type="http://schemas.openxmlformats.org/officeDocument/2006/relationships/hyperlink" Target="https://auction.openprocurement.org/tenders/8194ad6fe60b4d128c23c10e5f4d4d76" TargetMode="External"/><Relationship Id="rId63" Type="http://schemas.openxmlformats.org/officeDocument/2006/relationships/hyperlink" Target="https://auction.openprocurement.org/tenders/f72772d31e2343309841aafbbafa4128" TargetMode="External"/><Relationship Id="rId159" Type="http://schemas.openxmlformats.org/officeDocument/2006/relationships/hyperlink" Target="https://auction.openprocurement.org/tenders/d87cb8cd8cbd46f6afc92b6aa6047456" TargetMode="External"/><Relationship Id="rId324" Type="http://schemas.openxmlformats.org/officeDocument/2006/relationships/hyperlink" Target="https://auction.openprocurement.org/tenders/d35e882324eb4f65816c899180c74608" TargetMode="External"/><Relationship Id="rId170" Type="http://schemas.openxmlformats.org/officeDocument/2006/relationships/hyperlink" Target="https://auction.openprocurement.org/tenders/6a589f1075124f558d57dce22d187ecc" TargetMode="External"/><Relationship Id="rId226" Type="http://schemas.openxmlformats.org/officeDocument/2006/relationships/hyperlink" Target="https://auction.openprocurement.org/tenders/eaa3a6d1de1e47d68e590f90f757c431" TargetMode="External"/><Relationship Id="rId268" Type="http://schemas.openxmlformats.org/officeDocument/2006/relationships/hyperlink" Target="https://auction.openprocurement.org/tenders/06568539be104daaacaadeceaf1a399a" TargetMode="External"/><Relationship Id="rId32" Type="http://schemas.openxmlformats.org/officeDocument/2006/relationships/hyperlink" Target="https://auction.openprocurement.org/tenders/4bdc4c7436bc4725b3362ef7f4f2822a" TargetMode="External"/><Relationship Id="rId74" Type="http://schemas.openxmlformats.org/officeDocument/2006/relationships/hyperlink" Target="https://auction.openprocurement.org/tenders/6905a9d9eb7c4edcad2eb119272a12e2" TargetMode="External"/><Relationship Id="rId128" Type="http://schemas.openxmlformats.org/officeDocument/2006/relationships/hyperlink" Target="https://auction.openprocurement.org/tenders/bf6c908cf2f841d08b27ba2e73eaaf83" TargetMode="External"/><Relationship Id="rId5" Type="http://schemas.openxmlformats.org/officeDocument/2006/relationships/hyperlink" Target="https://auction.openprocurement.org/tenders/58687948a78f440c9e6141616780f734" TargetMode="External"/><Relationship Id="rId181" Type="http://schemas.openxmlformats.org/officeDocument/2006/relationships/hyperlink" Target="https://auction.openprocurement.org/tenders/557b66e6a614418e811b8c0641b64958" TargetMode="External"/><Relationship Id="rId237" Type="http://schemas.openxmlformats.org/officeDocument/2006/relationships/hyperlink" Target="https://auction.openprocurement.org/tenders/3471bac760314befbaff42442ff2d950" TargetMode="External"/><Relationship Id="rId279" Type="http://schemas.openxmlformats.org/officeDocument/2006/relationships/hyperlink" Target="https://auction.openprocurement.org/tenders/251a35ab1621412aa47d63eec7b58a0c" TargetMode="External"/><Relationship Id="rId43" Type="http://schemas.openxmlformats.org/officeDocument/2006/relationships/hyperlink" Target="https://auction.openprocurement.org/tenders/9a6da94b318844d08bcbd012a28eb684" TargetMode="External"/><Relationship Id="rId139" Type="http://schemas.openxmlformats.org/officeDocument/2006/relationships/hyperlink" Target="https://auction.openprocurement.org/tenders/7ac71ef48440474cb59fe2e6b31e4020" TargetMode="External"/><Relationship Id="rId290" Type="http://schemas.openxmlformats.org/officeDocument/2006/relationships/hyperlink" Target="https://auction.openprocurement.org/tenders/5b80b997f83141d5a122423b339e0eaf" TargetMode="External"/><Relationship Id="rId304" Type="http://schemas.openxmlformats.org/officeDocument/2006/relationships/hyperlink" Target="https://auction.openprocurement.org/tenders/96321b407ce241d58ceee21543e1db33" TargetMode="External"/><Relationship Id="rId85" Type="http://schemas.openxmlformats.org/officeDocument/2006/relationships/hyperlink" Target="https://auction.openprocurement.org/tenders/1b737735f2094bf8b615b8f625b4c16b" TargetMode="External"/><Relationship Id="rId150" Type="http://schemas.openxmlformats.org/officeDocument/2006/relationships/hyperlink" Target="https://auction.openprocurement.org/tenders/ab45d3a9d7d84182bcd6b68154d1169d" TargetMode="External"/><Relationship Id="rId192" Type="http://schemas.openxmlformats.org/officeDocument/2006/relationships/hyperlink" Target="https://auction.openprocurement.org/tenders/f18487b31d644b99aefbcae8f659ebbf" TargetMode="External"/><Relationship Id="rId206" Type="http://schemas.openxmlformats.org/officeDocument/2006/relationships/hyperlink" Target="https://auction.openprocurement.org/tenders/ead32865c1114f7793cbc4781f0a7791" TargetMode="External"/><Relationship Id="rId248" Type="http://schemas.openxmlformats.org/officeDocument/2006/relationships/hyperlink" Target="https://auction.openprocurement.org/tenders/2aeeff6cb4414b9b8876bbee1836a5c3" TargetMode="External"/><Relationship Id="rId12" Type="http://schemas.openxmlformats.org/officeDocument/2006/relationships/hyperlink" Target="https://auction.openprocurement.org/tenders/4e0affd479994b29aaa7066b89f95863" TargetMode="External"/><Relationship Id="rId108" Type="http://schemas.openxmlformats.org/officeDocument/2006/relationships/hyperlink" Target="https://auction.openprocurement.org/tenders/9e921dad4ee044209ead8ff701c59750" TargetMode="External"/><Relationship Id="rId315" Type="http://schemas.openxmlformats.org/officeDocument/2006/relationships/hyperlink" Target="https://auction.openprocurement.org/tenders/58d94d5859df407ea7c884a9bb7a3775" TargetMode="External"/><Relationship Id="rId54" Type="http://schemas.openxmlformats.org/officeDocument/2006/relationships/hyperlink" Target="https://auction.openprocurement.org/tenders/6634ce5c85e94346b504bb99fefdab53" TargetMode="External"/><Relationship Id="rId96" Type="http://schemas.openxmlformats.org/officeDocument/2006/relationships/hyperlink" Target="https://auction.openprocurement.org/tenders/8e7d1830d7cc43b59516423a5cd06d42" TargetMode="External"/><Relationship Id="rId161" Type="http://schemas.openxmlformats.org/officeDocument/2006/relationships/hyperlink" Target="https://auction.openprocurement.org/tenders/6b6f096001da4d89b71bac324d745437" TargetMode="External"/><Relationship Id="rId217" Type="http://schemas.openxmlformats.org/officeDocument/2006/relationships/hyperlink" Target="https://auction.openprocurement.org/tenders/0384cd809a254850a458ea0a10261992" TargetMode="External"/><Relationship Id="rId259" Type="http://schemas.openxmlformats.org/officeDocument/2006/relationships/hyperlink" Target="https://auction.openprocurement.org/tenders/2dbe9e1a1893472c9d616910549915de" TargetMode="External"/><Relationship Id="rId23" Type="http://schemas.openxmlformats.org/officeDocument/2006/relationships/hyperlink" Target="https://auction.openprocurement.org/tenders/977e0b37e4ab466ebd749e2a55b3bcef_9f93ef2ae9b841438ae40b21b033ef87" TargetMode="External"/><Relationship Id="rId119" Type="http://schemas.openxmlformats.org/officeDocument/2006/relationships/hyperlink" Target="https://auction.openprocurement.org/tenders/945f7af88d954b718752e20a4a805937" TargetMode="External"/><Relationship Id="rId270" Type="http://schemas.openxmlformats.org/officeDocument/2006/relationships/hyperlink" Target="https://auction.openprocurement.org/tenders/25abbc89608c407194f3e5ab74002593" TargetMode="External"/><Relationship Id="rId326" Type="http://schemas.openxmlformats.org/officeDocument/2006/relationships/hyperlink" Target="https://auction.openprocurement.org/tenders/3a6f35332aed4368bf5e3e0a4c6262bd" TargetMode="External"/><Relationship Id="rId65" Type="http://schemas.openxmlformats.org/officeDocument/2006/relationships/hyperlink" Target="https://auction.openprocurement.org/tenders/ba7329560f1f46b5bcc761458e495a87" TargetMode="External"/><Relationship Id="rId130" Type="http://schemas.openxmlformats.org/officeDocument/2006/relationships/hyperlink" Target="https://auction.openprocurement.org/tenders/acc76a3e60fd43a7bc84300a1a93d41c" TargetMode="External"/><Relationship Id="rId172" Type="http://schemas.openxmlformats.org/officeDocument/2006/relationships/hyperlink" Target="https://auction.openprocurement.org/tenders/6c01155e16d8417394073001fa491b9d" TargetMode="External"/><Relationship Id="rId228" Type="http://schemas.openxmlformats.org/officeDocument/2006/relationships/hyperlink" Target="https://auction.openprocurement.org/tenders/a201e03aaa9e4a309d23541a88200e49" TargetMode="External"/><Relationship Id="rId281" Type="http://schemas.openxmlformats.org/officeDocument/2006/relationships/hyperlink" Target="https://auction.openprocurement.org/tenders/06abccce540146e68898ba7310fa2d93" TargetMode="External"/><Relationship Id="rId34" Type="http://schemas.openxmlformats.org/officeDocument/2006/relationships/hyperlink" Target="https://auction.openprocurement.org/tenders/956876e48f6f4f5d9cdef3436fc264f2" TargetMode="External"/><Relationship Id="rId76" Type="http://schemas.openxmlformats.org/officeDocument/2006/relationships/hyperlink" Target="https://auction.openprocurement.org/tenders/8b328a4eecd0463682baec538ae0f5eb" TargetMode="External"/><Relationship Id="rId141" Type="http://schemas.openxmlformats.org/officeDocument/2006/relationships/hyperlink" Target="https://auction.openprocurement.org/tenders/dfa62b58cdbd450c9934036c6ec58abe" TargetMode="External"/><Relationship Id="rId7" Type="http://schemas.openxmlformats.org/officeDocument/2006/relationships/hyperlink" Target="https://auction.openprocurement.org/tenders/92b021df782f4466926f6f94701cdc86" TargetMode="External"/><Relationship Id="rId183" Type="http://schemas.openxmlformats.org/officeDocument/2006/relationships/hyperlink" Target="https://auction.openprocurement.org/tenders/08850027c2894e1cb452c67d34669229_3c9e1d81ea6e430284eb7a319884a1c4" TargetMode="External"/><Relationship Id="rId239" Type="http://schemas.openxmlformats.org/officeDocument/2006/relationships/hyperlink" Target="https://auction.openprocurement.org/tenders/c92e1ffad73643c0bc549cdecafe88bf" TargetMode="External"/><Relationship Id="rId250" Type="http://schemas.openxmlformats.org/officeDocument/2006/relationships/hyperlink" Target="https://auction.openprocurement.org/tenders/b79b1d6a3f2d47cda99d2b2f59c22d3c" TargetMode="External"/><Relationship Id="rId271" Type="http://schemas.openxmlformats.org/officeDocument/2006/relationships/hyperlink" Target="https://auction.openprocurement.org/tenders/e4c796b77a13449fa37e65d96f7e5551" TargetMode="External"/><Relationship Id="rId292" Type="http://schemas.openxmlformats.org/officeDocument/2006/relationships/hyperlink" Target="https://auction.openprocurement.org/tenders/2d242d882fc547ecacd21b70eaa37256" TargetMode="External"/><Relationship Id="rId306" Type="http://schemas.openxmlformats.org/officeDocument/2006/relationships/hyperlink" Target="https://auction.openprocurement.org/tenders/aca900f09ddf45a3b0eb0e3ba294fbb3" TargetMode="External"/><Relationship Id="rId24" Type="http://schemas.openxmlformats.org/officeDocument/2006/relationships/hyperlink" Target="https://auction.openprocurement.org/tenders/977e0b37e4ab466ebd749e2a55b3bcef_0acc25282ee845bb80c1dc46ad0ea055" TargetMode="External"/><Relationship Id="rId45" Type="http://schemas.openxmlformats.org/officeDocument/2006/relationships/hyperlink" Target="https://auction.openprocurement.org/tenders/d139ca48d2194af5b8dda626fcee89b9" TargetMode="External"/><Relationship Id="rId66" Type="http://schemas.openxmlformats.org/officeDocument/2006/relationships/hyperlink" Target="https://auction.openprocurement.org/tenders/fc0aacf606d14924a3cb8e52e7c3efdc" TargetMode="External"/><Relationship Id="rId87" Type="http://schemas.openxmlformats.org/officeDocument/2006/relationships/hyperlink" Target="https://auction.openprocurement.org/tenders/0c0b490b6a17478c9b1c5703904393d6_e9a62f1b34a44195b9b686e15de09c98" TargetMode="External"/><Relationship Id="rId110" Type="http://schemas.openxmlformats.org/officeDocument/2006/relationships/hyperlink" Target="https://auction.openprocurement.org/tenders/810b65e7ba3348dda16fa8839917372c" TargetMode="External"/><Relationship Id="rId131" Type="http://schemas.openxmlformats.org/officeDocument/2006/relationships/hyperlink" Target="https://auction.openprocurement.org/tenders/bb4ee4fd69be463da2827d0ac7ea3cbe" TargetMode="External"/><Relationship Id="rId327" Type="http://schemas.openxmlformats.org/officeDocument/2006/relationships/hyperlink" Target="https://auction.openprocurement.org/tenders/987e0aeb31d14f33add7c9fbb0540bf4" TargetMode="External"/><Relationship Id="rId152" Type="http://schemas.openxmlformats.org/officeDocument/2006/relationships/hyperlink" Target="https://auction.openprocurement.org/tenders/e3d402acb8294a9e88d4fb58117f20c0" TargetMode="External"/><Relationship Id="rId173" Type="http://schemas.openxmlformats.org/officeDocument/2006/relationships/hyperlink" Target="https://auction.openprocurement.org/tenders/d5a2101061f646d78a922ce7e5623484" TargetMode="External"/><Relationship Id="rId194" Type="http://schemas.openxmlformats.org/officeDocument/2006/relationships/hyperlink" Target="https://auction.openprocurement.org/tenders/46d741882dd64070a63ef5afaa967e05" TargetMode="External"/><Relationship Id="rId208" Type="http://schemas.openxmlformats.org/officeDocument/2006/relationships/hyperlink" Target="https://auction.openprocurement.org/tenders/64b3af0ac45f488fb3e22081f621434e" TargetMode="External"/><Relationship Id="rId229" Type="http://schemas.openxmlformats.org/officeDocument/2006/relationships/hyperlink" Target="https://auction.openprocurement.org/tenders/390eb790530b4400941f89bc62cfe210" TargetMode="External"/><Relationship Id="rId240" Type="http://schemas.openxmlformats.org/officeDocument/2006/relationships/hyperlink" Target="https://auction.openprocurement.org/tenders/f42d126bbe1a49c799f0060ed4613e5f" TargetMode="External"/><Relationship Id="rId261" Type="http://schemas.openxmlformats.org/officeDocument/2006/relationships/hyperlink" Target="https://auction.openprocurement.org/tenders/644ae2a08a1f49f5a75112f3850946d5" TargetMode="External"/><Relationship Id="rId14" Type="http://schemas.openxmlformats.org/officeDocument/2006/relationships/hyperlink" Target="https://auction.openprocurement.org/tenders/0ae38d55860645d98dbb6764f8471339" TargetMode="External"/><Relationship Id="rId35" Type="http://schemas.openxmlformats.org/officeDocument/2006/relationships/hyperlink" Target="https://auction.openprocurement.org/tenders/5e500933bcd544218bc5db55fbbcecd9" TargetMode="External"/><Relationship Id="rId56" Type="http://schemas.openxmlformats.org/officeDocument/2006/relationships/hyperlink" Target="https://auction.openprocurement.org/tenders/eb122d218e9a46f2b1bca5380261e72c" TargetMode="External"/><Relationship Id="rId77" Type="http://schemas.openxmlformats.org/officeDocument/2006/relationships/hyperlink" Target="https://auction.openprocurement.org/tenders/d9955706c1034e4bb0af1c01727d5598" TargetMode="External"/><Relationship Id="rId100" Type="http://schemas.openxmlformats.org/officeDocument/2006/relationships/hyperlink" Target="https://auction.openprocurement.org/tenders/ad6b8fdc30be4f029bcc5e88f5bde762" TargetMode="External"/><Relationship Id="rId282" Type="http://schemas.openxmlformats.org/officeDocument/2006/relationships/hyperlink" Target="https://auction.openprocurement.org/tenders/3ee3eab322864daf874a05dc45356093" TargetMode="External"/><Relationship Id="rId317" Type="http://schemas.openxmlformats.org/officeDocument/2006/relationships/hyperlink" Target="https://auction.openprocurement.org/tenders/7b8dc97875c548cd93e8a9130f8a75c2" TargetMode="External"/><Relationship Id="rId8" Type="http://schemas.openxmlformats.org/officeDocument/2006/relationships/hyperlink" Target="https://auction.openprocurement.org/tenders/0ac08df857c4471596f3c18168f347c7" TargetMode="External"/><Relationship Id="rId98" Type="http://schemas.openxmlformats.org/officeDocument/2006/relationships/hyperlink" Target="https://auction.openprocurement.org/tenders/7d1d7cb2a59648bea4db478d930b0896" TargetMode="External"/><Relationship Id="rId121" Type="http://schemas.openxmlformats.org/officeDocument/2006/relationships/hyperlink" Target="https://auction.openprocurement.org/tenders/d5f97adbee204754a30a2983e3c857ff" TargetMode="External"/><Relationship Id="rId142" Type="http://schemas.openxmlformats.org/officeDocument/2006/relationships/hyperlink" Target="https://auction.openprocurement.org/tenders/f2036c6f1aeb4d9497895a4f7e8b1616" TargetMode="External"/><Relationship Id="rId163" Type="http://schemas.openxmlformats.org/officeDocument/2006/relationships/hyperlink" Target="https://auction.openprocurement.org/tenders/3daec4c0f0734155873654db6eb79d1b" TargetMode="External"/><Relationship Id="rId184" Type="http://schemas.openxmlformats.org/officeDocument/2006/relationships/hyperlink" Target="https://auction.openprocurement.org/tenders/08850027c2894e1cb452c67d34669229_ddcad6f3d4f64accb9739fbb42b25e3a" TargetMode="External"/><Relationship Id="rId219" Type="http://schemas.openxmlformats.org/officeDocument/2006/relationships/hyperlink" Target="https://auction.openprocurement.org/tenders/05843794a947437a847417c1b26e4ae1" TargetMode="External"/><Relationship Id="rId230" Type="http://schemas.openxmlformats.org/officeDocument/2006/relationships/hyperlink" Target="https://auction.openprocurement.org/tenders/f1bb916640fa42a5b48cf432cdc5e2b7" TargetMode="External"/><Relationship Id="rId251" Type="http://schemas.openxmlformats.org/officeDocument/2006/relationships/hyperlink" Target="https://auction.openprocurement.org/tenders/43465370f2ae4cb3941c73c7328fa8da" TargetMode="External"/><Relationship Id="rId25" Type="http://schemas.openxmlformats.org/officeDocument/2006/relationships/hyperlink" Target="https://auction.openprocurement.org/tenders/977e0b37e4ab466ebd749e2a55b3bcef_3f24f16063af45f180afba33e60418dd" TargetMode="External"/><Relationship Id="rId46" Type="http://schemas.openxmlformats.org/officeDocument/2006/relationships/hyperlink" Target="https://auction.openprocurement.org/tenders/c14f51da06db40239680950605ba3c1f" TargetMode="External"/><Relationship Id="rId67" Type="http://schemas.openxmlformats.org/officeDocument/2006/relationships/hyperlink" Target="https://auction.openprocurement.org/tenders/45bbdd5c4b9c45ffaeb973365815dca5" TargetMode="External"/><Relationship Id="rId272" Type="http://schemas.openxmlformats.org/officeDocument/2006/relationships/hyperlink" Target="https://auction.openprocurement.org/tenders/b17496beaf8745e1ac0db30fcb6678da" TargetMode="External"/><Relationship Id="rId293" Type="http://schemas.openxmlformats.org/officeDocument/2006/relationships/hyperlink" Target="https://auction.openprocurement.org/tenders/209c31a7b4c1449a80934dd239958791" TargetMode="External"/><Relationship Id="rId307" Type="http://schemas.openxmlformats.org/officeDocument/2006/relationships/hyperlink" Target="https://auction.openprocurement.org/tenders/a385b652f5244d178bc604cbe94985bd" TargetMode="External"/><Relationship Id="rId328" Type="http://schemas.openxmlformats.org/officeDocument/2006/relationships/hyperlink" Target="https://auction.openprocurement.org/tenders/df56aea68e824af2a4327d17839f819a" TargetMode="External"/><Relationship Id="rId88" Type="http://schemas.openxmlformats.org/officeDocument/2006/relationships/hyperlink" Target="https://auction.openprocurement.org/tenders/d00828068cee4a97b79f4c78a97efc22" TargetMode="External"/><Relationship Id="rId111" Type="http://schemas.openxmlformats.org/officeDocument/2006/relationships/hyperlink" Target="https://auction.openprocurement.org/tenders/6fa3037901df47c3a3e11de7e7c2a3cd" TargetMode="External"/><Relationship Id="rId132" Type="http://schemas.openxmlformats.org/officeDocument/2006/relationships/hyperlink" Target="https://auction.openprocurement.org/tenders/bd5a08a778d84360930430adb81febc8" TargetMode="External"/><Relationship Id="rId153" Type="http://schemas.openxmlformats.org/officeDocument/2006/relationships/hyperlink" Target="https://auction.openprocurement.org/tenders/3ab23abb34ef4e9f85b52f0bcec6834f" TargetMode="External"/><Relationship Id="rId174" Type="http://schemas.openxmlformats.org/officeDocument/2006/relationships/hyperlink" Target="https://auction.openprocurement.org/tenders/b517297ba693474880e664c0ee6ab07e_d7e673465a4b44a9b991f8f4ad9afacd" TargetMode="External"/><Relationship Id="rId195" Type="http://schemas.openxmlformats.org/officeDocument/2006/relationships/hyperlink" Target="https://auction.openprocurement.org/tenders/2539219731834f669bf34115b751c4a7" TargetMode="External"/><Relationship Id="rId209" Type="http://schemas.openxmlformats.org/officeDocument/2006/relationships/hyperlink" Target="https://auction.openprocurement.org/tenders/c595042eebbf487bb3a57608435dadaa" TargetMode="External"/><Relationship Id="rId220" Type="http://schemas.openxmlformats.org/officeDocument/2006/relationships/hyperlink" Target="https://auction.openprocurement.org/tenders/d4d699e874c84f839907e8809bb0b357" TargetMode="External"/><Relationship Id="rId241" Type="http://schemas.openxmlformats.org/officeDocument/2006/relationships/hyperlink" Target="https://auction.openprocurement.org/tenders/a2c96f3193d24bb2823f62248b2aa9d1" TargetMode="External"/><Relationship Id="rId15" Type="http://schemas.openxmlformats.org/officeDocument/2006/relationships/hyperlink" Target="https://auction.openprocurement.org/tenders/468a04190d3c4d25a39f5462b33c36b0" TargetMode="External"/><Relationship Id="rId36" Type="http://schemas.openxmlformats.org/officeDocument/2006/relationships/hyperlink" Target="https://auction.openprocurement.org/tenders/8878e9e2df2541cca38ee1c2e1f706f5" TargetMode="External"/><Relationship Id="rId57" Type="http://schemas.openxmlformats.org/officeDocument/2006/relationships/hyperlink" Target="https://auction.openprocurement.org/tenders/02ee798f05af4bc88ab16040f8b49925" TargetMode="External"/><Relationship Id="rId262" Type="http://schemas.openxmlformats.org/officeDocument/2006/relationships/hyperlink" Target="https://auction.openprocurement.org/tenders/086e021dd60b479dbb66c8b70147d2f3" TargetMode="External"/><Relationship Id="rId283" Type="http://schemas.openxmlformats.org/officeDocument/2006/relationships/hyperlink" Target="https://auction.openprocurement.org/tenders/1d964509e3444c5ab64bacfb5e725ae7" TargetMode="External"/><Relationship Id="rId318" Type="http://schemas.openxmlformats.org/officeDocument/2006/relationships/hyperlink" Target="https://auction.openprocurement.org/tenders/9fc0602938ab4d05a1e07b4abd1824c2" TargetMode="External"/><Relationship Id="rId78" Type="http://schemas.openxmlformats.org/officeDocument/2006/relationships/hyperlink" Target="https://auction.openprocurement.org/tenders/2033849c0f8243ee81f47d55744c84d1" TargetMode="External"/><Relationship Id="rId99" Type="http://schemas.openxmlformats.org/officeDocument/2006/relationships/hyperlink" Target="https://auction.openprocurement.org/tenders/cba8148d4af443bdb25affe0be0ceff6" TargetMode="External"/><Relationship Id="rId101" Type="http://schemas.openxmlformats.org/officeDocument/2006/relationships/hyperlink" Target="https://auction.openprocurement.org/tenders/6de42af730d64dc79a41dacb72daa555" TargetMode="External"/><Relationship Id="rId122" Type="http://schemas.openxmlformats.org/officeDocument/2006/relationships/hyperlink" Target="https://auction.openprocurement.org/tenders/a70f003667ab4b7abaa65591d0aa0de4" TargetMode="External"/><Relationship Id="rId143" Type="http://schemas.openxmlformats.org/officeDocument/2006/relationships/hyperlink" Target="https://auction.openprocurement.org/tenders/cb67d23f27b5496e92b385b6b7ccba7b" TargetMode="External"/><Relationship Id="rId164" Type="http://schemas.openxmlformats.org/officeDocument/2006/relationships/hyperlink" Target="https://auction.openprocurement.org/tenders/6222c6fe0a774860a78f01ff820c3626" TargetMode="External"/><Relationship Id="rId185" Type="http://schemas.openxmlformats.org/officeDocument/2006/relationships/hyperlink" Target="https://auction.openprocurement.org/tenders/9e70a6f5cc0b4247a477c05fd5ae30e6" TargetMode="External"/><Relationship Id="rId9" Type="http://schemas.openxmlformats.org/officeDocument/2006/relationships/hyperlink" Target="https://auction.openprocurement.org/tenders/3e06c3cdf2f84f8298974f221f5b51bd" TargetMode="External"/><Relationship Id="rId210" Type="http://schemas.openxmlformats.org/officeDocument/2006/relationships/hyperlink" Target="https://auction.openprocurement.org/tenders/21bd05f27cda4f0189b81057c0a181a8" TargetMode="External"/><Relationship Id="rId26" Type="http://schemas.openxmlformats.org/officeDocument/2006/relationships/hyperlink" Target="https://auction.openprocurement.org/tenders/30d5443d431b4361b80aeb63e0550b3f" TargetMode="External"/><Relationship Id="rId231" Type="http://schemas.openxmlformats.org/officeDocument/2006/relationships/hyperlink" Target="https://auction.openprocurement.org/tenders/926fcfee664345aa9eff99cd09780cd3" TargetMode="External"/><Relationship Id="rId252" Type="http://schemas.openxmlformats.org/officeDocument/2006/relationships/hyperlink" Target="https://auction.openprocurement.org/tenders/8f3478a23a5a47b88b57006b52df4ba6" TargetMode="External"/><Relationship Id="rId273" Type="http://schemas.openxmlformats.org/officeDocument/2006/relationships/hyperlink" Target="https://auction.openprocurement.org/tenders/72d1fbc15baa43f1826fb5529952df40" TargetMode="External"/><Relationship Id="rId294" Type="http://schemas.openxmlformats.org/officeDocument/2006/relationships/hyperlink" Target="https://auction.openprocurement.org/tenders/20d617596e31433e82d14f241d1b9594" TargetMode="External"/><Relationship Id="rId308" Type="http://schemas.openxmlformats.org/officeDocument/2006/relationships/hyperlink" Target="https://auction.openprocurement.org/tenders/377491114d9740c79a1f330b6f041998_3577dbdd0f9947099b165bc89dc43765" TargetMode="External"/><Relationship Id="rId329" Type="http://schemas.openxmlformats.org/officeDocument/2006/relationships/printerSettings" Target="../printerSettings/printerSettings1.bin"/><Relationship Id="rId47" Type="http://schemas.openxmlformats.org/officeDocument/2006/relationships/hyperlink" Target="https://auction.openprocurement.org/tenders/86a01d270995456fb11efbb6e7be1beb" TargetMode="External"/><Relationship Id="rId68" Type="http://schemas.openxmlformats.org/officeDocument/2006/relationships/hyperlink" Target="https://auction.openprocurement.org/tenders/5ea8203c628243fe94bb77862c057401" TargetMode="External"/><Relationship Id="rId89" Type="http://schemas.openxmlformats.org/officeDocument/2006/relationships/hyperlink" Target="https://auction.openprocurement.org/tenders/157926e32bd2436cbf8e605db57cf8e2" TargetMode="External"/><Relationship Id="rId112" Type="http://schemas.openxmlformats.org/officeDocument/2006/relationships/hyperlink" Target="https://auction.openprocurement.org/tenders/c180ea93c2f341408b8acd3b5c7ffd8a" TargetMode="External"/><Relationship Id="rId133" Type="http://schemas.openxmlformats.org/officeDocument/2006/relationships/hyperlink" Target="https://auction.openprocurement.org/tenders/cd7dc4d79dcf4c5a95157e4a12862cfa" TargetMode="External"/><Relationship Id="rId154" Type="http://schemas.openxmlformats.org/officeDocument/2006/relationships/hyperlink" Target="https://auction.openprocurement.org/tenders/3569772e7c2845b68ef36757d0b3fcfd" TargetMode="External"/><Relationship Id="rId175" Type="http://schemas.openxmlformats.org/officeDocument/2006/relationships/hyperlink" Target="https://auction.openprocurement.org/tenders/b517297ba693474880e664c0ee6ab07e_5bdb6778899b45fdab33b8276d5f8d2a" TargetMode="External"/><Relationship Id="rId196" Type="http://schemas.openxmlformats.org/officeDocument/2006/relationships/hyperlink" Target="https://auction.openprocurement.org/tenders/9a70e1493df94dc6b563aa5cbb18c90f" TargetMode="External"/><Relationship Id="rId200" Type="http://schemas.openxmlformats.org/officeDocument/2006/relationships/hyperlink" Target="https://auction.openprocurement.org/tenders/f36afe4a759344acad66f55deaf090f1" TargetMode="External"/><Relationship Id="rId16" Type="http://schemas.openxmlformats.org/officeDocument/2006/relationships/hyperlink" Target="https://auction.openprocurement.org/tenders/84d21e278c6e4681860e7c10f4feb7de" TargetMode="External"/><Relationship Id="rId221" Type="http://schemas.openxmlformats.org/officeDocument/2006/relationships/hyperlink" Target="https://auction.openprocurement.org/tenders/01ffc7eebd9a4cf0af39f5e6cff3a90d" TargetMode="External"/><Relationship Id="rId242" Type="http://schemas.openxmlformats.org/officeDocument/2006/relationships/hyperlink" Target="https://auction.openprocurement.org/tenders/9378f22451c641c49464619e3878d81c" TargetMode="External"/><Relationship Id="rId263" Type="http://schemas.openxmlformats.org/officeDocument/2006/relationships/hyperlink" Target="https://auction.openprocurement.org/tenders/26244d40a4c1401a8c25218ee8c6a960" TargetMode="External"/><Relationship Id="rId284" Type="http://schemas.openxmlformats.org/officeDocument/2006/relationships/hyperlink" Target="https://auction.openprocurement.org/tenders/95c5ee544eb04e78a61b0b2733fc0270" TargetMode="External"/><Relationship Id="rId319" Type="http://schemas.openxmlformats.org/officeDocument/2006/relationships/hyperlink" Target="https://auction.openprocurement.org/tenders/a4171942569a4f05b5b7ded3feaf7bd3" TargetMode="External"/><Relationship Id="rId37" Type="http://schemas.openxmlformats.org/officeDocument/2006/relationships/hyperlink" Target="https://auction.openprocurement.org/tenders/5cb73ebe2fbd4ff989ba2567546a4f47" TargetMode="External"/><Relationship Id="rId58" Type="http://schemas.openxmlformats.org/officeDocument/2006/relationships/hyperlink" Target="https://auction.openprocurement.org/tenders/59e8767671b749f9abbc9d6ff233567a" TargetMode="External"/><Relationship Id="rId79" Type="http://schemas.openxmlformats.org/officeDocument/2006/relationships/hyperlink" Target="https://auction.openprocurement.org/tenders/534a14b383dd4394a2638e3e0d649054" TargetMode="External"/><Relationship Id="rId102" Type="http://schemas.openxmlformats.org/officeDocument/2006/relationships/hyperlink" Target="https://auction.openprocurement.org/tenders/63f0af6f3cd844bdae1e7d4e96ed50d7" TargetMode="External"/><Relationship Id="rId123" Type="http://schemas.openxmlformats.org/officeDocument/2006/relationships/hyperlink" Target="https://auction.openprocurement.org/tenders/dc8c39df39f14e29864b01943a07482b" TargetMode="External"/><Relationship Id="rId144" Type="http://schemas.openxmlformats.org/officeDocument/2006/relationships/hyperlink" Target="https://auction.openprocurement.org/tenders/11e2c579427e45448523a45145b5207e" TargetMode="External"/><Relationship Id="rId90" Type="http://schemas.openxmlformats.org/officeDocument/2006/relationships/hyperlink" Target="https://auction.openprocurement.org/tenders/034a02ae92d64b918b599b08991624ec" TargetMode="External"/><Relationship Id="rId165" Type="http://schemas.openxmlformats.org/officeDocument/2006/relationships/hyperlink" Target="https://auction.openprocurement.org/tenders/d02380cafd034d34943e95655f80828b" TargetMode="External"/><Relationship Id="rId186" Type="http://schemas.openxmlformats.org/officeDocument/2006/relationships/hyperlink" Target="https://auction.openprocurement.org/tenders/d6f6a7ed4b8945c4909fdb1338139e5a" TargetMode="External"/><Relationship Id="rId211" Type="http://schemas.openxmlformats.org/officeDocument/2006/relationships/hyperlink" Target="https://auction.openprocurement.org/tenders/9d45515fdbff4fe0b7c0b32938fae578" TargetMode="External"/><Relationship Id="rId232" Type="http://schemas.openxmlformats.org/officeDocument/2006/relationships/hyperlink" Target="https://auction.openprocurement.org/tenders/e5cdfbac84f14bb4bf0c692557686996" TargetMode="External"/><Relationship Id="rId253" Type="http://schemas.openxmlformats.org/officeDocument/2006/relationships/hyperlink" Target="https://auction.openprocurement.org/tenders/fbc4619b7222490fbd4510c719d704d9" TargetMode="External"/><Relationship Id="rId274" Type="http://schemas.openxmlformats.org/officeDocument/2006/relationships/hyperlink" Target="https://auction.openprocurement.org/tenders/789e2c1d9c454d80927ff5490d07833f" TargetMode="External"/><Relationship Id="rId295" Type="http://schemas.openxmlformats.org/officeDocument/2006/relationships/hyperlink" Target="https://auction.openprocurement.org/tenders/10098b9690d84cdcba42208e10a6ba18" TargetMode="External"/><Relationship Id="rId309" Type="http://schemas.openxmlformats.org/officeDocument/2006/relationships/hyperlink" Target="https://auction.openprocurement.org/tenders/f531be67e1b74cba9ab330e745408eb6" TargetMode="External"/><Relationship Id="rId27" Type="http://schemas.openxmlformats.org/officeDocument/2006/relationships/hyperlink" Target="https://auction.openprocurement.org/tenders/8173a67a00614a95b904fbb87bd806e5" TargetMode="External"/><Relationship Id="rId48" Type="http://schemas.openxmlformats.org/officeDocument/2006/relationships/hyperlink" Target="https://auction.openprocurement.org/tenders/cdafc1e55d6643dba37ce94996cd71fa" TargetMode="External"/><Relationship Id="rId69" Type="http://schemas.openxmlformats.org/officeDocument/2006/relationships/hyperlink" Target="https://auction.openprocurement.org/tenders/9f2f35f20b3e4365988cbbfabb00cb0f" TargetMode="External"/><Relationship Id="rId113" Type="http://schemas.openxmlformats.org/officeDocument/2006/relationships/hyperlink" Target="https://auction.openprocurement.org/tenders/fe0677a30dd1465fb4c82f17f9b28996" TargetMode="External"/><Relationship Id="rId134" Type="http://schemas.openxmlformats.org/officeDocument/2006/relationships/hyperlink" Target="https://auction.openprocurement.org/tenders/a08ed158e6484c08b19a37e71c500474" TargetMode="External"/><Relationship Id="rId320" Type="http://schemas.openxmlformats.org/officeDocument/2006/relationships/hyperlink" Target="https://auction.openprocurement.org/tenders/393a11408b3743e5b3aa843bdd9b54d9" TargetMode="External"/><Relationship Id="rId80" Type="http://schemas.openxmlformats.org/officeDocument/2006/relationships/hyperlink" Target="https://auction.openprocurement.org/tenders/c89e8bcd5a644242b675c05dc128cd4f" TargetMode="External"/><Relationship Id="rId155" Type="http://schemas.openxmlformats.org/officeDocument/2006/relationships/hyperlink" Target="https://auction.openprocurement.org/tenders/c8c5c3f906514b3397bfa07d6c65b34a" TargetMode="External"/><Relationship Id="rId176" Type="http://schemas.openxmlformats.org/officeDocument/2006/relationships/hyperlink" Target="https://auction.openprocurement.org/tenders/d9daa04a9a0d47a5a8279898f6c3c1d2" TargetMode="External"/><Relationship Id="rId197" Type="http://schemas.openxmlformats.org/officeDocument/2006/relationships/hyperlink" Target="https://auction.openprocurement.org/tenders/edcfa196bb8344d9ad9115c0d2b32df3" TargetMode="External"/><Relationship Id="rId201" Type="http://schemas.openxmlformats.org/officeDocument/2006/relationships/hyperlink" Target="https://auction.openprocurement.org/tenders/5fd195f29d2942239a804602a43f03fe" TargetMode="External"/><Relationship Id="rId222" Type="http://schemas.openxmlformats.org/officeDocument/2006/relationships/hyperlink" Target="https://auction.openprocurement.org/tenders/12b6c96c89d04eb4bc703b5af56d7dea" TargetMode="External"/><Relationship Id="rId243" Type="http://schemas.openxmlformats.org/officeDocument/2006/relationships/hyperlink" Target="https://auction.openprocurement.org/tenders/ff212f19b91a47ec99f13883cf6c9e01" TargetMode="External"/><Relationship Id="rId264" Type="http://schemas.openxmlformats.org/officeDocument/2006/relationships/hyperlink" Target="https://auction.openprocurement.org/tenders/c01d82ccd4564e7aab005792a45ea605" TargetMode="External"/><Relationship Id="rId285" Type="http://schemas.openxmlformats.org/officeDocument/2006/relationships/hyperlink" Target="https://auction.openprocurement.org/tenders/f47376857fe6407ead9075ba0a5e0faa_3d2d400489394d3698e4f81fb78373b9" TargetMode="External"/><Relationship Id="rId17" Type="http://schemas.openxmlformats.org/officeDocument/2006/relationships/hyperlink" Target="https://auction.openprocurement.org/tenders/00e8992f3ca049ccba91e37d6eedc282" TargetMode="External"/><Relationship Id="rId38" Type="http://schemas.openxmlformats.org/officeDocument/2006/relationships/hyperlink" Target="https://auction.openprocurement.org/tenders/64d439575bbb4a6a88cacf780e0c5fd7" TargetMode="External"/><Relationship Id="rId59" Type="http://schemas.openxmlformats.org/officeDocument/2006/relationships/hyperlink" Target="https://auction.openprocurement.org/tenders/4e3510cffabd4cfdb76924ce187db373" TargetMode="External"/><Relationship Id="rId103" Type="http://schemas.openxmlformats.org/officeDocument/2006/relationships/hyperlink" Target="https://auction.openprocurement.org/tenders/caafcc35c8804aed9d50f411b2802add" TargetMode="External"/><Relationship Id="rId124" Type="http://schemas.openxmlformats.org/officeDocument/2006/relationships/hyperlink" Target="https://auction.openprocurement.org/tenders/4c83b10680444fc98c1230e77752c08e" TargetMode="External"/><Relationship Id="rId310" Type="http://schemas.openxmlformats.org/officeDocument/2006/relationships/hyperlink" Target="https://auction.openprocurement.org/tenders/390e660f56c44b5a9952d20ad571d5b8" TargetMode="External"/><Relationship Id="rId70" Type="http://schemas.openxmlformats.org/officeDocument/2006/relationships/hyperlink" Target="https://auction.openprocurement.org/tenders/9f5fd877308b420f8e41a610233e4fbe" TargetMode="External"/><Relationship Id="rId91" Type="http://schemas.openxmlformats.org/officeDocument/2006/relationships/hyperlink" Target="https://auction.openprocurement.org/tenders/4368d17eab334560acd58a70891db31d_6a1057e9fd3c4555a8b3a6af2016f2b8" TargetMode="External"/><Relationship Id="rId145" Type="http://schemas.openxmlformats.org/officeDocument/2006/relationships/hyperlink" Target="https://auction.openprocurement.org/tenders/2f1ce22c3f6f43d6af5bb7df19f14b7e" TargetMode="External"/><Relationship Id="rId166" Type="http://schemas.openxmlformats.org/officeDocument/2006/relationships/hyperlink" Target="https://auction.openprocurement.org/tenders/589437f99dff48e69cf4bb5d180b1feb" TargetMode="External"/><Relationship Id="rId187" Type="http://schemas.openxmlformats.org/officeDocument/2006/relationships/hyperlink" Target="https://auction.openprocurement.org/tenders/e5b71c884a5e424c85deb898dae5d27b" TargetMode="External"/><Relationship Id="rId1" Type="http://schemas.openxmlformats.org/officeDocument/2006/relationships/hyperlink" Target="https://auction.openprocurement.org/tenders/dfcad74ae54c484c8143ea7ea769be6e" TargetMode="External"/><Relationship Id="rId212" Type="http://schemas.openxmlformats.org/officeDocument/2006/relationships/hyperlink" Target="https://auction.openprocurement.org/tenders/fe505dacfcc0432c90c3b3ae828e2bbf" TargetMode="External"/><Relationship Id="rId233" Type="http://schemas.openxmlformats.org/officeDocument/2006/relationships/hyperlink" Target="https://auction.openprocurement.org/tenders/60fa476de3404417af53cedbaaac105e" TargetMode="External"/><Relationship Id="rId254" Type="http://schemas.openxmlformats.org/officeDocument/2006/relationships/hyperlink" Target="https://auction.openprocurement.org/tenders/aac4bf8e900a4f05b1b311614f268098_041d8e200a204ee0a907ed5f9005d1b7" TargetMode="External"/><Relationship Id="rId28" Type="http://schemas.openxmlformats.org/officeDocument/2006/relationships/hyperlink" Target="https://auction.openprocurement.org/tenders/c3e68dbdca6043969e01a271179e2e07" TargetMode="External"/><Relationship Id="rId49" Type="http://schemas.openxmlformats.org/officeDocument/2006/relationships/hyperlink" Target="https://auction.openprocurement.org/tenders/377491114d9740c79a1f330b6f041998_533400e9b0374866b95618a19bea415c" TargetMode="External"/><Relationship Id="rId114" Type="http://schemas.openxmlformats.org/officeDocument/2006/relationships/hyperlink" Target="https://auction.openprocurement.org/tenders/a213ee4fff4546e992961d3ba6c4a691" TargetMode="External"/><Relationship Id="rId275" Type="http://schemas.openxmlformats.org/officeDocument/2006/relationships/hyperlink" Target="https://auction.openprocurement.org/tenders/8fd2bb5a31bd484d92f5f4415fab115c" TargetMode="External"/><Relationship Id="rId296" Type="http://schemas.openxmlformats.org/officeDocument/2006/relationships/hyperlink" Target="https://auction.openprocurement.org/tenders/bc49cd7ca57844f1a3b8f77804ffa292" TargetMode="External"/><Relationship Id="rId300" Type="http://schemas.openxmlformats.org/officeDocument/2006/relationships/hyperlink" Target="https://auction.openprocurement.org/tenders/44a3c859e298495f9915a1c56dca872f" TargetMode="External"/><Relationship Id="rId60" Type="http://schemas.openxmlformats.org/officeDocument/2006/relationships/hyperlink" Target="https://auction.openprocurement.org/tenders/4b1229f3c21f401a93d2c8faf60caba3" TargetMode="External"/><Relationship Id="rId81" Type="http://schemas.openxmlformats.org/officeDocument/2006/relationships/hyperlink" Target="https://auction.openprocurement.org/tenders/4087f213b31c432c8632ce5eadd961fc" TargetMode="External"/><Relationship Id="rId135" Type="http://schemas.openxmlformats.org/officeDocument/2006/relationships/hyperlink" Target="https://auction.openprocurement.org/tenders/d6747f8c27b7413292032b2b0043e50a" TargetMode="External"/><Relationship Id="rId156" Type="http://schemas.openxmlformats.org/officeDocument/2006/relationships/hyperlink" Target="https://auction.openprocurement.org/tenders/2528bf6b1c3a4c06a4017495fbc428c4" TargetMode="External"/><Relationship Id="rId177" Type="http://schemas.openxmlformats.org/officeDocument/2006/relationships/hyperlink" Target="https://auction.openprocurement.org/tenders/0a3a22e309bc491fa577d60e49c72ad2" TargetMode="External"/><Relationship Id="rId198" Type="http://schemas.openxmlformats.org/officeDocument/2006/relationships/hyperlink" Target="https://auction.openprocurement.org/tenders/7cc15a59fccf4fd79e3cd9e73e7dae35" TargetMode="External"/><Relationship Id="rId321" Type="http://schemas.openxmlformats.org/officeDocument/2006/relationships/hyperlink" Target="https://auction.openprocurement.org/tenders/60e8cc9220e04c23a73225a23a2822a4" TargetMode="External"/><Relationship Id="rId202" Type="http://schemas.openxmlformats.org/officeDocument/2006/relationships/hyperlink" Target="https://auction.openprocurement.org/tenders/ced5db6a8d90433d8c3768f14fa68ff5" TargetMode="External"/><Relationship Id="rId223" Type="http://schemas.openxmlformats.org/officeDocument/2006/relationships/hyperlink" Target="https://auction.openprocurement.org/tenders/71fc17b3cb4343e88e12c36200d8742e_a304463286c94367829dbf3f4ef95fd8" TargetMode="External"/><Relationship Id="rId244" Type="http://schemas.openxmlformats.org/officeDocument/2006/relationships/hyperlink" Target="https://auction.openprocurement.org/tenders/07ab3e840da942f4827c1403c132b006" TargetMode="External"/><Relationship Id="rId18" Type="http://schemas.openxmlformats.org/officeDocument/2006/relationships/hyperlink" Target="https://auction.openprocurement.org/tenders/cc183fc0d4aa4cf6aac01ad7cb0f4345" TargetMode="External"/><Relationship Id="rId39" Type="http://schemas.openxmlformats.org/officeDocument/2006/relationships/hyperlink" Target="https://auction.openprocurement.org/tenders/857f5ff3dbd64619921179800ae9e40b" TargetMode="External"/><Relationship Id="rId265" Type="http://schemas.openxmlformats.org/officeDocument/2006/relationships/hyperlink" Target="https://auction.openprocurement.org/tenders/f4316c1815e6443096bc8a91e9681065" TargetMode="External"/><Relationship Id="rId286" Type="http://schemas.openxmlformats.org/officeDocument/2006/relationships/hyperlink" Target="https://auction.openprocurement.org/tenders/f83b15a67b654912a60f7944a618199d_0346283a025e45fb9cafcbd511275e11" TargetMode="External"/><Relationship Id="rId50" Type="http://schemas.openxmlformats.org/officeDocument/2006/relationships/hyperlink" Target="https://auction.openprocurement.org/tenders/a86de68b787a42eeb15a4ea1cb7e4aac" TargetMode="External"/><Relationship Id="rId104" Type="http://schemas.openxmlformats.org/officeDocument/2006/relationships/hyperlink" Target="https://auction.openprocurement.org/tenders/eadda134dc1e42068fbdb0eb9d646af1_2a160f32512146b28042614c411373fd" TargetMode="External"/><Relationship Id="rId125" Type="http://schemas.openxmlformats.org/officeDocument/2006/relationships/hyperlink" Target="https://auction.openprocurement.org/tenders/d57d9d1d8d2d4bb1aae35aeb3466322a" TargetMode="External"/><Relationship Id="rId146" Type="http://schemas.openxmlformats.org/officeDocument/2006/relationships/hyperlink" Target="https://auction.openprocurement.org/tenders/fb3f466077ae49baa325b090cec136b3" TargetMode="External"/><Relationship Id="rId167" Type="http://schemas.openxmlformats.org/officeDocument/2006/relationships/hyperlink" Target="https://auction.openprocurement.org/tenders/562490c5905d4308b38c17a77d0aecc8" TargetMode="External"/><Relationship Id="rId188" Type="http://schemas.openxmlformats.org/officeDocument/2006/relationships/hyperlink" Target="https://auction.openprocurement.org/tenders/59cc16b7c4874e20b9e2ec94173b6a0e" TargetMode="External"/><Relationship Id="rId311" Type="http://schemas.openxmlformats.org/officeDocument/2006/relationships/hyperlink" Target="https://auction.openprocurement.org/tenders/24fade6aa438437489ed9c0a25a653d2" TargetMode="External"/><Relationship Id="rId71" Type="http://schemas.openxmlformats.org/officeDocument/2006/relationships/hyperlink" Target="https://auction.openprocurement.org/tenders/d2633ddc5b264cadb602c5d20a49c4d6" TargetMode="External"/><Relationship Id="rId92" Type="http://schemas.openxmlformats.org/officeDocument/2006/relationships/hyperlink" Target="https://auction.openprocurement.org/tenders/4368d17eab334560acd58a70891db31d_bf68e8024c60484aa99e6788f0163091" TargetMode="External"/><Relationship Id="rId213" Type="http://schemas.openxmlformats.org/officeDocument/2006/relationships/hyperlink" Target="https://auction.openprocurement.org/tenders/04c6d2d8623841acbdaa72bf0f116a91" TargetMode="External"/><Relationship Id="rId234" Type="http://schemas.openxmlformats.org/officeDocument/2006/relationships/hyperlink" Target="https://auction.openprocurement.org/tenders/7bfbbfe6ac8b4835a4f0063d714d2b56" TargetMode="External"/><Relationship Id="rId2" Type="http://schemas.openxmlformats.org/officeDocument/2006/relationships/hyperlink" Target="https://auction.openprocurement.org/tenders/bb1cf8a3cb334dc2a911b18367d70e09_82606e353f0b42faa300b629813594e9" TargetMode="External"/><Relationship Id="rId29" Type="http://schemas.openxmlformats.org/officeDocument/2006/relationships/hyperlink" Target="https://auction.openprocurement.org/tenders/5aa55e0aba5842dab9218fa3a1566f88" TargetMode="External"/><Relationship Id="rId255" Type="http://schemas.openxmlformats.org/officeDocument/2006/relationships/hyperlink" Target="https://auction.openprocurement.org/tenders/aac4bf8e900a4f05b1b311614f268098_5d4394e2e21f4712b524fa25ec64d66f" TargetMode="External"/><Relationship Id="rId276" Type="http://schemas.openxmlformats.org/officeDocument/2006/relationships/hyperlink" Target="https://auction.openprocurement.org/tenders/2f02f574d04748f2add6c34541a01e19" TargetMode="External"/><Relationship Id="rId297" Type="http://schemas.openxmlformats.org/officeDocument/2006/relationships/hyperlink" Target="https://auction.openprocurement.org/tenders/396c6c3cc0df476bbd0c5c377a273b49" TargetMode="External"/><Relationship Id="rId40" Type="http://schemas.openxmlformats.org/officeDocument/2006/relationships/hyperlink" Target="https://auction.openprocurement.org/tenders/4252053321d34603a953f3f38e175b23" TargetMode="External"/><Relationship Id="rId115" Type="http://schemas.openxmlformats.org/officeDocument/2006/relationships/hyperlink" Target="https://auction.openprocurement.org/tenders/c0d98fd9303f464baeb63173d642e698" TargetMode="External"/><Relationship Id="rId136" Type="http://schemas.openxmlformats.org/officeDocument/2006/relationships/hyperlink" Target="https://auction.openprocurement.org/tenders/8c10bbe5052c4be089375506f44eec9b" TargetMode="External"/><Relationship Id="rId157" Type="http://schemas.openxmlformats.org/officeDocument/2006/relationships/hyperlink" Target="https://auction.openprocurement.org/tenders/961e2c27f10a4bc9b432f9591cc4dc8a" TargetMode="External"/><Relationship Id="rId178" Type="http://schemas.openxmlformats.org/officeDocument/2006/relationships/hyperlink" Target="https://auction.openprocurement.org/tenders/859cf5c64f6e4ffa89c8f0eff5a093a0" TargetMode="External"/><Relationship Id="rId301" Type="http://schemas.openxmlformats.org/officeDocument/2006/relationships/hyperlink" Target="https://auction.openprocurement.org/tenders/58ccfed5ff3d4bf692798e97913d521a" TargetMode="External"/><Relationship Id="rId322" Type="http://schemas.openxmlformats.org/officeDocument/2006/relationships/hyperlink" Target="https://auction.openprocurement.org/tenders/a2c66a78e6074222bd5bb02827c0950f" TargetMode="External"/><Relationship Id="rId61" Type="http://schemas.openxmlformats.org/officeDocument/2006/relationships/hyperlink" Target="https://auction.openprocurement.org/tenders/53420476cc04476fb9c469fb38ef24cd" TargetMode="External"/><Relationship Id="rId82" Type="http://schemas.openxmlformats.org/officeDocument/2006/relationships/hyperlink" Target="https://auction.openprocurement.org/tenders/70b976b2c970407c82efba591b640f81" TargetMode="External"/><Relationship Id="rId199" Type="http://schemas.openxmlformats.org/officeDocument/2006/relationships/hyperlink" Target="https://auction.openprocurement.org/tenders/314cf5d60f114b1487c663cbbe86886b" TargetMode="External"/><Relationship Id="rId203" Type="http://schemas.openxmlformats.org/officeDocument/2006/relationships/hyperlink" Target="https://auction.openprocurement.org/tenders/d7a9ae1998ed4dcaa56afec21a857fcf" TargetMode="External"/><Relationship Id="rId19" Type="http://schemas.openxmlformats.org/officeDocument/2006/relationships/hyperlink" Target="https://auction.openprocurement.org/tenders/f1af6510bab849b0876459752272990a" TargetMode="External"/><Relationship Id="rId224" Type="http://schemas.openxmlformats.org/officeDocument/2006/relationships/hyperlink" Target="https://auction.openprocurement.org/tenders/71fc17b3cb4343e88e12c36200d8742e_298be3e606fc466b8ac36f03b14986cb" TargetMode="External"/><Relationship Id="rId245" Type="http://schemas.openxmlformats.org/officeDocument/2006/relationships/hyperlink" Target="https://auction.openprocurement.org/tenders/5dabc1337d9e4b268f16cf9543c8d900" TargetMode="External"/><Relationship Id="rId266" Type="http://schemas.openxmlformats.org/officeDocument/2006/relationships/hyperlink" Target="https://auction.openprocurement.org/tenders/d66b93b602544f3999723f3acce6c681" TargetMode="External"/><Relationship Id="rId287" Type="http://schemas.openxmlformats.org/officeDocument/2006/relationships/hyperlink" Target="https://auction.openprocurement.org/tenders/f47376857fe6407ead9075ba0a5e0faa_0be480ec434e4b009fea76f4e8e21135" TargetMode="External"/><Relationship Id="rId30" Type="http://schemas.openxmlformats.org/officeDocument/2006/relationships/hyperlink" Target="https://auction.openprocurement.org/tenders/1fda4230fa934c81b9dad46c52e4543a" TargetMode="External"/><Relationship Id="rId105" Type="http://schemas.openxmlformats.org/officeDocument/2006/relationships/hyperlink" Target="https://auction.openprocurement.org/tenders/eadda134dc1e42068fbdb0eb9d646af1_3f9d7ec33df64924998f47601a0e85ef" TargetMode="External"/><Relationship Id="rId126" Type="http://schemas.openxmlformats.org/officeDocument/2006/relationships/hyperlink" Target="https://auction.openprocurement.org/tenders/4bce613efc9f48a681e8fc7f0e447641" TargetMode="External"/><Relationship Id="rId147" Type="http://schemas.openxmlformats.org/officeDocument/2006/relationships/hyperlink" Target="https://auction.openprocurement.org/tenders/7cef327a56bc4416baf60c39b34fd605" TargetMode="External"/><Relationship Id="rId168" Type="http://schemas.openxmlformats.org/officeDocument/2006/relationships/hyperlink" Target="https://auction.openprocurement.org/tenders/f52c3022b3b54547bfa2f4b19ae88e7e" TargetMode="External"/><Relationship Id="rId312" Type="http://schemas.openxmlformats.org/officeDocument/2006/relationships/hyperlink" Target="https://auction.openprocurement.org/tenders/6c37da52cbca404db93d9fad190c2731" TargetMode="External"/><Relationship Id="rId51" Type="http://schemas.openxmlformats.org/officeDocument/2006/relationships/hyperlink" Target="https://auction.openprocurement.org/tenders/21d27bbf517441e0bc3babf5b85bec73" TargetMode="External"/><Relationship Id="rId72" Type="http://schemas.openxmlformats.org/officeDocument/2006/relationships/hyperlink" Target="https://auction.openprocurement.org/tenders/70b1e9f4696e49d8a58cf1ab01091c22" TargetMode="External"/><Relationship Id="rId93" Type="http://schemas.openxmlformats.org/officeDocument/2006/relationships/hyperlink" Target="https://auction.openprocurement.org/tenders/e0e8bd4a22bf4318ac897f86c0374f58" TargetMode="External"/><Relationship Id="rId189" Type="http://schemas.openxmlformats.org/officeDocument/2006/relationships/hyperlink" Target="https://auction.openprocurement.org/tenders/8acad3c958ed4bfd8268f2602982e7aa" TargetMode="External"/><Relationship Id="rId3" Type="http://schemas.openxmlformats.org/officeDocument/2006/relationships/hyperlink" Target="https://auction.openprocurement.org/tenders/bb1cf8a3cb334dc2a911b18367d70e09_94df0565513e4e90b209c3ff4074b919" TargetMode="External"/><Relationship Id="rId214" Type="http://schemas.openxmlformats.org/officeDocument/2006/relationships/hyperlink" Target="https://auction.openprocurement.org/tenders/393a7a931127495d95104a469a221bbf" TargetMode="External"/><Relationship Id="rId235" Type="http://schemas.openxmlformats.org/officeDocument/2006/relationships/hyperlink" Target="https://auction.openprocurement.org/tenders/dd5be88befd04bd79ccf97bc7204fcb7" TargetMode="External"/><Relationship Id="rId256" Type="http://schemas.openxmlformats.org/officeDocument/2006/relationships/hyperlink" Target="https://auction.openprocurement.org/tenders/989c6eee22834c1ea3c0c1ce77e33f0b" TargetMode="External"/><Relationship Id="rId277" Type="http://schemas.openxmlformats.org/officeDocument/2006/relationships/hyperlink" Target="https://auction.openprocurement.org/tenders/86a9be6e14bd47cf8f435d58924a84e8" TargetMode="External"/><Relationship Id="rId298" Type="http://schemas.openxmlformats.org/officeDocument/2006/relationships/hyperlink" Target="https://auction.openprocurement.org/tenders/5113ede5bf034f10a7af8e6bc2b92222" TargetMode="External"/><Relationship Id="rId116" Type="http://schemas.openxmlformats.org/officeDocument/2006/relationships/hyperlink" Target="https://auction.openprocurement.org/tenders/45668b7b3d0e4d2da57632eddd9255c6" TargetMode="External"/><Relationship Id="rId137" Type="http://schemas.openxmlformats.org/officeDocument/2006/relationships/hyperlink" Target="https://auction.openprocurement.org/tenders/0be54cbc156a4618b5cdc89c7ef5c3b3" TargetMode="External"/><Relationship Id="rId158" Type="http://schemas.openxmlformats.org/officeDocument/2006/relationships/hyperlink" Target="https://auction.openprocurement.org/tenders/71378fc4f0f84960be040e058c210cf9" TargetMode="External"/><Relationship Id="rId302" Type="http://schemas.openxmlformats.org/officeDocument/2006/relationships/hyperlink" Target="https://auction.openprocurement.org/tenders/7b20eebbf5bb4b718b8382a438d58af9" TargetMode="External"/><Relationship Id="rId323" Type="http://schemas.openxmlformats.org/officeDocument/2006/relationships/hyperlink" Target="https://auction.openprocurement.org/tenders/9cffce64919d40fb900bbb337da797f7" TargetMode="External"/><Relationship Id="rId20" Type="http://schemas.openxmlformats.org/officeDocument/2006/relationships/hyperlink" Target="https://auction.openprocurement.org/tenders/46f47296e5814b51b8eeeba0d693e3b1" TargetMode="External"/><Relationship Id="rId41" Type="http://schemas.openxmlformats.org/officeDocument/2006/relationships/hyperlink" Target="https://auction.openprocurement.org/tenders/b18431c2ba4d4f0aa6ae7a04dc4f725d" TargetMode="External"/><Relationship Id="rId62" Type="http://schemas.openxmlformats.org/officeDocument/2006/relationships/hyperlink" Target="https://auction.openprocurement.org/tenders/ce23689838b741f7a3575e42c56c1bfa" TargetMode="External"/><Relationship Id="rId83" Type="http://schemas.openxmlformats.org/officeDocument/2006/relationships/hyperlink" Target="https://auction.openprocurement.org/tenders/2f21a2f4ce9e4876a65ee270bd4f0255" TargetMode="External"/><Relationship Id="rId179" Type="http://schemas.openxmlformats.org/officeDocument/2006/relationships/hyperlink" Target="https://auction.openprocurement.org/tenders/8472c7f0695648ceb2858e139b16ac8f" TargetMode="External"/><Relationship Id="rId190" Type="http://schemas.openxmlformats.org/officeDocument/2006/relationships/hyperlink" Target="https://auction.openprocurement.org/tenders/08850027c2894e1cb452c67d34669229_3eefc4d1f00a4f67802b0f1501abe82c" TargetMode="External"/><Relationship Id="rId204" Type="http://schemas.openxmlformats.org/officeDocument/2006/relationships/hyperlink" Target="https://auction.openprocurement.org/tenders/5bd2aa26761b42e9bf125402b425203c_27779e252e1b40b3950985a446a3edd0" TargetMode="External"/><Relationship Id="rId225" Type="http://schemas.openxmlformats.org/officeDocument/2006/relationships/hyperlink" Target="https://auction.openprocurement.org/tenders/71fc17b3cb4343e88e12c36200d8742e_2bbb04e7728945e08a6d63701a6e0018" TargetMode="External"/><Relationship Id="rId246" Type="http://schemas.openxmlformats.org/officeDocument/2006/relationships/hyperlink" Target="https://auction.openprocurement.org/tenders/c5bf2007440b4e85b3e2d753b21991ae" TargetMode="External"/><Relationship Id="rId267" Type="http://schemas.openxmlformats.org/officeDocument/2006/relationships/hyperlink" Target="https://auction.openprocurement.org/tenders/d95d659f44a44a39b18677b003482427" TargetMode="External"/><Relationship Id="rId288" Type="http://schemas.openxmlformats.org/officeDocument/2006/relationships/hyperlink" Target="https://auction.openprocurement.org/tenders/1e7b0f4333fd47c8b657aecacd988959" TargetMode="External"/><Relationship Id="rId106" Type="http://schemas.openxmlformats.org/officeDocument/2006/relationships/hyperlink" Target="https://auction.openprocurement.org/tenders/b793977fb566413fabcf55eba19af5a2" TargetMode="External"/><Relationship Id="rId127" Type="http://schemas.openxmlformats.org/officeDocument/2006/relationships/hyperlink" Target="https://auction.openprocurement.org/tenders/cff71697253e4fbc9665089b49eed8ff" TargetMode="External"/><Relationship Id="rId313" Type="http://schemas.openxmlformats.org/officeDocument/2006/relationships/hyperlink" Target="https://auction.openprocurement.org/tenders/6a4b4badf8634743872fc901f8d970f3" TargetMode="External"/><Relationship Id="rId10" Type="http://schemas.openxmlformats.org/officeDocument/2006/relationships/hyperlink" Target="https://auction.openprocurement.org/tenders/01f5d2f3b783430b886c0bfaf995da1f" TargetMode="External"/><Relationship Id="rId31" Type="http://schemas.openxmlformats.org/officeDocument/2006/relationships/hyperlink" Target="https://auction.openprocurement.org/tenders/cbef3448f3b84c979b3b347a8afe6e8a" TargetMode="External"/><Relationship Id="rId52" Type="http://schemas.openxmlformats.org/officeDocument/2006/relationships/hyperlink" Target="https://auction.openprocurement.org/tenders/04b8a690818845c090d93fbed83936c9" TargetMode="External"/><Relationship Id="rId73" Type="http://schemas.openxmlformats.org/officeDocument/2006/relationships/hyperlink" Target="https://auction.openprocurement.org/tenders/5a98131b4bdc4899ad43fd5a20e8c76b" TargetMode="External"/><Relationship Id="rId94" Type="http://schemas.openxmlformats.org/officeDocument/2006/relationships/hyperlink" Target="https://auction.openprocurement.org/tenders/157fd8f5d7f742b4852cef05632eca6b" TargetMode="External"/><Relationship Id="rId148" Type="http://schemas.openxmlformats.org/officeDocument/2006/relationships/hyperlink" Target="https://auction.openprocurement.org/tenders/b7a34f1ed0da467d952aa5ab9a35ddca" TargetMode="External"/><Relationship Id="rId169" Type="http://schemas.openxmlformats.org/officeDocument/2006/relationships/hyperlink" Target="https://auction.openprocurement.org/tenders/cbff30aa4fb24843b69f2adbb3cfb95c" TargetMode="External"/><Relationship Id="rId4" Type="http://schemas.openxmlformats.org/officeDocument/2006/relationships/hyperlink" Target="https://auction.openprocurement.org/tenders/bb1cf8a3cb334dc2a911b18367d70e09_58d323896c5d48ed8680184aa41da763" TargetMode="External"/><Relationship Id="rId180" Type="http://schemas.openxmlformats.org/officeDocument/2006/relationships/hyperlink" Target="https://auction.openprocurement.org/tenders/e8ec44f2a0f84fb7b196d0f3c22521c5" TargetMode="External"/><Relationship Id="rId215" Type="http://schemas.openxmlformats.org/officeDocument/2006/relationships/hyperlink" Target="https://auction.openprocurement.org/tenders/fd37b5df3fd24dabb282a93fd40e4f63" TargetMode="External"/><Relationship Id="rId236" Type="http://schemas.openxmlformats.org/officeDocument/2006/relationships/hyperlink" Target="https://auction.openprocurement.org/tenders/6356c419f1ea4fab8c931b6671b77811" TargetMode="External"/><Relationship Id="rId257" Type="http://schemas.openxmlformats.org/officeDocument/2006/relationships/hyperlink" Target="https://auction.openprocurement.org/tenders/1886351d4b884ff8bc419857734c602d" TargetMode="External"/><Relationship Id="rId278" Type="http://schemas.openxmlformats.org/officeDocument/2006/relationships/hyperlink" Target="https://auction.openprocurement.org/tenders/f9d654ea488d4de690f6f0436d6e1ded" TargetMode="External"/><Relationship Id="rId303" Type="http://schemas.openxmlformats.org/officeDocument/2006/relationships/hyperlink" Target="https://auction.openprocurement.org/tenders/35a9fc9446d94d4fa3473ee1c442f753" TargetMode="External"/><Relationship Id="rId42" Type="http://schemas.openxmlformats.org/officeDocument/2006/relationships/hyperlink" Target="https://auction.openprocurement.org/tenders/89d9675777d4413d9c19dcdad81c3d84" TargetMode="External"/><Relationship Id="rId84" Type="http://schemas.openxmlformats.org/officeDocument/2006/relationships/hyperlink" Target="https://auction.openprocurement.org/tenders/f83b15a67b654912a60f7944a618199d_8f1da50fde0e4135a029eacca94c09c2" TargetMode="External"/><Relationship Id="rId138" Type="http://schemas.openxmlformats.org/officeDocument/2006/relationships/hyperlink" Target="https://auction.openprocurement.org/tenders/6df6a3dd853445e69e5fa0b15ac186f8" TargetMode="External"/><Relationship Id="rId191" Type="http://schemas.openxmlformats.org/officeDocument/2006/relationships/hyperlink" Target="https://auction.openprocurement.org/tenders/010b8315c41d42f3a090c449f14a7282" TargetMode="External"/><Relationship Id="rId205" Type="http://schemas.openxmlformats.org/officeDocument/2006/relationships/hyperlink" Target="https://auction.openprocurement.org/tenders/d0a0f6a0ce434ff1af760b49890da5bf" TargetMode="External"/><Relationship Id="rId247" Type="http://schemas.openxmlformats.org/officeDocument/2006/relationships/hyperlink" Target="https://auction.openprocurement.org/tenders/0952d365031c4bdb89555c25d8101f22" TargetMode="External"/><Relationship Id="rId107" Type="http://schemas.openxmlformats.org/officeDocument/2006/relationships/hyperlink" Target="https://auction.openprocurement.org/tenders/8d214156418b48279083194f5d5456d3_311aa7c2ac8f428cb287b024d95c5528" TargetMode="External"/><Relationship Id="rId289" Type="http://schemas.openxmlformats.org/officeDocument/2006/relationships/hyperlink" Target="https://auction.openprocurement.org/tenders/39d830a31e9a4d72ad8f398517732eaa" TargetMode="External"/><Relationship Id="rId11" Type="http://schemas.openxmlformats.org/officeDocument/2006/relationships/hyperlink" Target="https://auction.openprocurement.org/tenders/8c039c68d27b48e5adfcc2db1543ae78" TargetMode="External"/><Relationship Id="rId53" Type="http://schemas.openxmlformats.org/officeDocument/2006/relationships/hyperlink" Target="https://auction.openprocurement.org/tenders/77fc431a775046c38e5ad1dcb581d557" TargetMode="External"/><Relationship Id="rId149" Type="http://schemas.openxmlformats.org/officeDocument/2006/relationships/hyperlink" Target="https://auction.openprocurement.org/tenders/7de20c8927e343238d4278ad2dd133a0" TargetMode="External"/><Relationship Id="rId314" Type="http://schemas.openxmlformats.org/officeDocument/2006/relationships/hyperlink" Target="https://auction.openprocurement.org/tenders/94f3a6acf4064ecf8cbdc19b0807b20b" TargetMode="External"/><Relationship Id="rId95" Type="http://schemas.openxmlformats.org/officeDocument/2006/relationships/hyperlink" Target="https://auction.openprocurement.org/tenders/3ce26a009a12486fb4968bb224bdb562" TargetMode="External"/><Relationship Id="rId160" Type="http://schemas.openxmlformats.org/officeDocument/2006/relationships/hyperlink" Target="https://auction.openprocurement.org/tenders/618d2190280c4ba3b00a31fab5c51b7a" TargetMode="External"/><Relationship Id="rId216" Type="http://schemas.openxmlformats.org/officeDocument/2006/relationships/hyperlink" Target="https://auction.openprocurement.org/tenders/41553d6683d14511913d4e254bd0bee6" TargetMode="External"/><Relationship Id="rId258" Type="http://schemas.openxmlformats.org/officeDocument/2006/relationships/hyperlink" Target="https://auction.openprocurement.org/tenders/ebf56618ad064df5a64712ff6b600ca3" TargetMode="External"/><Relationship Id="rId22" Type="http://schemas.openxmlformats.org/officeDocument/2006/relationships/hyperlink" Target="https://auction.openprocurement.org/tenders/977e0b37e4ab466ebd749e2a55b3bcef_77cab61b4f8f4110a563718579509bfb" TargetMode="External"/><Relationship Id="rId64" Type="http://schemas.openxmlformats.org/officeDocument/2006/relationships/hyperlink" Target="https://auction.openprocurement.org/tenders/8cb2c07fcc4d4544a6cb159401154fc4" TargetMode="External"/><Relationship Id="rId118" Type="http://schemas.openxmlformats.org/officeDocument/2006/relationships/hyperlink" Target="https://auction.openprocurement.org/tenders/58bb48d58ae846d09078b87c2a1a728f" TargetMode="External"/><Relationship Id="rId325" Type="http://schemas.openxmlformats.org/officeDocument/2006/relationships/hyperlink" Target="https://auction.openprocurement.org/tenders/b6c299fb7463435ba88502f02eacf066" TargetMode="External"/><Relationship Id="rId171" Type="http://schemas.openxmlformats.org/officeDocument/2006/relationships/hyperlink" Target="https://auction.openprocurement.org/tenders/40773d06237d4578bade04eaf9ae0519" TargetMode="External"/><Relationship Id="rId227" Type="http://schemas.openxmlformats.org/officeDocument/2006/relationships/hyperlink" Target="https://auction.openprocurement.org/tenders/e07ebf60fcf848bd99b4f5c132504069" TargetMode="External"/><Relationship Id="rId269" Type="http://schemas.openxmlformats.org/officeDocument/2006/relationships/hyperlink" Target="https://auction.openprocurement.org/tenders/2a3452a2370d45c49256dc4c26b09200" TargetMode="External"/><Relationship Id="rId33" Type="http://schemas.openxmlformats.org/officeDocument/2006/relationships/hyperlink" Target="https://auction.openprocurement.org/tenders/3dd687663dca400d882dae5f6d60bf04" TargetMode="External"/><Relationship Id="rId129" Type="http://schemas.openxmlformats.org/officeDocument/2006/relationships/hyperlink" Target="https://auction.openprocurement.org/tenders/38b81c82b24f4d36a1f6e66ed193da05" TargetMode="External"/><Relationship Id="rId280" Type="http://schemas.openxmlformats.org/officeDocument/2006/relationships/hyperlink" Target="https://auction.openprocurement.org/tenders/09bf5949dc8642bd9b4568e8545af31f" TargetMode="External"/><Relationship Id="rId75" Type="http://schemas.openxmlformats.org/officeDocument/2006/relationships/hyperlink" Target="https://auction.openprocurement.org/tenders/97d86c6b1a0a43ad9d89827fb382c6bf" TargetMode="External"/><Relationship Id="rId140" Type="http://schemas.openxmlformats.org/officeDocument/2006/relationships/hyperlink" Target="https://auction.openprocurement.org/tenders/b24b73a657524a2f954bd84b177dd417" TargetMode="External"/><Relationship Id="rId182" Type="http://schemas.openxmlformats.org/officeDocument/2006/relationships/hyperlink" Target="https://auction.openprocurement.org/tenders/60957f54a7c04f3b859e9a2226a5de64" TargetMode="External"/><Relationship Id="rId6" Type="http://schemas.openxmlformats.org/officeDocument/2006/relationships/hyperlink" Target="https://auction.openprocurement.org/tenders/fc0c53c4ac584c80aaea4978da9ce255" TargetMode="External"/><Relationship Id="rId238" Type="http://schemas.openxmlformats.org/officeDocument/2006/relationships/hyperlink" Target="https://auction.openprocurement.org/tenders/3d71cb94d2a04630a364da4542dbb16c" TargetMode="External"/><Relationship Id="rId291" Type="http://schemas.openxmlformats.org/officeDocument/2006/relationships/hyperlink" Target="https://auction.openprocurement.org/tenders/6f6cde9c38534d40a438352b019566c5" TargetMode="External"/><Relationship Id="rId305" Type="http://schemas.openxmlformats.org/officeDocument/2006/relationships/hyperlink" Target="https://auction.openprocurement.org/tenders/eed163e5b6d84494afd1ac232deb8518" TargetMode="External"/><Relationship Id="rId44" Type="http://schemas.openxmlformats.org/officeDocument/2006/relationships/hyperlink" Target="https://auction.openprocurement.org/tenders/ff6a90b0fb9244629f46b439911b866a" TargetMode="External"/><Relationship Id="rId86" Type="http://schemas.openxmlformats.org/officeDocument/2006/relationships/hyperlink" Target="https://auction.openprocurement.org/tenders/0c0b490b6a17478c9b1c5703904393d6_cf142543efa14fe0a3bb41092bf7e7e8" TargetMode="External"/><Relationship Id="rId151" Type="http://schemas.openxmlformats.org/officeDocument/2006/relationships/hyperlink" Target="https://auction.openprocurement.org/tenders/63755e1af3474260a819693fd084236b" TargetMode="External"/><Relationship Id="rId193" Type="http://schemas.openxmlformats.org/officeDocument/2006/relationships/hyperlink" Target="https://auction.openprocurement.org/tenders/4e804b5307484bde9b7c762e52768272" TargetMode="External"/><Relationship Id="rId207" Type="http://schemas.openxmlformats.org/officeDocument/2006/relationships/hyperlink" Target="https://auction.openprocurement.org/tenders/047077888846459c805d136df63fb7b3" TargetMode="External"/><Relationship Id="rId249" Type="http://schemas.openxmlformats.org/officeDocument/2006/relationships/hyperlink" Target="https://auction.openprocurement.org/tenders/890a51374e874eb9b1243964a9315ee3" TargetMode="External"/><Relationship Id="rId13" Type="http://schemas.openxmlformats.org/officeDocument/2006/relationships/hyperlink" Target="https://auction.openprocurement.org/tenders/898eb516505a46f29b866e2f60b81f6a" TargetMode="External"/><Relationship Id="rId109" Type="http://schemas.openxmlformats.org/officeDocument/2006/relationships/hyperlink" Target="https://auction.openprocurement.org/tenders/0bead495638947fd8d08f29678b0e781" TargetMode="External"/><Relationship Id="rId260" Type="http://schemas.openxmlformats.org/officeDocument/2006/relationships/hyperlink" Target="https://auction.openprocurement.org/tenders/0800628c4e7b49d793570fc9dca2110d" TargetMode="External"/><Relationship Id="rId316" Type="http://schemas.openxmlformats.org/officeDocument/2006/relationships/hyperlink" Target="https://auction.openprocurement.org/tenders/8ab854bc638b42378e0564be0682c759" TargetMode="External"/><Relationship Id="rId55" Type="http://schemas.openxmlformats.org/officeDocument/2006/relationships/hyperlink" Target="https://auction.openprocurement.org/tenders/135220cba6784dd79c03859b491c63ab" TargetMode="External"/><Relationship Id="rId97" Type="http://schemas.openxmlformats.org/officeDocument/2006/relationships/hyperlink" Target="https://auction.openprocurement.org/tenders/eda26f3afd2a4d3eaac47d3b0cf440eb" TargetMode="External"/><Relationship Id="rId120" Type="http://schemas.openxmlformats.org/officeDocument/2006/relationships/hyperlink" Target="https://auction.openprocurement.org/tenders/22b4dd6469814cfdb2500c3e47006be5" TargetMode="External"/><Relationship Id="rId162" Type="http://schemas.openxmlformats.org/officeDocument/2006/relationships/hyperlink" Target="https://auction.openprocurement.org/tenders/c402fe10e1de4f9b87cd48c9d14f3cae" TargetMode="External"/><Relationship Id="rId218" Type="http://schemas.openxmlformats.org/officeDocument/2006/relationships/hyperlink" Target="https://auction.openprocurement.org/tenders/c25eab9216024b0784cac8a32f4aa7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4:AD809"/>
  <sheetViews>
    <sheetView tabSelected="1" workbookViewId="0">
      <pane ySplit="5" topLeftCell="A271" activePane="bottomLeft" state="frozen"/>
      <selection pane="bottomLeft" activeCell="M1" sqref="M1:AQ1048576"/>
    </sheetView>
  </sheetViews>
  <sheetFormatPr defaultColWidth="11.42578125" defaultRowHeight="15" x14ac:dyDescent="0.25"/>
  <cols>
    <col min="1" max="2" width="35"/>
    <col min="3" max="3" width="13.140625" customWidth="1"/>
    <col min="4" max="4" width="10"/>
    <col min="5" max="5" width="15"/>
    <col min="7" max="7" width="15"/>
    <col min="8" max="8" width="20"/>
    <col min="9" max="9" width="15"/>
    <col min="10" max="10" width="10"/>
    <col min="11" max="11" width="20"/>
    <col min="12" max="12" width="15"/>
    <col min="13" max="13" width="20"/>
    <col min="14" max="14" width="10"/>
    <col min="15" max="15" width="15"/>
    <col min="16" max="17" width="10"/>
    <col min="18" max="18" width="15"/>
    <col min="19" max="20" width="10"/>
    <col min="21" max="21" width="20"/>
    <col min="22" max="24" width="15"/>
    <col min="25" max="26" width="10"/>
    <col min="27" max="27" width="15"/>
    <col min="28" max="28" width="10"/>
    <col min="29" max="30" width="20"/>
  </cols>
  <sheetData>
    <row r="4" spans="1:30" ht="15.75" thickBot="1" x14ac:dyDescent="0.3"/>
    <row r="5" spans="1:30" ht="65.25" thickBot="1" x14ac:dyDescent="0.3">
      <c r="A5" s="3" t="s">
        <v>1809</v>
      </c>
      <c r="B5" s="3" t="s">
        <v>1198</v>
      </c>
      <c r="C5" s="3" t="s">
        <v>1766</v>
      </c>
      <c r="D5" s="3" t="s">
        <v>1134</v>
      </c>
      <c r="E5" s="3" t="s">
        <v>1531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idden="1" x14ac:dyDescent="0.25">
      <c r="A6" s="1" t="s">
        <v>1163</v>
      </c>
      <c r="B6" s="1" t="s">
        <v>604</v>
      </c>
      <c r="C6" s="1" t="s">
        <v>1147</v>
      </c>
      <c r="D6" s="4">
        <v>44015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1"/>
      <c r="S6" s="1"/>
      <c r="T6" s="1"/>
      <c r="U6" s="1" t="s">
        <v>1969</v>
      </c>
      <c r="V6" s="1"/>
      <c r="W6" s="1"/>
      <c r="X6" s="1"/>
      <c r="Y6" s="1"/>
      <c r="Z6" s="4">
        <v>44058</v>
      </c>
      <c r="AA6" s="1"/>
      <c r="AB6" s="1"/>
      <c r="AC6" s="1"/>
      <c r="AD6" s="1"/>
    </row>
    <row r="7" spans="1:30" hidden="1" x14ac:dyDescent="0.25">
      <c r="A7" s="1" t="s">
        <v>1392</v>
      </c>
      <c r="B7" s="1" t="s">
        <v>758</v>
      </c>
      <c r="C7" s="1" t="s">
        <v>1147</v>
      </c>
      <c r="D7" s="4">
        <v>44015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1"/>
      <c r="S7" s="1"/>
      <c r="T7" s="1"/>
      <c r="U7" s="1" t="s">
        <v>1969</v>
      </c>
      <c r="V7" s="1"/>
      <c r="W7" s="1"/>
      <c r="X7" s="1"/>
      <c r="Y7" s="1"/>
      <c r="Z7" s="4">
        <v>44135</v>
      </c>
      <c r="AA7" s="1"/>
      <c r="AB7" s="1"/>
      <c r="AC7" s="1"/>
      <c r="AD7" s="1"/>
    </row>
    <row r="8" spans="1:30" hidden="1" x14ac:dyDescent="0.25">
      <c r="A8" s="1" t="s">
        <v>1510</v>
      </c>
      <c r="B8" s="1" t="s">
        <v>758</v>
      </c>
      <c r="C8" s="1" t="s">
        <v>1147</v>
      </c>
      <c r="D8" s="4">
        <v>44014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1"/>
      <c r="S8" s="1"/>
      <c r="T8" s="1"/>
      <c r="U8" s="1" t="s">
        <v>1969</v>
      </c>
      <c r="V8" s="1"/>
      <c r="W8" s="1"/>
      <c r="X8" s="1"/>
      <c r="Y8" s="1"/>
      <c r="Z8" s="4">
        <v>44058</v>
      </c>
      <c r="AA8" s="1"/>
      <c r="AB8" s="1"/>
      <c r="AC8" s="1"/>
      <c r="AD8" s="1"/>
    </row>
    <row r="9" spans="1:30" hidden="1" x14ac:dyDescent="0.25">
      <c r="A9" s="1" t="s">
        <v>1599</v>
      </c>
      <c r="B9" s="1" t="s">
        <v>548</v>
      </c>
      <c r="C9" s="1" t="s">
        <v>1615</v>
      </c>
      <c r="D9" s="4">
        <v>44014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1"/>
      <c r="S9" s="1"/>
      <c r="T9" s="1"/>
      <c r="U9" s="1" t="s">
        <v>1969</v>
      </c>
      <c r="V9" s="1"/>
      <c r="W9" s="1"/>
      <c r="X9" s="1"/>
      <c r="Y9" s="1"/>
      <c r="Z9" s="4">
        <v>44050</v>
      </c>
      <c r="AA9" s="1"/>
      <c r="AB9" s="1"/>
      <c r="AC9" s="1"/>
      <c r="AD9" s="1"/>
    </row>
    <row r="10" spans="1:30" hidden="1" x14ac:dyDescent="0.25">
      <c r="A10" s="1" t="s">
        <v>1338</v>
      </c>
      <c r="B10" s="1" t="s">
        <v>454</v>
      </c>
      <c r="C10" s="1" t="s">
        <v>1157</v>
      </c>
      <c r="D10" s="4">
        <v>44014</v>
      </c>
      <c r="E10" s="6">
        <v>2340</v>
      </c>
      <c r="F10" s="6"/>
      <c r="G10" s="6">
        <v>390</v>
      </c>
      <c r="H10" s="1"/>
      <c r="I10" s="1"/>
      <c r="J10" s="1"/>
      <c r="K10" s="1" t="s">
        <v>1747</v>
      </c>
      <c r="L10" s="1" t="s">
        <v>449</v>
      </c>
      <c r="M10" s="1"/>
      <c r="N10" s="1" t="s">
        <v>36</v>
      </c>
      <c r="O10" s="1"/>
      <c r="P10" s="1"/>
      <c r="Q10" s="2"/>
      <c r="R10" s="1"/>
      <c r="S10" s="1"/>
      <c r="T10" s="1"/>
      <c r="U10" s="1" t="s">
        <v>1956</v>
      </c>
      <c r="V10" s="5">
        <v>44014.424372664122</v>
      </c>
      <c r="W10" s="1" t="s">
        <v>701</v>
      </c>
      <c r="X10" s="6">
        <v>2340</v>
      </c>
      <c r="Y10" s="1"/>
      <c r="Z10" s="4">
        <v>44196</v>
      </c>
      <c r="AA10" s="5">
        <v>44196</v>
      </c>
      <c r="AB10" s="1" t="s">
        <v>1971</v>
      </c>
      <c r="AC10" s="1"/>
      <c r="AD10" s="1"/>
    </row>
    <row r="11" spans="1:30" hidden="1" x14ac:dyDescent="0.25">
      <c r="A11" s="1" t="s">
        <v>1401</v>
      </c>
      <c r="B11" s="1" t="s">
        <v>810</v>
      </c>
      <c r="C11" s="1" t="s">
        <v>1081</v>
      </c>
      <c r="D11" s="4">
        <v>44013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"/>
      <c r="R11" s="1"/>
      <c r="S11" s="1"/>
      <c r="T11" s="1"/>
      <c r="U11" s="1" t="s">
        <v>1969</v>
      </c>
      <c r="V11" s="1"/>
      <c r="W11" s="1"/>
      <c r="X11" s="1"/>
      <c r="Y11" s="1"/>
      <c r="Z11" s="4">
        <v>44165</v>
      </c>
      <c r="AA11" s="1"/>
      <c r="AB11" s="1"/>
      <c r="AC11" s="1"/>
      <c r="AD11" s="1"/>
    </row>
    <row r="12" spans="1:30" hidden="1" x14ac:dyDescent="0.25">
      <c r="A12" s="1" t="s">
        <v>1200</v>
      </c>
      <c r="B12" s="1" t="s">
        <v>735</v>
      </c>
      <c r="C12" s="1" t="s">
        <v>1615</v>
      </c>
      <c r="D12" s="4">
        <v>44013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  <c r="R12" s="1"/>
      <c r="S12" s="1"/>
      <c r="T12" s="1"/>
      <c r="U12" s="1" t="s">
        <v>1969</v>
      </c>
      <c r="V12" s="1"/>
      <c r="W12" s="1"/>
      <c r="X12" s="1"/>
      <c r="Y12" s="1"/>
      <c r="Z12" s="4">
        <v>44050</v>
      </c>
      <c r="AA12" s="1"/>
      <c r="AB12" s="1"/>
      <c r="AC12" s="1"/>
      <c r="AD12" s="1"/>
    </row>
    <row r="13" spans="1:30" hidden="1" x14ac:dyDescent="0.25">
      <c r="A13" s="1" t="s">
        <v>1141</v>
      </c>
      <c r="B13" s="1" t="s">
        <v>735</v>
      </c>
      <c r="C13" s="1" t="s">
        <v>1615</v>
      </c>
      <c r="D13" s="4">
        <v>44013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"/>
      <c r="R13" s="1"/>
      <c r="S13" s="1"/>
      <c r="T13" s="1"/>
      <c r="U13" s="1" t="s">
        <v>1969</v>
      </c>
      <c r="V13" s="1"/>
      <c r="W13" s="1"/>
      <c r="X13" s="1"/>
      <c r="Y13" s="1"/>
      <c r="Z13" s="4">
        <v>44050</v>
      </c>
      <c r="AA13" s="1"/>
      <c r="AB13" s="1"/>
      <c r="AC13" s="1"/>
      <c r="AD13" s="1"/>
    </row>
    <row r="14" spans="1:30" hidden="1" x14ac:dyDescent="0.25">
      <c r="A14" s="1" t="s">
        <v>1164</v>
      </c>
      <c r="B14" s="1" t="s">
        <v>584</v>
      </c>
      <c r="C14" s="1" t="s">
        <v>1157</v>
      </c>
      <c r="D14" s="4">
        <v>44007</v>
      </c>
      <c r="E14" s="6">
        <v>30000</v>
      </c>
      <c r="F14" s="6"/>
      <c r="G14" s="1" t="s">
        <v>1960</v>
      </c>
      <c r="H14" s="1"/>
      <c r="I14" s="1"/>
      <c r="J14" s="1"/>
      <c r="K14" s="1" t="s">
        <v>1918</v>
      </c>
      <c r="L14" s="1" t="s">
        <v>495</v>
      </c>
      <c r="M14" s="1"/>
      <c r="N14" s="1" t="s">
        <v>74</v>
      </c>
      <c r="O14" s="1"/>
      <c r="P14" s="1"/>
      <c r="Q14" s="2"/>
      <c r="R14" s="1"/>
      <c r="S14" s="1"/>
      <c r="T14" s="1"/>
      <c r="U14" s="1" t="s">
        <v>1956</v>
      </c>
      <c r="V14" s="5">
        <v>44007.636417903712</v>
      </c>
      <c r="W14" s="1" t="s">
        <v>1952</v>
      </c>
      <c r="X14" s="6">
        <v>30000</v>
      </c>
      <c r="Y14" s="1"/>
      <c r="Z14" s="4">
        <v>44012</v>
      </c>
      <c r="AA14" s="5">
        <v>44196</v>
      </c>
      <c r="AB14" s="1" t="s">
        <v>1971</v>
      </c>
      <c r="AC14" s="1"/>
      <c r="AD14" s="1"/>
    </row>
    <row r="15" spans="1:30" hidden="1" x14ac:dyDescent="0.25">
      <c r="A15" s="1" t="s">
        <v>1494</v>
      </c>
      <c r="B15" s="1" t="s">
        <v>751</v>
      </c>
      <c r="C15" s="1" t="s">
        <v>1081</v>
      </c>
      <c r="D15" s="4">
        <v>44004</v>
      </c>
      <c r="E15" s="6">
        <v>124347.42</v>
      </c>
      <c r="F15" s="6"/>
      <c r="G15" s="6">
        <v>124347.42</v>
      </c>
      <c r="H15" s="1" t="s">
        <v>1673</v>
      </c>
      <c r="I15" s="6">
        <v>652.58000000000175</v>
      </c>
      <c r="J15" s="6">
        <v>5.2206400000000142E-3</v>
      </c>
      <c r="K15" s="1"/>
      <c r="L15" s="1"/>
      <c r="M15" s="1"/>
      <c r="N15" s="1"/>
      <c r="O15" s="1"/>
      <c r="P15" s="1"/>
      <c r="Q15" s="2" t="str">
        <f>HYPERLINK("https://auction.openprocurement.org/tenders/d57d9d1d8d2d4bb1aae35aeb3466322a")</f>
        <v>https://auction.openprocurement.org/tenders/d57d9d1d8d2d4bb1aae35aeb3466322a</v>
      </c>
      <c r="R15" s="1"/>
      <c r="S15" s="1"/>
      <c r="T15" s="1"/>
      <c r="U15" s="1" t="s">
        <v>1959</v>
      </c>
      <c r="V15" s="1"/>
      <c r="W15" s="1"/>
      <c r="X15" s="1"/>
      <c r="Y15" s="1"/>
      <c r="Z15" s="4">
        <v>44058</v>
      </c>
      <c r="AA15" s="1"/>
      <c r="AB15" s="1"/>
      <c r="AC15" s="1"/>
      <c r="AD15" s="1"/>
    </row>
    <row r="16" spans="1:30" hidden="1" x14ac:dyDescent="0.25">
      <c r="A16" s="1" t="s">
        <v>1433</v>
      </c>
      <c r="B16" s="1" t="s">
        <v>810</v>
      </c>
      <c r="C16" s="1" t="s">
        <v>1081</v>
      </c>
      <c r="D16" s="4">
        <v>44004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 t="str">
        <f>HYPERLINK("https://auction.openprocurement.org/tenders/cff71697253e4fbc9665089b49eed8ff")</f>
        <v>https://auction.openprocurement.org/tenders/cff71697253e4fbc9665089b49eed8ff</v>
      </c>
      <c r="R16" s="1"/>
      <c r="S16" s="1"/>
      <c r="T16" s="1"/>
      <c r="U16" s="1" t="s">
        <v>1950</v>
      </c>
      <c r="V16" s="1"/>
      <c r="W16" s="1"/>
      <c r="X16" s="1"/>
      <c r="Y16" s="1"/>
      <c r="Z16" s="4">
        <v>44135</v>
      </c>
      <c r="AA16" s="1"/>
      <c r="AB16" s="1"/>
      <c r="AC16" s="1"/>
      <c r="AD16" s="1"/>
    </row>
    <row r="17" spans="1:30" hidden="1" x14ac:dyDescent="0.25">
      <c r="A17" s="1" t="s">
        <v>1100</v>
      </c>
      <c r="B17" s="1" t="s">
        <v>686</v>
      </c>
      <c r="C17" s="1" t="s">
        <v>1147</v>
      </c>
      <c r="D17" s="4">
        <v>44004</v>
      </c>
      <c r="E17" s="6">
        <v>4612.5</v>
      </c>
      <c r="F17" s="6"/>
      <c r="G17" s="6">
        <v>61.5</v>
      </c>
      <c r="H17" s="1" t="s">
        <v>1694</v>
      </c>
      <c r="I17" s="6">
        <v>9037.5</v>
      </c>
      <c r="J17" s="6">
        <v>0.66208791208791207</v>
      </c>
      <c r="K17" s="1" t="s">
        <v>1772</v>
      </c>
      <c r="L17" s="1" t="s">
        <v>722</v>
      </c>
      <c r="M17" s="1" t="s">
        <v>972</v>
      </c>
      <c r="N17" s="1" t="s">
        <v>646</v>
      </c>
      <c r="O17" s="6">
        <v>6832.5</v>
      </c>
      <c r="P17" s="6">
        <v>0.50054945054945055</v>
      </c>
      <c r="Q17" s="2" t="str">
        <f>HYPERLINK("https://auction.openprocurement.org/tenders/4bce613efc9f48a681e8fc7f0e447641")</f>
        <v>https://auction.openprocurement.org/tenders/4bce613efc9f48a681e8fc7f0e447641</v>
      </c>
      <c r="R17" s="5">
        <v>44019.622927655611</v>
      </c>
      <c r="S17" s="1"/>
      <c r="T17" s="1"/>
      <c r="U17" s="1" t="s">
        <v>1970</v>
      </c>
      <c r="V17" s="1"/>
      <c r="W17" s="1"/>
      <c r="X17" s="6">
        <v>6817.5</v>
      </c>
      <c r="Y17" s="1"/>
      <c r="Z17" s="4">
        <v>44043</v>
      </c>
      <c r="AA17" s="1"/>
      <c r="AB17" s="1" t="s">
        <v>1961</v>
      </c>
      <c r="AC17" s="1"/>
      <c r="AD17" s="1"/>
    </row>
    <row r="18" spans="1:30" hidden="1" x14ac:dyDescent="0.25">
      <c r="A18" s="1" t="s">
        <v>1031</v>
      </c>
      <c r="B18" s="1" t="s">
        <v>413</v>
      </c>
      <c r="C18" s="1" t="s">
        <v>1157</v>
      </c>
      <c r="D18" s="4">
        <v>44001</v>
      </c>
      <c r="E18" s="6">
        <v>4633</v>
      </c>
      <c r="F18" s="6"/>
      <c r="G18" s="6">
        <v>113</v>
      </c>
      <c r="H18" s="1"/>
      <c r="I18" s="1"/>
      <c r="J18" s="1"/>
      <c r="K18" s="1" t="s">
        <v>1739</v>
      </c>
      <c r="L18" s="1" t="s">
        <v>718</v>
      </c>
      <c r="M18" s="1"/>
      <c r="N18" s="1" t="s">
        <v>104</v>
      </c>
      <c r="O18" s="1"/>
      <c r="P18" s="1"/>
      <c r="Q18" s="2"/>
      <c r="R18" s="1"/>
      <c r="S18" s="1"/>
      <c r="T18" s="1"/>
      <c r="U18" s="1" t="s">
        <v>1956</v>
      </c>
      <c r="V18" s="5">
        <v>44001.558672798034</v>
      </c>
      <c r="W18" s="1" t="s">
        <v>1952</v>
      </c>
      <c r="X18" s="6">
        <v>4633</v>
      </c>
      <c r="Y18" s="1"/>
      <c r="Z18" s="4">
        <v>44007</v>
      </c>
      <c r="AA18" s="5">
        <v>44196</v>
      </c>
      <c r="AB18" s="1" t="s">
        <v>1971</v>
      </c>
      <c r="AC18" s="1"/>
      <c r="AD18" s="1"/>
    </row>
    <row r="19" spans="1:30" hidden="1" x14ac:dyDescent="0.25">
      <c r="A19" s="1" t="s">
        <v>1100</v>
      </c>
      <c r="B19" s="1" t="s">
        <v>729</v>
      </c>
      <c r="C19" s="1" t="s">
        <v>1147</v>
      </c>
      <c r="D19" s="4">
        <v>44001</v>
      </c>
      <c r="E19" s="6">
        <v>7000</v>
      </c>
      <c r="F19" s="6"/>
      <c r="G19" s="6">
        <v>2333.3333333333335</v>
      </c>
      <c r="H19" s="1" t="s">
        <v>1862</v>
      </c>
      <c r="I19" s="6">
        <v>538</v>
      </c>
      <c r="J19" s="6">
        <v>7.1371716635712387E-2</v>
      </c>
      <c r="K19" s="1" t="s">
        <v>1843</v>
      </c>
      <c r="L19" s="1" t="s">
        <v>496</v>
      </c>
      <c r="M19" s="1" t="s">
        <v>882</v>
      </c>
      <c r="N19" s="1" t="s">
        <v>146</v>
      </c>
      <c r="O19" s="6">
        <v>248</v>
      </c>
      <c r="P19" s="6">
        <v>3.2899973467763334E-2</v>
      </c>
      <c r="Q19" s="2" t="str">
        <f>HYPERLINK("https://auction.openprocurement.org/tenders/4c83b10680444fc98c1230e77752c08e")</f>
        <v>https://auction.openprocurement.org/tenders/4c83b10680444fc98c1230e77752c08e</v>
      </c>
      <c r="R19" s="5">
        <v>44015.493869858277</v>
      </c>
      <c r="S19" s="4">
        <v>44019</v>
      </c>
      <c r="T19" s="4">
        <v>44037</v>
      </c>
      <c r="U19" s="1" t="s">
        <v>1956</v>
      </c>
      <c r="V19" s="5">
        <v>44019.569726973103</v>
      </c>
      <c r="W19" s="1" t="s">
        <v>1952</v>
      </c>
      <c r="X19" s="6">
        <v>7290</v>
      </c>
      <c r="Y19" s="1"/>
      <c r="Z19" s="4">
        <v>44043</v>
      </c>
      <c r="AA19" s="5">
        <v>44196</v>
      </c>
      <c r="AB19" s="1" t="s">
        <v>1971</v>
      </c>
      <c r="AC19" s="1"/>
      <c r="AD19" s="1"/>
    </row>
    <row r="20" spans="1:30" hidden="1" x14ac:dyDescent="0.25">
      <c r="A20" s="1" t="s">
        <v>1100</v>
      </c>
      <c r="B20" s="1" t="s">
        <v>678</v>
      </c>
      <c r="C20" s="1" t="s">
        <v>1147</v>
      </c>
      <c r="D20" s="4">
        <v>44001</v>
      </c>
      <c r="E20" s="6">
        <v>6250</v>
      </c>
      <c r="F20" s="6"/>
      <c r="G20" s="6">
        <v>27.777777777777779</v>
      </c>
      <c r="H20" s="1" t="s">
        <v>1843</v>
      </c>
      <c r="I20" s="1"/>
      <c r="J20" s="1"/>
      <c r="K20" s="1" t="s">
        <v>1843</v>
      </c>
      <c r="L20" s="1" t="s">
        <v>496</v>
      </c>
      <c r="M20" s="1" t="s">
        <v>882</v>
      </c>
      <c r="N20" s="1" t="s">
        <v>146</v>
      </c>
      <c r="O20" s="1"/>
      <c r="P20" s="1"/>
      <c r="Q20" s="2"/>
      <c r="R20" s="5">
        <v>44013.494506949814</v>
      </c>
      <c r="S20" s="4">
        <v>44015</v>
      </c>
      <c r="T20" s="4">
        <v>44037</v>
      </c>
      <c r="U20" s="1" t="s">
        <v>1956</v>
      </c>
      <c r="V20" s="5">
        <v>44019.439058083284</v>
      </c>
      <c r="W20" s="1" t="s">
        <v>1952</v>
      </c>
      <c r="X20" s="6">
        <v>6250</v>
      </c>
      <c r="Y20" s="1"/>
      <c r="Z20" s="4">
        <v>44043</v>
      </c>
      <c r="AA20" s="5">
        <v>44196</v>
      </c>
      <c r="AB20" s="1" t="s">
        <v>1971</v>
      </c>
      <c r="AC20" s="1"/>
      <c r="AD20" s="1"/>
    </row>
    <row r="21" spans="1:30" hidden="1" x14ac:dyDescent="0.25">
      <c r="A21" s="1" t="s">
        <v>1462</v>
      </c>
      <c r="B21" s="1" t="s">
        <v>767</v>
      </c>
      <c r="C21" s="1" t="s">
        <v>1157</v>
      </c>
      <c r="D21" s="4">
        <v>44000</v>
      </c>
      <c r="E21" s="6">
        <v>732.38</v>
      </c>
      <c r="F21" s="6"/>
      <c r="G21" s="6">
        <v>732.38</v>
      </c>
      <c r="H21" s="1"/>
      <c r="I21" s="1"/>
      <c r="J21" s="1"/>
      <c r="K21" s="1" t="s">
        <v>1318</v>
      </c>
      <c r="L21" s="1" t="s">
        <v>448</v>
      </c>
      <c r="M21" s="1"/>
      <c r="N21" s="1" t="s">
        <v>23</v>
      </c>
      <c r="O21" s="1"/>
      <c r="P21" s="1"/>
      <c r="Q21" s="2"/>
      <c r="R21" s="1"/>
      <c r="S21" s="1"/>
      <c r="T21" s="1"/>
      <c r="U21" s="1" t="s">
        <v>1956</v>
      </c>
      <c r="V21" s="5">
        <v>44000.697215660519</v>
      </c>
      <c r="W21" s="1" t="s">
        <v>1952</v>
      </c>
      <c r="X21" s="6">
        <v>732.38</v>
      </c>
      <c r="Y21" s="1"/>
      <c r="Z21" s="4">
        <v>44012</v>
      </c>
      <c r="AA21" s="5">
        <v>44196</v>
      </c>
      <c r="AB21" s="1" t="s">
        <v>1971</v>
      </c>
      <c r="AC21" s="1"/>
      <c r="AD21" s="1"/>
    </row>
    <row r="22" spans="1:30" hidden="1" x14ac:dyDescent="0.25">
      <c r="A22" s="1" t="s">
        <v>1105</v>
      </c>
      <c r="B22" s="1" t="s">
        <v>670</v>
      </c>
      <c r="C22" s="1" t="s">
        <v>1157</v>
      </c>
      <c r="D22" s="4">
        <v>44000</v>
      </c>
      <c r="E22" s="6">
        <v>7700</v>
      </c>
      <c r="F22" s="6"/>
      <c r="G22" s="6">
        <v>1100</v>
      </c>
      <c r="H22" s="1"/>
      <c r="I22" s="1"/>
      <c r="J22" s="1"/>
      <c r="K22" s="1" t="s">
        <v>1112</v>
      </c>
      <c r="L22" s="1" t="s">
        <v>496</v>
      </c>
      <c r="M22" s="1"/>
      <c r="N22" s="1" t="s">
        <v>22</v>
      </c>
      <c r="O22" s="1"/>
      <c r="P22" s="1"/>
      <c r="Q22" s="2"/>
      <c r="R22" s="1"/>
      <c r="S22" s="1"/>
      <c r="T22" s="1"/>
      <c r="U22" s="1" t="s">
        <v>1956</v>
      </c>
      <c r="V22" s="5">
        <v>44000.680679672434</v>
      </c>
      <c r="W22" s="1" t="s">
        <v>1952</v>
      </c>
      <c r="X22" s="6">
        <v>7700</v>
      </c>
      <c r="Y22" s="1"/>
      <c r="Z22" s="4">
        <v>44012</v>
      </c>
      <c r="AA22" s="5">
        <v>44196</v>
      </c>
      <c r="AB22" s="1" t="s">
        <v>1971</v>
      </c>
      <c r="AC22" s="1"/>
      <c r="AD22" s="1"/>
    </row>
    <row r="23" spans="1:30" hidden="1" x14ac:dyDescent="0.25">
      <c r="A23" s="1" t="s">
        <v>1098</v>
      </c>
      <c r="B23" s="1" t="s">
        <v>743</v>
      </c>
      <c r="C23" s="1" t="s">
        <v>1157</v>
      </c>
      <c r="D23" s="4">
        <v>44000</v>
      </c>
      <c r="E23" s="6">
        <v>1800</v>
      </c>
      <c r="F23" s="6"/>
      <c r="G23" s="6">
        <v>900</v>
      </c>
      <c r="H23" s="1"/>
      <c r="I23" s="1"/>
      <c r="J23" s="1"/>
      <c r="K23" s="1" t="s">
        <v>1112</v>
      </c>
      <c r="L23" s="1" t="s">
        <v>496</v>
      </c>
      <c r="M23" s="1"/>
      <c r="N23" s="1" t="s">
        <v>25</v>
      </c>
      <c r="O23" s="1"/>
      <c r="P23" s="1"/>
      <c r="Q23" s="2"/>
      <c r="R23" s="1"/>
      <c r="S23" s="1"/>
      <c r="T23" s="1"/>
      <c r="U23" s="1" t="s">
        <v>1956</v>
      </c>
      <c r="V23" s="5">
        <v>44000.500355881159</v>
      </c>
      <c r="W23" s="1" t="s">
        <v>1952</v>
      </c>
      <c r="X23" s="6">
        <v>1800</v>
      </c>
      <c r="Y23" s="1"/>
      <c r="Z23" s="4">
        <v>44012</v>
      </c>
      <c r="AA23" s="5">
        <v>44196</v>
      </c>
      <c r="AB23" s="1" t="s">
        <v>1971</v>
      </c>
      <c r="AC23" s="1"/>
      <c r="AD23" s="1"/>
    </row>
    <row r="24" spans="1:30" hidden="1" x14ac:dyDescent="0.25">
      <c r="A24" s="1" t="s">
        <v>1098</v>
      </c>
      <c r="B24" s="1" t="s">
        <v>416</v>
      </c>
      <c r="C24" s="1" t="s">
        <v>1157</v>
      </c>
      <c r="D24" s="4">
        <v>44000</v>
      </c>
      <c r="E24" s="6">
        <v>2100</v>
      </c>
      <c r="F24" s="6"/>
      <c r="G24" s="6">
        <v>5.25</v>
      </c>
      <c r="H24" s="1"/>
      <c r="I24" s="1"/>
      <c r="J24" s="1"/>
      <c r="K24" s="1" t="s">
        <v>1112</v>
      </c>
      <c r="L24" s="1" t="s">
        <v>496</v>
      </c>
      <c r="M24" s="1"/>
      <c r="N24" s="1" t="s">
        <v>146</v>
      </c>
      <c r="O24" s="1"/>
      <c r="P24" s="1"/>
      <c r="Q24" s="2"/>
      <c r="R24" s="1"/>
      <c r="S24" s="1"/>
      <c r="T24" s="1"/>
      <c r="U24" s="1" t="s">
        <v>1956</v>
      </c>
      <c r="V24" s="5">
        <v>44000.4954008309</v>
      </c>
      <c r="W24" s="1" t="s">
        <v>1952</v>
      </c>
      <c r="X24" s="6">
        <v>2100</v>
      </c>
      <c r="Y24" s="1"/>
      <c r="Z24" s="4">
        <v>44012</v>
      </c>
      <c r="AA24" s="5">
        <v>44196</v>
      </c>
      <c r="AB24" s="1" t="s">
        <v>1971</v>
      </c>
      <c r="AC24" s="1"/>
      <c r="AD24" s="1"/>
    </row>
    <row r="25" spans="1:30" hidden="1" x14ac:dyDescent="0.25">
      <c r="A25" s="1" t="s">
        <v>1098</v>
      </c>
      <c r="B25" s="1" t="s">
        <v>737</v>
      </c>
      <c r="C25" s="1" t="s">
        <v>1157</v>
      </c>
      <c r="D25" s="4">
        <v>44000</v>
      </c>
      <c r="E25" s="6">
        <v>1780</v>
      </c>
      <c r="F25" s="6"/>
      <c r="G25" s="6">
        <v>222.5</v>
      </c>
      <c r="H25" s="1"/>
      <c r="I25" s="1"/>
      <c r="J25" s="1"/>
      <c r="K25" s="1" t="s">
        <v>1112</v>
      </c>
      <c r="L25" s="1" t="s">
        <v>496</v>
      </c>
      <c r="M25" s="1"/>
      <c r="N25" s="1" t="s">
        <v>146</v>
      </c>
      <c r="O25" s="1"/>
      <c r="P25" s="1"/>
      <c r="Q25" s="2"/>
      <c r="R25" s="1"/>
      <c r="S25" s="1"/>
      <c r="T25" s="1"/>
      <c r="U25" s="1" t="s">
        <v>1956</v>
      </c>
      <c r="V25" s="5">
        <v>44000.489558294117</v>
      </c>
      <c r="W25" s="1" t="s">
        <v>1952</v>
      </c>
      <c r="X25" s="6">
        <v>1780</v>
      </c>
      <c r="Y25" s="1"/>
      <c r="Z25" s="4">
        <v>44012</v>
      </c>
      <c r="AA25" s="5">
        <v>44196</v>
      </c>
      <c r="AB25" s="1" t="s">
        <v>1971</v>
      </c>
      <c r="AC25" s="1"/>
      <c r="AD25" s="1"/>
    </row>
    <row r="26" spans="1:30" hidden="1" x14ac:dyDescent="0.25">
      <c r="A26" s="1" t="s">
        <v>1098</v>
      </c>
      <c r="B26" s="1" t="s">
        <v>675</v>
      </c>
      <c r="C26" s="1" t="s">
        <v>1157</v>
      </c>
      <c r="D26" s="4">
        <v>44000</v>
      </c>
      <c r="E26" s="6">
        <v>1595</v>
      </c>
      <c r="F26" s="6"/>
      <c r="G26" s="6">
        <v>1595</v>
      </c>
      <c r="H26" s="1"/>
      <c r="I26" s="1"/>
      <c r="J26" s="1"/>
      <c r="K26" s="1" t="s">
        <v>1112</v>
      </c>
      <c r="L26" s="1" t="s">
        <v>496</v>
      </c>
      <c r="M26" s="1"/>
      <c r="N26" s="1" t="s">
        <v>146</v>
      </c>
      <c r="O26" s="1"/>
      <c r="P26" s="1"/>
      <c r="Q26" s="2"/>
      <c r="R26" s="1"/>
      <c r="S26" s="1"/>
      <c r="T26" s="1"/>
      <c r="U26" s="1" t="s">
        <v>1956</v>
      </c>
      <c r="V26" s="5">
        <v>44000.484281329816</v>
      </c>
      <c r="W26" s="1" t="s">
        <v>1952</v>
      </c>
      <c r="X26" s="6">
        <v>1595</v>
      </c>
      <c r="Y26" s="1"/>
      <c r="Z26" s="4">
        <v>44012</v>
      </c>
      <c r="AA26" s="5">
        <v>44196</v>
      </c>
      <c r="AB26" s="1" t="s">
        <v>1971</v>
      </c>
      <c r="AC26" s="1"/>
      <c r="AD26" s="1"/>
    </row>
    <row r="27" spans="1:30" hidden="1" x14ac:dyDescent="0.25">
      <c r="A27" s="1" t="s">
        <v>1098</v>
      </c>
      <c r="B27" s="1" t="s">
        <v>730</v>
      </c>
      <c r="C27" s="1" t="s">
        <v>1147</v>
      </c>
      <c r="D27" s="4">
        <v>44000</v>
      </c>
      <c r="E27" s="6">
        <v>7435</v>
      </c>
      <c r="F27" s="6"/>
      <c r="G27" s="6">
        <v>185.875</v>
      </c>
      <c r="H27" s="1" t="s">
        <v>1843</v>
      </c>
      <c r="I27" s="6">
        <v>265</v>
      </c>
      <c r="J27" s="6">
        <v>3.4415584415584413E-2</v>
      </c>
      <c r="K27" s="1" t="s">
        <v>1843</v>
      </c>
      <c r="L27" s="1" t="s">
        <v>496</v>
      </c>
      <c r="M27" s="1" t="s">
        <v>882</v>
      </c>
      <c r="N27" s="1" t="s">
        <v>146</v>
      </c>
      <c r="O27" s="6">
        <v>265</v>
      </c>
      <c r="P27" s="6">
        <v>3.4415584415584413E-2</v>
      </c>
      <c r="Q27" s="2" t="str">
        <f>HYPERLINK("https://auction.openprocurement.org/tenders/8cb2c07fcc4d4544a6cb159401154fc4")</f>
        <v>https://auction.openprocurement.org/tenders/8cb2c07fcc4d4544a6cb159401154fc4</v>
      </c>
      <c r="R27" s="5">
        <v>44013.602782349619</v>
      </c>
      <c r="S27" s="4">
        <v>44015</v>
      </c>
      <c r="T27" s="4">
        <v>44036</v>
      </c>
      <c r="U27" s="1" t="s">
        <v>1956</v>
      </c>
      <c r="V27" s="5">
        <v>44019.585314205695</v>
      </c>
      <c r="W27" s="1" t="s">
        <v>1952</v>
      </c>
      <c r="X27" s="6">
        <v>7435</v>
      </c>
      <c r="Y27" s="1"/>
      <c r="Z27" s="4">
        <v>44043</v>
      </c>
      <c r="AA27" s="5">
        <v>44196</v>
      </c>
      <c r="AB27" s="1" t="s">
        <v>1971</v>
      </c>
      <c r="AC27" s="1"/>
      <c r="AD27" s="1"/>
    </row>
    <row r="28" spans="1:30" hidden="1" x14ac:dyDescent="0.25">
      <c r="A28" s="1" t="s">
        <v>1497</v>
      </c>
      <c r="B28" s="1" t="s">
        <v>751</v>
      </c>
      <c r="C28" s="1" t="s">
        <v>1081</v>
      </c>
      <c r="D28" s="4">
        <v>43999</v>
      </c>
      <c r="E28" s="6">
        <v>320191.84000000003</v>
      </c>
      <c r="F28" s="6"/>
      <c r="G28" s="6">
        <v>320191.84000000003</v>
      </c>
      <c r="H28" s="1" t="s">
        <v>1673</v>
      </c>
      <c r="I28" s="6">
        <v>4808.1599999999744</v>
      </c>
      <c r="J28" s="6">
        <v>1.4794338461538383E-2</v>
      </c>
      <c r="K28" s="1" t="s">
        <v>1673</v>
      </c>
      <c r="L28" s="1" t="s">
        <v>715</v>
      </c>
      <c r="M28" s="1" t="s">
        <v>932</v>
      </c>
      <c r="N28" s="1" t="s">
        <v>121</v>
      </c>
      <c r="O28" s="6">
        <v>4808.1599999999744</v>
      </c>
      <c r="P28" s="6">
        <v>1.4794338461538383E-2</v>
      </c>
      <c r="Q28" s="2" t="str">
        <f>HYPERLINK("https://auction.openprocurement.org/tenders/9f2f35f20b3e4365988cbbfabb00cb0f")</f>
        <v>https://auction.openprocurement.org/tenders/9f2f35f20b3e4365988cbbfabb00cb0f</v>
      </c>
      <c r="R28" s="5">
        <v>44021.578394299424</v>
      </c>
      <c r="S28" s="1"/>
      <c r="T28" s="1"/>
      <c r="U28" s="1" t="s">
        <v>1970</v>
      </c>
      <c r="V28" s="1"/>
      <c r="W28" s="1"/>
      <c r="X28" s="6">
        <v>320191.84000000003</v>
      </c>
      <c r="Y28" s="1"/>
      <c r="Z28" s="4">
        <v>44058</v>
      </c>
      <c r="AA28" s="1"/>
      <c r="AB28" s="1" t="s">
        <v>1961</v>
      </c>
      <c r="AC28" s="1"/>
      <c r="AD28" s="1"/>
    </row>
    <row r="29" spans="1:30" hidden="1" x14ac:dyDescent="0.25">
      <c r="A29" s="1" t="s">
        <v>1289</v>
      </c>
      <c r="B29" s="1" t="s">
        <v>609</v>
      </c>
      <c r="C29" s="1" t="s">
        <v>1147</v>
      </c>
      <c r="D29" s="4">
        <v>43998</v>
      </c>
      <c r="E29" s="6">
        <v>34992</v>
      </c>
      <c r="F29" s="6"/>
      <c r="G29" s="6">
        <v>729</v>
      </c>
      <c r="H29" s="1" t="s">
        <v>1849</v>
      </c>
      <c r="I29" s="6">
        <v>8</v>
      </c>
      <c r="J29" s="6">
        <v>2.2857142857142857E-4</v>
      </c>
      <c r="K29" s="1" t="s">
        <v>1849</v>
      </c>
      <c r="L29" s="1" t="s">
        <v>447</v>
      </c>
      <c r="M29" s="1" t="s">
        <v>915</v>
      </c>
      <c r="N29" s="1" t="s">
        <v>135</v>
      </c>
      <c r="O29" s="6">
        <v>8</v>
      </c>
      <c r="P29" s="6">
        <v>2.2857142857142857E-4</v>
      </c>
      <c r="Q29" s="2"/>
      <c r="R29" s="5">
        <v>44013.408589841296</v>
      </c>
      <c r="S29" s="4">
        <v>44015</v>
      </c>
      <c r="T29" s="4">
        <v>44034</v>
      </c>
      <c r="U29" s="1" t="s">
        <v>1956</v>
      </c>
      <c r="V29" s="5">
        <v>44019.574733519134</v>
      </c>
      <c r="W29" s="1" t="s">
        <v>314</v>
      </c>
      <c r="X29" s="6">
        <v>34992</v>
      </c>
      <c r="Y29" s="1"/>
      <c r="Z29" s="4">
        <v>44043</v>
      </c>
      <c r="AA29" s="5">
        <v>44196</v>
      </c>
      <c r="AB29" s="1" t="s">
        <v>1971</v>
      </c>
      <c r="AC29" s="1"/>
      <c r="AD29" s="1"/>
    </row>
    <row r="30" spans="1:30" hidden="1" x14ac:dyDescent="0.25">
      <c r="A30" s="1" t="s">
        <v>1523</v>
      </c>
      <c r="B30" s="1" t="s">
        <v>456</v>
      </c>
      <c r="C30" s="1" t="s">
        <v>1157</v>
      </c>
      <c r="D30" s="4">
        <v>43998</v>
      </c>
      <c r="E30" s="6">
        <v>4980</v>
      </c>
      <c r="F30" s="6"/>
      <c r="G30" s="6">
        <v>4980</v>
      </c>
      <c r="H30" s="1"/>
      <c r="I30" s="1"/>
      <c r="J30" s="1"/>
      <c r="K30" s="1" t="s">
        <v>1742</v>
      </c>
      <c r="L30" s="1" t="s">
        <v>592</v>
      </c>
      <c r="M30" s="1"/>
      <c r="N30" s="1" t="s">
        <v>39</v>
      </c>
      <c r="O30" s="1"/>
      <c r="P30" s="1"/>
      <c r="Q30" s="2"/>
      <c r="R30" s="1"/>
      <c r="S30" s="1"/>
      <c r="T30" s="1"/>
      <c r="U30" s="1" t="s">
        <v>1956</v>
      </c>
      <c r="V30" s="5">
        <v>43998.425659634908</v>
      </c>
      <c r="W30" s="1" t="s">
        <v>1584</v>
      </c>
      <c r="X30" s="6">
        <v>4980</v>
      </c>
      <c r="Y30" s="1"/>
      <c r="Z30" s="4">
        <v>44196</v>
      </c>
      <c r="AA30" s="5">
        <v>44196</v>
      </c>
      <c r="AB30" s="1" t="s">
        <v>1971</v>
      </c>
      <c r="AC30" s="1"/>
      <c r="AD30" s="1"/>
    </row>
    <row r="31" spans="1:30" hidden="1" x14ac:dyDescent="0.25">
      <c r="A31" s="1" t="s">
        <v>1390</v>
      </c>
      <c r="B31" s="1" t="s">
        <v>791</v>
      </c>
      <c r="C31" s="1" t="s">
        <v>1157</v>
      </c>
      <c r="D31" s="4">
        <v>43991</v>
      </c>
      <c r="E31" s="6">
        <v>1784.14</v>
      </c>
      <c r="F31" s="6"/>
      <c r="G31" s="6">
        <v>1784.14</v>
      </c>
      <c r="H31" s="1"/>
      <c r="I31" s="1"/>
      <c r="J31" s="1"/>
      <c r="K31" s="1" t="s">
        <v>1129</v>
      </c>
      <c r="L31" s="1" t="s">
        <v>425</v>
      </c>
      <c r="M31" s="1"/>
      <c r="N31" s="1" t="s">
        <v>69</v>
      </c>
      <c r="O31" s="1"/>
      <c r="P31" s="1"/>
      <c r="Q31" s="2"/>
      <c r="R31" s="1"/>
      <c r="S31" s="1"/>
      <c r="T31" s="1"/>
      <c r="U31" s="1" t="s">
        <v>1956</v>
      </c>
      <c r="V31" s="5">
        <v>43991.657594684628</v>
      </c>
      <c r="W31" s="1" t="s">
        <v>442</v>
      </c>
      <c r="X31" s="6">
        <v>1784.14</v>
      </c>
      <c r="Y31" s="4">
        <v>43991</v>
      </c>
      <c r="Z31" s="4">
        <v>44196</v>
      </c>
      <c r="AA31" s="5">
        <v>44196</v>
      </c>
      <c r="AB31" s="1" t="s">
        <v>1971</v>
      </c>
      <c r="AC31" s="1"/>
      <c r="AD31" s="1"/>
    </row>
    <row r="32" spans="1:30" hidden="1" x14ac:dyDescent="0.25">
      <c r="A32" s="1" t="s">
        <v>1368</v>
      </c>
      <c r="B32" s="1" t="s">
        <v>808</v>
      </c>
      <c r="C32" s="1" t="s">
        <v>1081</v>
      </c>
      <c r="D32" s="4">
        <v>43979</v>
      </c>
      <c r="E32" s="6">
        <v>1227725.98</v>
      </c>
      <c r="F32" s="6"/>
      <c r="G32" s="6">
        <v>1227725.98</v>
      </c>
      <c r="H32" s="1" t="s">
        <v>1641</v>
      </c>
      <c r="I32" s="6">
        <v>19679.020000000019</v>
      </c>
      <c r="J32" s="6">
        <v>1.5775966907299568E-2</v>
      </c>
      <c r="K32" s="1" t="s">
        <v>1641</v>
      </c>
      <c r="L32" s="1" t="s">
        <v>719</v>
      </c>
      <c r="M32" s="1" t="s">
        <v>875</v>
      </c>
      <c r="N32" s="1" t="s">
        <v>164</v>
      </c>
      <c r="O32" s="6">
        <v>19679.020000000019</v>
      </c>
      <c r="P32" s="6">
        <v>1.5775966907299568E-2</v>
      </c>
      <c r="Q32" s="2" t="str">
        <f>HYPERLINK("https://auction.openprocurement.org/tenders/644ae2a08a1f49f5a75112f3850946d5")</f>
        <v>https://auction.openprocurement.org/tenders/644ae2a08a1f49f5a75112f3850946d5</v>
      </c>
      <c r="R32" s="5">
        <v>43998.578274807682</v>
      </c>
      <c r="S32" s="4">
        <v>44009</v>
      </c>
      <c r="T32" s="4">
        <v>44019</v>
      </c>
      <c r="U32" s="1" t="s">
        <v>1956</v>
      </c>
      <c r="V32" s="5">
        <v>44018.637245150523</v>
      </c>
      <c r="W32" s="1" t="s">
        <v>289</v>
      </c>
      <c r="X32" s="6">
        <v>1227725.98</v>
      </c>
      <c r="Y32" s="1"/>
      <c r="Z32" s="4">
        <v>44134</v>
      </c>
      <c r="AA32" s="5">
        <v>44196</v>
      </c>
      <c r="AB32" s="1" t="s">
        <v>1971</v>
      </c>
      <c r="AC32" s="1"/>
      <c r="AD32" s="1"/>
    </row>
    <row r="33" spans="1:30" hidden="1" x14ac:dyDescent="0.25">
      <c r="A33" s="1" t="s">
        <v>1052</v>
      </c>
      <c r="B33" s="1" t="s">
        <v>739</v>
      </c>
      <c r="C33" s="1" t="s">
        <v>1157</v>
      </c>
      <c r="D33" s="4">
        <v>43977</v>
      </c>
      <c r="E33" s="6">
        <v>42000</v>
      </c>
      <c r="F33" s="6"/>
      <c r="G33" s="6">
        <v>840</v>
      </c>
      <c r="H33" s="1"/>
      <c r="I33" s="1"/>
      <c r="J33" s="1"/>
      <c r="K33" s="1" t="s">
        <v>1172</v>
      </c>
      <c r="L33" s="1" t="s">
        <v>601</v>
      </c>
      <c r="M33" s="1"/>
      <c r="N33" s="1" t="s">
        <v>165</v>
      </c>
      <c r="O33" s="1"/>
      <c r="P33" s="1"/>
      <c r="Q33" s="2"/>
      <c r="R33" s="1"/>
      <c r="S33" s="1"/>
      <c r="T33" s="1"/>
      <c r="U33" s="1" t="s">
        <v>1956</v>
      </c>
      <c r="V33" s="5">
        <v>43977.664753781122</v>
      </c>
      <c r="W33" s="1" t="s">
        <v>1952</v>
      </c>
      <c r="X33" s="6">
        <v>42000</v>
      </c>
      <c r="Y33" s="1"/>
      <c r="Z33" s="4">
        <v>43980</v>
      </c>
      <c r="AA33" s="5">
        <v>44196</v>
      </c>
      <c r="AB33" s="1" t="s">
        <v>1971</v>
      </c>
      <c r="AC33" s="1"/>
      <c r="AD33" s="1"/>
    </row>
    <row r="34" spans="1:30" hidden="1" x14ac:dyDescent="0.25">
      <c r="A34" s="1" t="s">
        <v>1098</v>
      </c>
      <c r="B34" s="1" t="s">
        <v>422</v>
      </c>
      <c r="C34" s="1" t="s">
        <v>1147</v>
      </c>
      <c r="D34" s="4">
        <v>43977</v>
      </c>
      <c r="E34" s="6">
        <v>18000</v>
      </c>
      <c r="F34" s="6"/>
      <c r="G34" s="6">
        <v>14.285714285714286</v>
      </c>
      <c r="H34" s="1" t="s">
        <v>1900</v>
      </c>
      <c r="I34" s="6">
        <v>1000</v>
      </c>
      <c r="J34" s="6">
        <v>5.2631578947368418E-2</v>
      </c>
      <c r="K34" s="1" t="s">
        <v>1843</v>
      </c>
      <c r="L34" s="1" t="s">
        <v>496</v>
      </c>
      <c r="M34" s="1" t="s">
        <v>882</v>
      </c>
      <c r="N34" s="1" t="s">
        <v>146</v>
      </c>
      <c r="O34" s="6">
        <v>2.4000000000014552</v>
      </c>
      <c r="P34" s="6">
        <v>1.2631578947376081E-4</v>
      </c>
      <c r="Q34" s="2" t="str">
        <f>HYPERLINK("https://auction.openprocurement.org/tenders/96321b407ce241d58ceee21543e1db33")</f>
        <v>https://auction.openprocurement.org/tenders/96321b407ce241d58ceee21543e1db33</v>
      </c>
      <c r="R34" s="5">
        <v>43987.659667163367</v>
      </c>
      <c r="S34" s="4">
        <v>43992</v>
      </c>
      <c r="T34" s="4">
        <v>44013</v>
      </c>
      <c r="U34" s="1" t="s">
        <v>1956</v>
      </c>
      <c r="V34" s="5">
        <v>43992.706235209858</v>
      </c>
      <c r="W34" s="1" t="s">
        <v>1952</v>
      </c>
      <c r="X34" s="6">
        <v>18997.599999999999</v>
      </c>
      <c r="Y34" s="1"/>
      <c r="Z34" s="4">
        <v>44012</v>
      </c>
      <c r="AA34" s="5">
        <v>44196</v>
      </c>
      <c r="AB34" s="1" t="s">
        <v>1971</v>
      </c>
      <c r="AC34" s="1"/>
      <c r="AD34" s="1"/>
    </row>
    <row r="35" spans="1:30" hidden="1" x14ac:dyDescent="0.25">
      <c r="A35" s="1" t="s">
        <v>1018</v>
      </c>
      <c r="B35" s="1" t="s">
        <v>795</v>
      </c>
      <c r="C35" s="1" t="s">
        <v>1157</v>
      </c>
      <c r="D35" s="4">
        <v>43970</v>
      </c>
      <c r="E35" s="6">
        <v>300</v>
      </c>
      <c r="F35" s="6"/>
      <c r="G35" s="6">
        <v>300</v>
      </c>
      <c r="H35" s="1"/>
      <c r="I35" s="1"/>
      <c r="J35" s="1"/>
      <c r="K35" s="1" t="s">
        <v>1946</v>
      </c>
      <c r="L35" s="1" t="s">
        <v>489</v>
      </c>
      <c r="M35" s="1"/>
      <c r="N35" s="1" t="s">
        <v>80</v>
      </c>
      <c r="O35" s="1"/>
      <c r="P35" s="1"/>
      <c r="Q35" s="2"/>
      <c r="R35" s="1"/>
      <c r="S35" s="1"/>
      <c r="T35" s="1"/>
      <c r="U35" s="1" t="s">
        <v>1956</v>
      </c>
      <c r="V35" s="5">
        <v>43970.522822459978</v>
      </c>
      <c r="W35" s="1" t="s">
        <v>710</v>
      </c>
      <c r="X35" s="6">
        <v>300</v>
      </c>
      <c r="Y35" s="1"/>
      <c r="Z35" s="4">
        <v>44196</v>
      </c>
      <c r="AA35" s="5">
        <v>44196</v>
      </c>
      <c r="AB35" s="1" t="s">
        <v>1971</v>
      </c>
      <c r="AC35" s="1"/>
      <c r="AD35" s="1"/>
    </row>
    <row r="36" spans="1:30" hidden="1" x14ac:dyDescent="0.25">
      <c r="A36" s="1" t="s">
        <v>1397</v>
      </c>
      <c r="B36" s="1" t="s">
        <v>796</v>
      </c>
      <c r="C36" s="1" t="s">
        <v>1157</v>
      </c>
      <c r="D36" s="4">
        <v>43970</v>
      </c>
      <c r="E36" s="6">
        <v>332</v>
      </c>
      <c r="F36" s="6"/>
      <c r="G36" s="1" t="s">
        <v>1960</v>
      </c>
      <c r="H36" s="1"/>
      <c r="I36" s="1"/>
      <c r="J36" s="1"/>
      <c r="K36" s="1" t="s">
        <v>1756</v>
      </c>
      <c r="L36" s="1" t="s">
        <v>625</v>
      </c>
      <c r="M36" s="1"/>
      <c r="N36" s="1" t="s">
        <v>34</v>
      </c>
      <c r="O36" s="1"/>
      <c r="P36" s="1"/>
      <c r="Q36" s="2"/>
      <c r="R36" s="1"/>
      <c r="S36" s="1"/>
      <c r="T36" s="1"/>
      <c r="U36" s="1" t="s">
        <v>1956</v>
      </c>
      <c r="V36" s="5">
        <v>43970.507993837295</v>
      </c>
      <c r="W36" s="1" t="s">
        <v>685</v>
      </c>
      <c r="X36" s="6">
        <v>332</v>
      </c>
      <c r="Y36" s="1"/>
      <c r="Z36" s="4">
        <v>44335</v>
      </c>
      <c r="AA36" s="5">
        <v>44335</v>
      </c>
      <c r="AB36" s="1" t="s">
        <v>1971</v>
      </c>
      <c r="AC36" s="1"/>
      <c r="AD36" s="1"/>
    </row>
    <row r="37" spans="1:30" hidden="1" x14ac:dyDescent="0.25">
      <c r="A37" s="1" t="s">
        <v>1567</v>
      </c>
      <c r="B37" s="1" t="s">
        <v>788</v>
      </c>
      <c r="C37" s="1" t="s">
        <v>1157</v>
      </c>
      <c r="D37" s="4">
        <v>43969</v>
      </c>
      <c r="E37" s="6">
        <v>279450</v>
      </c>
      <c r="F37" s="6"/>
      <c r="G37" s="6">
        <v>279450</v>
      </c>
      <c r="H37" s="1"/>
      <c r="I37" s="1"/>
      <c r="J37" s="1"/>
      <c r="K37" s="1" t="s">
        <v>1306</v>
      </c>
      <c r="L37" s="1" t="s">
        <v>491</v>
      </c>
      <c r="M37" s="1"/>
      <c r="N37" s="1" t="s">
        <v>133</v>
      </c>
      <c r="O37" s="1"/>
      <c r="P37" s="1"/>
      <c r="Q37" s="2"/>
      <c r="R37" s="1"/>
      <c r="S37" s="1"/>
      <c r="T37" s="1"/>
      <c r="U37" s="1" t="s">
        <v>1956</v>
      </c>
      <c r="V37" s="5">
        <v>43969.59616695156</v>
      </c>
      <c r="W37" s="1" t="s">
        <v>710</v>
      </c>
      <c r="X37" s="6">
        <v>279450</v>
      </c>
      <c r="Y37" s="1"/>
      <c r="Z37" s="4">
        <v>44196</v>
      </c>
      <c r="AA37" s="5">
        <v>44196</v>
      </c>
      <c r="AB37" s="1" t="s">
        <v>1971</v>
      </c>
      <c r="AC37" s="1"/>
      <c r="AD37" s="1"/>
    </row>
    <row r="38" spans="1:30" hidden="1" x14ac:dyDescent="0.25">
      <c r="A38" s="1" t="s">
        <v>1032</v>
      </c>
      <c r="B38" s="1" t="s">
        <v>413</v>
      </c>
      <c r="C38" s="1" t="s">
        <v>1157</v>
      </c>
      <c r="D38" s="4">
        <v>43966</v>
      </c>
      <c r="E38" s="6">
        <v>2250</v>
      </c>
      <c r="F38" s="6"/>
      <c r="G38" s="6">
        <v>32.142857142857146</v>
      </c>
      <c r="H38" s="1"/>
      <c r="I38" s="1"/>
      <c r="J38" s="1"/>
      <c r="K38" s="1" t="s">
        <v>1218</v>
      </c>
      <c r="L38" s="1" t="s">
        <v>577</v>
      </c>
      <c r="M38" s="1"/>
      <c r="N38" s="1" t="s">
        <v>188</v>
      </c>
      <c r="O38" s="1"/>
      <c r="P38" s="1"/>
      <c r="Q38" s="2"/>
      <c r="R38" s="1"/>
      <c r="S38" s="1"/>
      <c r="T38" s="1"/>
      <c r="U38" s="1" t="s">
        <v>1956</v>
      </c>
      <c r="V38" s="5">
        <v>43966.633806348313</v>
      </c>
      <c r="W38" s="1" t="s">
        <v>1952</v>
      </c>
      <c r="X38" s="6">
        <v>2250</v>
      </c>
      <c r="Y38" s="1"/>
      <c r="Z38" s="4">
        <v>43973</v>
      </c>
      <c r="AA38" s="5">
        <v>44196</v>
      </c>
      <c r="AB38" s="1" t="s">
        <v>1971</v>
      </c>
      <c r="AC38" s="1"/>
      <c r="AD38" s="1"/>
    </row>
    <row r="39" spans="1:30" hidden="1" x14ac:dyDescent="0.25">
      <c r="A39" s="1" t="s">
        <v>1020</v>
      </c>
      <c r="B39" s="1" t="s">
        <v>462</v>
      </c>
      <c r="C39" s="1" t="s">
        <v>1157</v>
      </c>
      <c r="D39" s="4">
        <v>43966</v>
      </c>
      <c r="E39" s="6">
        <v>14952</v>
      </c>
      <c r="F39" s="6"/>
      <c r="G39" s="6">
        <v>415.33333333333331</v>
      </c>
      <c r="H39" s="1"/>
      <c r="I39" s="1"/>
      <c r="J39" s="1"/>
      <c r="K39" s="1" t="s">
        <v>1739</v>
      </c>
      <c r="L39" s="1" t="s">
        <v>718</v>
      </c>
      <c r="M39" s="1"/>
      <c r="N39" s="1" t="s">
        <v>104</v>
      </c>
      <c r="O39" s="1"/>
      <c r="P39" s="1"/>
      <c r="Q39" s="2"/>
      <c r="R39" s="1"/>
      <c r="S39" s="1"/>
      <c r="T39" s="1"/>
      <c r="U39" s="1" t="s">
        <v>1956</v>
      </c>
      <c r="V39" s="5">
        <v>43966.62625160264</v>
      </c>
      <c r="W39" s="1" t="s">
        <v>1952</v>
      </c>
      <c r="X39" s="6">
        <v>14952</v>
      </c>
      <c r="Y39" s="1"/>
      <c r="Z39" s="4">
        <v>43973</v>
      </c>
      <c r="AA39" s="5">
        <v>44196</v>
      </c>
      <c r="AB39" s="1" t="s">
        <v>1971</v>
      </c>
      <c r="AC39" s="1"/>
      <c r="AD39" s="1"/>
    </row>
    <row r="40" spans="1:30" hidden="1" x14ac:dyDescent="0.25">
      <c r="A40" s="1" t="s">
        <v>1135</v>
      </c>
      <c r="B40" s="1" t="s">
        <v>474</v>
      </c>
      <c r="C40" s="1" t="s">
        <v>1157</v>
      </c>
      <c r="D40" s="4">
        <v>43966</v>
      </c>
      <c r="E40" s="6">
        <v>3200</v>
      </c>
      <c r="F40" s="6"/>
      <c r="G40" s="6">
        <v>80</v>
      </c>
      <c r="H40" s="1"/>
      <c r="I40" s="1"/>
      <c r="J40" s="1"/>
      <c r="K40" s="1" t="s">
        <v>1753</v>
      </c>
      <c r="L40" s="1" t="s">
        <v>680</v>
      </c>
      <c r="M40" s="1"/>
      <c r="N40" s="1" t="s">
        <v>110</v>
      </c>
      <c r="O40" s="1"/>
      <c r="P40" s="1"/>
      <c r="Q40" s="2"/>
      <c r="R40" s="1"/>
      <c r="S40" s="1"/>
      <c r="T40" s="1"/>
      <c r="U40" s="1" t="s">
        <v>1956</v>
      </c>
      <c r="V40" s="5">
        <v>43966.614611144621</v>
      </c>
      <c r="W40" s="1" t="s">
        <v>439</v>
      </c>
      <c r="X40" s="6">
        <v>3200</v>
      </c>
      <c r="Y40" s="1"/>
      <c r="Z40" s="4">
        <v>43973</v>
      </c>
      <c r="AA40" s="5">
        <v>44196</v>
      </c>
      <c r="AB40" s="1" t="s">
        <v>1971</v>
      </c>
      <c r="AC40" s="1"/>
      <c r="AD40" s="1"/>
    </row>
    <row r="41" spans="1:30" hidden="1" x14ac:dyDescent="0.25">
      <c r="A41" s="1" t="s">
        <v>1099</v>
      </c>
      <c r="B41" s="1" t="s">
        <v>417</v>
      </c>
      <c r="C41" s="1" t="s">
        <v>1147</v>
      </c>
      <c r="D41" s="4">
        <v>43963</v>
      </c>
      <c r="E41" s="6">
        <v>6500</v>
      </c>
      <c r="F41" s="6"/>
      <c r="G41" s="6">
        <v>130</v>
      </c>
      <c r="H41" s="1" t="s">
        <v>1864</v>
      </c>
      <c r="I41" s="6">
        <v>8500</v>
      </c>
      <c r="J41" s="6">
        <v>0.56666666666666665</v>
      </c>
      <c r="K41" s="1" t="s">
        <v>1864</v>
      </c>
      <c r="L41" s="1" t="s">
        <v>486</v>
      </c>
      <c r="M41" s="1" t="s">
        <v>961</v>
      </c>
      <c r="N41" s="1" t="s">
        <v>45</v>
      </c>
      <c r="O41" s="6">
        <v>8500</v>
      </c>
      <c r="P41" s="6">
        <v>0.56666666666666665</v>
      </c>
      <c r="Q41" s="2" t="str">
        <f>HYPERLINK("https://auction.openprocurement.org/tenders/589437f99dff48e69cf4bb5d180b1feb")</f>
        <v>https://auction.openprocurement.org/tenders/589437f99dff48e69cf4bb5d180b1feb</v>
      </c>
      <c r="R41" s="5">
        <v>43976.516311551517</v>
      </c>
      <c r="S41" s="4">
        <v>43978</v>
      </c>
      <c r="T41" s="4">
        <v>43999</v>
      </c>
      <c r="U41" s="1" t="s">
        <v>1956</v>
      </c>
      <c r="V41" s="5">
        <v>43979.636954836722</v>
      </c>
      <c r="W41" s="1" t="s">
        <v>1952</v>
      </c>
      <c r="X41" s="6">
        <v>6500</v>
      </c>
      <c r="Y41" s="1"/>
      <c r="Z41" s="4">
        <v>43987</v>
      </c>
      <c r="AA41" s="5">
        <v>44196</v>
      </c>
      <c r="AB41" s="1" t="s">
        <v>1971</v>
      </c>
      <c r="AC41" s="1"/>
      <c r="AD41" s="1"/>
    </row>
    <row r="42" spans="1:30" hidden="1" x14ac:dyDescent="0.25">
      <c r="A42" s="1" t="s">
        <v>1096</v>
      </c>
      <c r="B42" s="1" t="s">
        <v>741</v>
      </c>
      <c r="C42" s="1" t="s">
        <v>1147</v>
      </c>
      <c r="D42" s="4">
        <v>43950</v>
      </c>
      <c r="E42" s="6">
        <v>1885</v>
      </c>
      <c r="F42" s="6"/>
      <c r="G42" s="6">
        <v>30.403225806451612</v>
      </c>
      <c r="H42" s="1" t="s">
        <v>1171</v>
      </c>
      <c r="I42" s="6">
        <v>2845</v>
      </c>
      <c r="J42" s="6">
        <v>0.60147991543340384</v>
      </c>
      <c r="K42" s="1" t="s">
        <v>1865</v>
      </c>
      <c r="L42" s="1" t="s">
        <v>515</v>
      </c>
      <c r="M42" s="1" t="s">
        <v>884</v>
      </c>
      <c r="N42" s="1" t="s">
        <v>114</v>
      </c>
      <c r="O42" s="1"/>
      <c r="P42" s="1"/>
      <c r="Q42" s="2" t="str">
        <f>HYPERLINK("https://auction.openprocurement.org/tenders/6222c6fe0a774860a78f01ff820c3626")</f>
        <v>https://auction.openprocurement.org/tenders/6222c6fe0a774860a78f01ff820c3626</v>
      </c>
      <c r="R42" s="5">
        <v>43966.438522873308</v>
      </c>
      <c r="S42" s="4">
        <v>43970</v>
      </c>
      <c r="T42" s="4">
        <v>43987</v>
      </c>
      <c r="U42" s="1" t="s">
        <v>1956</v>
      </c>
      <c r="V42" s="5">
        <v>43970.526469534234</v>
      </c>
      <c r="W42" s="1" t="s">
        <v>1952</v>
      </c>
      <c r="X42" s="6">
        <v>4730</v>
      </c>
      <c r="Y42" s="1"/>
      <c r="Z42" s="4">
        <v>43982</v>
      </c>
      <c r="AA42" s="5">
        <v>44196</v>
      </c>
      <c r="AB42" s="1" t="s">
        <v>1971</v>
      </c>
      <c r="AC42" s="1"/>
      <c r="AD42" s="1"/>
    </row>
    <row r="43" spans="1:30" hidden="1" x14ac:dyDescent="0.25">
      <c r="A43" s="1" t="s">
        <v>1100</v>
      </c>
      <c r="B43" s="1" t="s">
        <v>744</v>
      </c>
      <c r="C43" s="1" t="s">
        <v>1147</v>
      </c>
      <c r="D43" s="4">
        <v>43950</v>
      </c>
      <c r="E43" s="6">
        <v>7293.96</v>
      </c>
      <c r="F43" s="6"/>
      <c r="G43" s="6">
        <v>80.153406593406601</v>
      </c>
      <c r="H43" s="1" t="s">
        <v>1648</v>
      </c>
      <c r="I43" s="6">
        <v>9976.0400000000009</v>
      </c>
      <c r="J43" s="6">
        <v>0.57765141864504932</v>
      </c>
      <c r="K43" s="1" t="s">
        <v>1865</v>
      </c>
      <c r="L43" s="1" t="s">
        <v>515</v>
      </c>
      <c r="M43" s="1" t="s">
        <v>884</v>
      </c>
      <c r="N43" s="1" t="s">
        <v>114</v>
      </c>
      <c r="O43" s="1"/>
      <c r="P43" s="1"/>
      <c r="Q43" s="2" t="str">
        <f>HYPERLINK("https://auction.openprocurement.org/tenders/d02380cafd034d34943e95655f80828b")</f>
        <v>https://auction.openprocurement.org/tenders/d02380cafd034d34943e95655f80828b</v>
      </c>
      <c r="R43" s="5">
        <v>43965.472763709353</v>
      </c>
      <c r="S43" s="4">
        <v>43969</v>
      </c>
      <c r="T43" s="4">
        <v>43987</v>
      </c>
      <c r="U43" s="1" t="s">
        <v>1956</v>
      </c>
      <c r="V43" s="5">
        <v>43969.515249944292</v>
      </c>
      <c r="W43" s="1" t="s">
        <v>1952</v>
      </c>
      <c r="X43" s="6">
        <v>17270</v>
      </c>
      <c r="Y43" s="1"/>
      <c r="Z43" s="4">
        <v>43982</v>
      </c>
      <c r="AA43" s="5">
        <v>44196</v>
      </c>
      <c r="AB43" s="1" t="s">
        <v>1971</v>
      </c>
      <c r="AC43" s="1"/>
      <c r="AD43" s="1"/>
    </row>
    <row r="44" spans="1:30" hidden="1" x14ac:dyDescent="0.25">
      <c r="A44" s="1" t="s">
        <v>1332</v>
      </c>
      <c r="B44" s="1" t="s">
        <v>527</v>
      </c>
      <c r="C44" s="1" t="s">
        <v>1147</v>
      </c>
      <c r="D44" s="4">
        <v>43950</v>
      </c>
      <c r="E44" s="6">
        <v>21438</v>
      </c>
      <c r="F44" s="6"/>
      <c r="G44" s="6">
        <v>71.459999999999994</v>
      </c>
      <c r="H44" s="1" t="s">
        <v>1702</v>
      </c>
      <c r="I44" s="6">
        <v>8202</v>
      </c>
      <c r="J44" s="6">
        <v>0.27672064777327937</v>
      </c>
      <c r="K44" s="1" t="s">
        <v>1865</v>
      </c>
      <c r="L44" s="1" t="s">
        <v>515</v>
      </c>
      <c r="M44" s="1" t="s">
        <v>884</v>
      </c>
      <c r="N44" s="1" t="s">
        <v>114</v>
      </c>
      <c r="O44" s="1"/>
      <c r="P44" s="1"/>
      <c r="Q44" s="2" t="str">
        <f>HYPERLINK("https://auction.openprocurement.org/tenders/acc76a3e60fd43a7bc84300a1a93d41c")</f>
        <v>https://auction.openprocurement.org/tenders/acc76a3e60fd43a7bc84300a1a93d41c</v>
      </c>
      <c r="R44" s="5">
        <v>43964.709002863237</v>
      </c>
      <c r="S44" s="4">
        <v>43966</v>
      </c>
      <c r="T44" s="4">
        <v>43987</v>
      </c>
      <c r="U44" s="1" t="s">
        <v>1956</v>
      </c>
      <c r="V44" s="5">
        <v>43969.70829350486</v>
      </c>
      <c r="W44" s="1" t="s">
        <v>1952</v>
      </c>
      <c r="X44" s="6">
        <v>29640</v>
      </c>
      <c r="Y44" s="1"/>
      <c r="Z44" s="4">
        <v>43982</v>
      </c>
      <c r="AA44" s="5">
        <v>44196</v>
      </c>
      <c r="AB44" s="1" t="s">
        <v>1971</v>
      </c>
      <c r="AC44" s="1"/>
      <c r="AD44" s="1"/>
    </row>
    <row r="45" spans="1:30" hidden="1" x14ac:dyDescent="0.25">
      <c r="A45" s="1" t="s">
        <v>1542</v>
      </c>
      <c r="B45" s="1" t="s">
        <v>788</v>
      </c>
      <c r="C45" s="1" t="s">
        <v>1157</v>
      </c>
      <c r="D45" s="4">
        <v>43950</v>
      </c>
      <c r="E45" s="6">
        <v>10000</v>
      </c>
      <c r="F45" s="6"/>
      <c r="G45" s="6">
        <v>10000</v>
      </c>
      <c r="H45" s="1"/>
      <c r="I45" s="1"/>
      <c r="J45" s="1"/>
      <c r="K45" s="1" t="s">
        <v>1751</v>
      </c>
      <c r="L45" s="1" t="s">
        <v>684</v>
      </c>
      <c r="M45" s="1"/>
      <c r="N45" s="1" t="s">
        <v>66</v>
      </c>
      <c r="O45" s="1"/>
      <c r="P45" s="1"/>
      <c r="Q45" s="2"/>
      <c r="R45" s="1"/>
      <c r="S45" s="1"/>
      <c r="T45" s="1"/>
      <c r="U45" s="1" t="s">
        <v>1956</v>
      </c>
      <c r="V45" s="5">
        <v>43950.451254083426</v>
      </c>
      <c r="W45" s="1" t="s">
        <v>1952</v>
      </c>
      <c r="X45" s="6">
        <v>10000</v>
      </c>
      <c r="Y45" s="1"/>
      <c r="Z45" s="4">
        <v>44196</v>
      </c>
      <c r="AA45" s="5">
        <v>44196</v>
      </c>
      <c r="AB45" s="1" t="s">
        <v>1971</v>
      </c>
      <c r="AC45" s="1"/>
      <c r="AD45" s="1"/>
    </row>
    <row r="46" spans="1:30" hidden="1" x14ac:dyDescent="0.25">
      <c r="A46" s="1" t="s">
        <v>1098</v>
      </c>
      <c r="B46" s="1" t="s">
        <v>414</v>
      </c>
      <c r="C46" s="1" t="s">
        <v>1147</v>
      </c>
      <c r="D46" s="4">
        <v>43949</v>
      </c>
      <c r="E46" s="6">
        <v>18918</v>
      </c>
      <c r="F46" s="6"/>
      <c r="G46" s="6">
        <v>378.36</v>
      </c>
      <c r="H46" s="1" t="s">
        <v>1660</v>
      </c>
      <c r="I46" s="6">
        <v>6082</v>
      </c>
      <c r="J46" s="6">
        <v>0.24328</v>
      </c>
      <c r="K46" s="1" t="s">
        <v>1660</v>
      </c>
      <c r="L46" s="1" t="s">
        <v>572</v>
      </c>
      <c r="M46" s="1" t="s">
        <v>861</v>
      </c>
      <c r="N46" s="1" t="s">
        <v>328</v>
      </c>
      <c r="O46" s="6">
        <v>6082</v>
      </c>
      <c r="P46" s="6">
        <v>0.24328</v>
      </c>
      <c r="Q46" s="2" t="str">
        <f>HYPERLINK("https://auction.openprocurement.org/tenders/3daec4c0f0734155873654db6eb79d1b")</f>
        <v>https://auction.openprocurement.org/tenders/3daec4c0f0734155873654db6eb79d1b</v>
      </c>
      <c r="R46" s="5">
        <v>43964.483824789975</v>
      </c>
      <c r="S46" s="4">
        <v>43966</v>
      </c>
      <c r="T46" s="4">
        <v>43986</v>
      </c>
      <c r="U46" s="1" t="s">
        <v>1956</v>
      </c>
      <c r="V46" s="5">
        <v>43970.623000027001</v>
      </c>
      <c r="W46" s="1" t="s">
        <v>1952</v>
      </c>
      <c r="X46" s="6">
        <v>18918</v>
      </c>
      <c r="Y46" s="1"/>
      <c r="Z46" s="4">
        <v>43971</v>
      </c>
      <c r="AA46" s="5">
        <v>44196</v>
      </c>
      <c r="AB46" s="1" t="s">
        <v>1971</v>
      </c>
      <c r="AC46" s="1"/>
      <c r="AD46" s="1"/>
    </row>
    <row r="47" spans="1:30" hidden="1" x14ac:dyDescent="0.25">
      <c r="A47" s="1" t="s">
        <v>1098</v>
      </c>
      <c r="B47" s="1" t="s">
        <v>428</v>
      </c>
      <c r="C47" s="1" t="s">
        <v>1147</v>
      </c>
      <c r="D47" s="4">
        <v>43949</v>
      </c>
      <c r="E47" s="6">
        <v>11799</v>
      </c>
      <c r="F47" s="6"/>
      <c r="G47" s="6">
        <v>135.62068965517241</v>
      </c>
      <c r="H47" s="1" t="s">
        <v>1585</v>
      </c>
      <c r="I47" s="6">
        <v>3971</v>
      </c>
      <c r="J47" s="6">
        <v>0.25180722891566265</v>
      </c>
      <c r="K47" s="1" t="s">
        <v>1838</v>
      </c>
      <c r="L47" s="1" t="s">
        <v>594</v>
      </c>
      <c r="M47" s="1" t="s">
        <v>950</v>
      </c>
      <c r="N47" s="1" t="s">
        <v>169</v>
      </c>
      <c r="O47" s="6">
        <v>3970</v>
      </c>
      <c r="P47" s="6">
        <v>0.2517438173747622</v>
      </c>
      <c r="Q47" s="2" t="str">
        <f>HYPERLINK("https://auction.openprocurement.org/tenders/38b81c82b24f4d36a1f6e66ed193da05")</f>
        <v>https://auction.openprocurement.org/tenders/38b81c82b24f4d36a1f6e66ed193da05</v>
      </c>
      <c r="R47" s="5">
        <v>43965.509450070131</v>
      </c>
      <c r="S47" s="4">
        <v>43969</v>
      </c>
      <c r="T47" s="4">
        <v>43986</v>
      </c>
      <c r="U47" s="1" t="s">
        <v>1956</v>
      </c>
      <c r="V47" s="5">
        <v>43970.629157429918</v>
      </c>
      <c r="W47" s="1" t="s">
        <v>1952</v>
      </c>
      <c r="X47" s="6">
        <v>11800</v>
      </c>
      <c r="Y47" s="1"/>
      <c r="Z47" s="4">
        <v>43971</v>
      </c>
      <c r="AA47" s="5">
        <v>44196</v>
      </c>
      <c r="AB47" s="1" t="s">
        <v>1971</v>
      </c>
      <c r="AC47" s="1"/>
      <c r="AD47" s="1"/>
    </row>
    <row r="48" spans="1:30" hidden="1" x14ac:dyDescent="0.25">
      <c r="A48" s="1" t="s">
        <v>1098</v>
      </c>
      <c r="B48" s="1" t="s">
        <v>584</v>
      </c>
      <c r="C48" s="1" t="s">
        <v>1157</v>
      </c>
      <c r="D48" s="4">
        <v>43948</v>
      </c>
      <c r="E48" s="6">
        <v>7500</v>
      </c>
      <c r="F48" s="6"/>
      <c r="G48" s="6">
        <v>7.5</v>
      </c>
      <c r="H48" s="1"/>
      <c r="I48" s="1"/>
      <c r="J48" s="1"/>
      <c r="K48" s="1" t="s">
        <v>1915</v>
      </c>
      <c r="L48" s="1" t="s">
        <v>468</v>
      </c>
      <c r="M48" s="1"/>
      <c r="N48" s="1" t="s">
        <v>47</v>
      </c>
      <c r="O48" s="1"/>
      <c r="P48" s="1"/>
      <c r="Q48" s="2"/>
      <c r="R48" s="1"/>
      <c r="S48" s="1"/>
      <c r="T48" s="1"/>
      <c r="U48" s="1" t="s">
        <v>1956</v>
      </c>
      <c r="V48" s="5">
        <v>43948.597692754644</v>
      </c>
      <c r="W48" s="1" t="s">
        <v>498</v>
      </c>
      <c r="X48" s="6">
        <v>7500</v>
      </c>
      <c r="Y48" s="1"/>
      <c r="Z48" s="4">
        <v>43952</v>
      </c>
      <c r="AA48" s="5">
        <v>44196</v>
      </c>
      <c r="AB48" s="1" t="s">
        <v>1971</v>
      </c>
      <c r="AC48" s="1"/>
      <c r="AD48" s="1"/>
    </row>
    <row r="49" spans="1:30" hidden="1" x14ac:dyDescent="0.25">
      <c r="A49" s="1" t="s">
        <v>1036</v>
      </c>
      <c r="B49" s="1" t="s">
        <v>596</v>
      </c>
      <c r="C49" s="1" t="s">
        <v>1157</v>
      </c>
      <c r="D49" s="4">
        <v>43945</v>
      </c>
      <c r="E49" s="6">
        <v>27500</v>
      </c>
      <c r="F49" s="6"/>
      <c r="G49" s="6">
        <v>137.5</v>
      </c>
      <c r="H49" s="1"/>
      <c r="I49" s="1"/>
      <c r="J49" s="1"/>
      <c r="K49" s="1" t="s">
        <v>1325</v>
      </c>
      <c r="L49" s="1" t="s">
        <v>627</v>
      </c>
      <c r="M49" s="1"/>
      <c r="N49" s="1" t="s">
        <v>325</v>
      </c>
      <c r="O49" s="1"/>
      <c r="P49" s="1"/>
      <c r="Q49" s="2"/>
      <c r="R49" s="1"/>
      <c r="S49" s="1"/>
      <c r="T49" s="1"/>
      <c r="U49" s="1" t="s">
        <v>1956</v>
      </c>
      <c r="V49" s="5">
        <v>43945.609252980263</v>
      </c>
      <c r="W49" s="1" t="s">
        <v>1952</v>
      </c>
      <c r="X49" s="6">
        <v>27500</v>
      </c>
      <c r="Y49" s="1"/>
      <c r="Z49" s="4">
        <v>43952</v>
      </c>
      <c r="AA49" s="5">
        <v>44196</v>
      </c>
      <c r="AB49" s="1" t="s">
        <v>1971</v>
      </c>
      <c r="AC49" s="1"/>
      <c r="AD49" s="1"/>
    </row>
    <row r="50" spans="1:30" hidden="1" x14ac:dyDescent="0.25">
      <c r="A50" s="1" t="s">
        <v>1572</v>
      </c>
      <c r="B50" s="1" t="s">
        <v>235</v>
      </c>
      <c r="C50" s="1" t="s">
        <v>1081</v>
      </c>
      <c r="D50" s="4">
        <v>43938</v>
      </c>
      <c r="E50" s="6">
        <v>97638</v>
      </c>
      <c r="F50" s="6"/>
      <c r="G50" s="6">
        <v>26.296256396444925</v>
      </c>
      <c r="H50" s="1" t="s">
        <v>1323</v>
      </c>
      <c r="I50" s="6">
        <v>29776</v>
      </c>
      <c r="J50" s="6">
        <v>0.23369488439260991</v>
      </c>
      <c r="K50" s="1" t="s">
        <v>1323</v>
      </c>
      <c r="L50" s="1" t="s">
        <v>599</v>
      </c>
      <c r="M50" s="1" t="s">
        <v>928</v>
      </c>
      <c r="N50" s="1" t="s">
        <v>154</v>
      </c>
      <c r="O50" s="6">
        <v>29776</v>
      </c>
      <c r="P50" s="6">
        <v>0.23369488439260991</v>
      </c>
      <c r="Q50" s="2" t="str">
        <f>HYPERLINK("https://auction.openprocurement.org/tenders/bb4ee4fd69be463da2827d0ac7ea3cbe")</f>
        <v>https://auction.openprocurement.org/tenders/bb4ee4fd69be463da2827d0ac7ea3cbe</v>
      </c>
      <c r="R50" s="5">
        <v>43957.585243801826</v>
      </c>
      <c r="S50" s="4">
        <v>43968</v>
      </c>
      <c r="T50" s="4">
        <v>43978</v>
      </c>
      <c r="U50" s="1" t="s">
        <v>1956</v>
      </c>
      <c r="V50" s="5">
        <v>43969.433191244236</v>
      </c>
      <c r="W50" s="1" t="s">
        <v>1952</v>
      </c>
      <c r="X50" s="6">
        <v>97638</v>
      </c>
      <c r="Y50" s="1"/>
      <c r="Z50" s="4">
        <v>44012</v>
      </c>
      <c r="AA50" s="5">
        <v>44196</v>
      </c>
      <c r="AB50" s="1" t="s">
        <v>1971</v>
      </c>
      <c r="AC50" s="1"/>
      <c r="AD50" s="1"/>
    </row>
    <row r="51" spans="1:30" hidden="1" x14ac:dyDescent="0.25">
      <c r="A51" s="1" t="s">
        <v>1136</v>
      </c>
      <c r="B51" s="1" t="s">
        <v>667</v>
      </c>
      <c r="C51" s="1" t="s">
        <v>1081</v>
      </c>
      <c r="D51" s="4">
        <v>43938</v>
      </c>
      <c r="E51" s="6">
        <v>647773</v>
      </c>
      <c r="F51" s="6"/>
      <c r="G51" s="1" t="s">
        <v>1960</v>
      </c>
      <c r="H51" s="1" t="s">
        <v>1846</v>
      </c>
      <c r="I51" s="6">
        <v>10274</v>
      </c>
      <c r="J51" s="6">
        <v>1.5612866558163779E-2</v>
      </c>
      <c r="K51" s="1" t="s">
        <v>1846</v>
      </c>
      <c r="L51" s="1" t="s">
        <v>506</v>
      </c>
      <c r="M51" s="1" t="s">
        <v>944</v>
      </c>
      <c r="N51" s="1" t="s">
        <v>142</v>
      </c>
      <c r="O51" s="6">
        <v>10274</v>
      </c>
      <c r="P51" s="6">
        <v>1.5612866558163779E-2</v>
      </c>
      <c r="Q51" s="2" t="str">
        <f>HYPERLINK("https://auction.openprocurement.org/tenders/898eb516505a46f29b866e2f60b81f6a")</f>
        <v>https://auction.openprocurement.org/tenders/898eb516505a46f29b866e2f60b81f6a</v>
      </c>
      <c r="R51" s="5">
        <v>43956.541444549315</v>
      </c>
      <c r="S51" s="4">
        <v>43967</v>
      </c>
      <c r="T51" s="4">
        <v>43977</v>
      </c>
      <c r="U51" s="1" t="s">
        <v>1956</v>
      </c>
      <c r="V51" s="5">
        <v>43969.416147623226</v>
      </c>
      <c r="W51" s="1" t="s">
        <v>455</v>
      </c>
      <c r="X51" s="6">
        <v>647773</v>
      </c>
      <c r="Y51" s="1"/>
      <c r="Z51" s="4">
        <v>44012</v>
      </c>
      <c r="AA51" s="5">
        <v>44196</v>
      </c>
      <c r="AB51" s="1" t="s">
        <v>1971</v>
      </c>
      <c r="AC51" s="1"/>
      <c r="AD51" s="1"/>
    </row>
    <row r="52" spans="1:30" hidden="1" x14ac:dyDescent="0.25">
      <c r="A52" s="1" t="s">
        <v>1141</v>
      </c>
      <c r="B52" s="1" t="s">
        <v>735</v>
      </c>
      <c r="C52" s="1" t="s">
        <v>1081</v>
      </c>
      <c r="D52" s="4">
        <v>43938</v>
      </c>
      <c r="E52" s="6">
        <v>532980</v>
      </c>
      <c r="F52" s="6"/>
      <c r="G52" s="6">
        <v>106596</v>
      </c>
      <c r="H52" s="1" t="s">
        <v>1868</v>
      </c>
      <c r="I52" s="6">
        <v>20</v>
      </c>
      <c r="J52" s="6">
        <v>3.7523452157598499E-5</v>
      </c>
      <c r="K52" s="1" t="s">
        <v>1868</v>
      </c>
      <c r="L52" s="1" t="s">
        <v>512</v>
      </c>
      <c r="M52" s="1" t="s">
        <v>867</v>
      </c>
      <c r="N52" s="1" t="s">
        <v>170</v>
      </c>
      <c r="O52" s="6">
        <v>20</v>
      </c>
      <c r="P52" s="6">
        <v>3.7523452157598499E-5</v>
      </c>
      <c r="Q52" s="2" t="str">
        <f>HYPERLINK("https://auction.openprocurement.org/tenders/0ae38d55860645d98dbb6764f8471339")</f>
        <v>https://auction.openprocurement.org/tenders/0ae38d55860645d98dbb6764f8471339</v>
      </c>
      <c r="R52" s="5">
        <v>43957.603113047451</v>
      </c>
      <c r="S52" s="4">
        <v>43968</v>
      </c>
      <c r="T52" s="4">
        <v>43978</v>
      </c>
      <c r="U52" s="1" t="s">
        <v>1956</v>
      </c>
      <c r="V52" s="5">
        <v>43969.419531714899</v>
      </c>
      <c r="W52" s="1" t="s">
        <v>1952</v>
      </c>
      <c r="X52" s="6">
        <v>532980</v>
      </c>
      <c r="Y52" s="1"/>
      <c r="Z52" s="4">
        <v>43992</v>
      </c>
      <c r="AA52" s="5">
        <v>44196</v>
      </c>
      <c r="AB52" s="1" t="s">
        <v>1971</v>
      </c>
      <c r="AC52" s="1"/>
      <c r="AD52" s="1"/>
    </row>
    <row r="53" spans="1:30" hidden="1" x14ac:dyDescent="0.25">
      <c r="A53" s="1" t="s">
        <v>1243</v>
      </c>
      <c r="B53" s="1" t="s">
        <v>661</v>
      </c>
      <c r="C53" s="1" t="s">
        <v>1147</v>
      </c>
      <c r="D53" s="4">
        <v>43938</v>
      </c>
      <c r="E53" s="6">
        <v>96900</v>
      </c>
      <c r="F53" s="6"/>
      <c r="G53" s="1" t="s">
        <v>1960</v>
      </c>
      <c r="H53" s="1" t="s">
        <v>1900</v>
      </c>
      <c r="I53" s="6">
        <v>33100</v>
      </c>
      <c r="J53" s="6">
        <v>0.25461538461538463</v>
      </c>
      <c r="K53" s="1" t="s">
        <v>1881</v>
      </c>
      <c r="L53" s="1" t="s">
        <v>575</v>
      </c>
      <c r="M53" s="1" t="s">
        <v>925</v>
      </c>
      <c r="N53" s="1" t="s">
        <v>130</v>
      </c>
      <c r="O53" s="6">
        <v>8000</v>
      </c>
      <c r="P53" s="6">
        <v>6.1538461538461542E-2</v>
      </c>
      <c r="Q53" s="2" t="str">
        <f>HYPERLINK("https://auction.openprocurement.org/tenders/157fd8f5d7f742b4852cef05632eca6b")</f>
        <v>https://auction.openprocurement.org/tenders/157fd8f5d7f742b4852cef05632eca6b</v>
      </c>
      <c r="R53" s="5">
        <v>43951.510854927452</v>
      </c>
      <c r="S53" s="4">
        <v>43956</v>
      </c>
      <c r="T53" s="4">
        <v>43973</v>
      </c>
      <c r="U53" s="1" t="s">
        <v>1956</v>
      </c>
      <c r="V53" s="5">
        <v>43960.501887498693</v>
      </c>
      <c r="W53" s="1" t="s">
        <v>1952</v>
      </c>
      <c r="X53" s="6">
        <v>122000</v>
      </c>
      <c r="Y53" s="1"/>
      <c r="Z53" s="4">
        <v>43981</v>
      </c>
      <c r="AA53" s="5">
        <v>44196</v>
      </c>
      <c r="AB53" s="1" t="s">
        <v>1971</v>
      </c>
      <c r="AC53" s="1"/>
      <c r="AD53" s="1"/>
    </row>
    <row r="54" spans="1:30" hidden="1" x14ac:dyDescent="0.25">
      <c r="A54" s="1" t="s">
        <v>1220</v>
      </c>
      <c r="B54" s="1" t="s">
        <v>609</v>
      </c>
      <c r="C54" s="1" t="s">
        <v>1147</v>
      </c>
      <c r="D54" s="4">
        <v>43938</v>
      </c>
      <c r="E54" s="6">
        <v>35000</v>
      </c>
      <c r="F54" s="6"/>
      <c r="G54" s="6">
        <v>3500</v>
      </c>
      <c r="H54" s="1" t="s">
        <v>1849</v>
      </c>
      <c r="I54" s="1"/>
      <c r="J54" s="1"/>
      <c r="K54" s="1" t="s">
        <v>1849</v>
      </c>
      <c r="L54" s="1" t="s">
        <v>447</v>
      </c>
      <c r="M54" s="1" t="s">
        <v>915</v>
      </c>
      <c r="N54" s="1" t="s">
        <v>135</v>
      </c>
      <c r="O54" s="1"/>
      <c r="P54" s="1"/>
      <c r="Q54" s="2"/>
      <c r="R54" s="5">
        <v>43945.548855394722</v>
      </c>
      <c r="S54" s="4">
        <v>43949</v>
      </c>
      <c r="T54" s="4">
        <v>43972</v>
      </c>
      <c r="U54" s="1" t="s">
        <v>1956</v>
      </c>
      <c r="V54" s="5">
        <v>43949.574073563046</v>
      </c>
      <c r="W54" s="1" t="s">
        <v>505</v>
      </c>
      <c r="X54" s="6">
        <v>35000</v>
      </c>
      <c r="Y54" s="1"/>
      <c r="Z54" s="4">
        <v>43973</v>
      </c>
      <c r="AA54" s="5">
        <v>44196</v>
      </c>
      <c r="AB54" s="1" t="s">
        <v>1971</v>
      </c>
      <c r="AC54" s="1"/>
      <c r="AD54" s="1"/>
    </row>
    <row r="55" spans="1:30" hidden="1" x14ac:dyDescent="0.25">
      <c r="A55" s="1" t="s">
        <v>1498</v>
      </c>
      <c r="B55" s="1" t="s">
        <v>751</v>
      </c>
      <c r="C55" s="1" t="s">
        <v>1081</v>
      </c>
      <c r="D55" s="4">
        <v>43937</v>
      </c>
      <c r="E55" s="6">
        <v>117794.6</v>
      </c>
      <c r="F55" s="6"/>
      <c r="G55" s="6">
        <v>117794.6</v>
      </c>
      <c r="H55" s="1" t="s">
        <v>1673</v>
      </c>
      <c r="I55" s="6">
        <v>502.39999999999418</v>
      </c>
      <c r="J55" s="6">
        <v>4.2469377921671237E-3</v>
      </c>
      <c r="K55" s="1" t="s">
        <v>1673</v>
      </c>
      <c r="L55" s="1" t="s">
        <v>715</v>
      </c>
      <c r="M55" s="1" t="s">
        <v>932</v>
      </c>
      <c r="N55" s="1" t="s">
        <v>121</v>
      </c>
      <c r="O55" s="6">
        <v>502.39999999999418</v>
      </c>
      <c r="P55" s="6">
        <v>4.2469377921671237E-3</v>
      </c>
      <c r="Q55" s="2" t="str">
        <f>HYPERLINK("https://auction.openprocurement.org/tenders/468a04190d3c4d25a39f5462b33c36b0")</f>
        <v>https://auction.openprocurement.org/tenders/468a04190d3c4d25a39f5462b33c36b0</v>
      </c>
      <c r="R55" s="5">
        <v>43956.451739337339</v>
      </c>
      <c r="S55" s="4">
        <v>43967</v>
      </c>
      <c r="T55" s="4">
        <v>43977</v>
      </c>
      <c r="U55" s="1" t="s">
        <v>1956</v>
      </c>
      <c r="V55" s="5">
        <v>43969.477201037778</v>
      </c>
      <c r="W55" s="1" t="s">
        <v>409</v>
      </c>
      <c r="X55" s="6">
        <v>117794.6</v>
      </c>
      <c r="Y55" s="1"/>
      <c r="Z55" s="4">
        <v>43987</v>
      </c>
      <c r="AA55" s="5">
        <v>44196</v>
      </c>
      <c r="AB55" s="1" t="s">
        <v>1971</v>
      </c>
      <c r="AC55" s="1"/>
      <c r="AD55" s="1"/>
    </row>
    <row r="56" spans="1:30" hidden="1" x14ac:dyDescent="0.25">
      <c r="A56" s="1" t="s">
        <v>1604</v>
      </c>
      <c r="B56" s="1" t="s">
        <v>548</v>
      </c>
      <c r="C56" s="1" t="s">
        <v>1147</v>
      </c>
      <c r="D56" s="4">
        <v>43935</v>
      </c>
      <c r="E56" s="6">
        <v>8720</v>
      </c>
      <c r="F56" s="6"/>
      <c r="G56" s="6">
        <v>545</v>
      </c>
      <c r="H56" s="1" t="s">
        <v>1853</v>
      </c>
      <c r="I56" s="6">
        <v>14065</v>
      </c>
      <c r="J56" s="6">
        <v>0.61729207812157116</v>
      </c>
      <c r="K56" s="1" t="s">
        <v>1879</v>
      </c>
      <c r="L56" s="1" t="s">
        <v>550</v>
      </c>
      <c r="M56" s="1" t="s">
        <v>880</v>
      </c>
      <c r="N56" s="1" t="s">
        <v>97</v>
      </c>
      <c r="O56" s="6">
        <v>5125</v>
      </c>
      <c r="P56" s="6">
        <v>0.22492868114987929</v>
      </c>
      <c r="Q56" s="2" t="str">
        <f>HYPERLINK("https://auction.openprocurement.org/tenders/84d21e278c6e4681860e7c10f4feb7de")</f>
        <v>https://auction.openprocurement.org/tenders/84d21e278c6e4681860e7c10f4feb7de</v>
      </c>
      <c r="R56" s="5">
        <v>43950.576632616088</v>
      </c>
      <c r="S56" s="4">
        <v>43955</v>
      </c>
      <c r="T56" s="4">
        <v>43968</v>
      </c>
      <c r="U56" s="1" t="s">
        <v>1956</v>
      </c>
      <c r="V56" s="5">
        <v>43955.629927759175</v>
      </c>
      <c r="W56" s="1" t="s">
        <v>1952</v>
      </c>
      <c r="X56" s="6">
        <v>17660</v>
      </c>
      <c r="Y56" s="1"/>
      <c r="Z56" s="4">
        <v>43966</v>
      </c>
      <c r="AA56" s="5">
        <v>44196</v>
      </c>
      <c r="AB56" s="1" t="s">
        <v>1971</v>
      </c>
      <c r="AC56" s="1"/>
      <c r="AD56" s="1"/>
    </row>
    <row r="57" spans="1:30" hidden="1" x14ac:dyDescent="0.25">
      <c r="A57" s="1" t="s">
        <v>1507</v>
      </c>
      <c r="B57" s="1" t="s">
        <v>758</v>
      </c>
      <c r="C57" s="1" t="s">
        <v>1147</v>
      </c>
      <c r="D57" s="4">
        <v>43935</v>
      </c>
      <c r="E57" s="6">
        <v>191820</v>
      </c>
      <c r="F57" s="6"/>
      <c r="G57" s="6">
        <v>191820</v>
      </c>
      <c r="H57" s="1" t="s">
        <v>1879</v>
      </c>
      <c r="I57" s="1"/>
      <c r="J57" s="1"/>
      <c r="K57" s="1" t="s">
        <v>1879</v>
      </c>
      <c r="L57" s="1" t="s">
        <v>550</v>
      </c>
      <c r="M57" s="1" t="s">
        <v>880</v>
      </c>
      <c r="N57" s="1" t="s">
        <v>97</v>
      </c>
      <c r="O57" s="1"/>
      <c r="P57" s="1"/>
      <c r="Q57" s="2"/>
      <c r="R57" s="5">
        <v>43945.500234124898</v>
      </c>
      <c r="S57" s="4">
        <v>43949</v>
      </c>
      <c r="T57" s="4">
        <v>43968</v>
      </c>
      <c r="U57" s="1" t="s">
        <v>1956</v>
      </c>
      <c r="V57" s="5">
        <v>43950.565774661445</v>
      </c>
      <c r="W57" s="1" t="s">
        <v>1952</v>
      </c>
      <c r="X57" s="6">
        <v>191820</v>
      </c>
      <c r="Y57" s="1"/>
      <c r="Z57" s="4">
        <v>43992</v>
      </c>
      <c r="AA57" s="5">
        <v>44196</v>
      </c>
      <c r="AB57" s="1" t="s">
        <v>1971</v>
      </c>
      <c r="AC57" s="1"/>
      <c r="AD57" s="1"/>
    </row>
    <row r="58" spans="1:30" hidden="1" x14ac:dyDescent="0.25">
      <c r="A58" s="1" t="s">
        <v>1258</v>
      </c>
      <c r="B58" s="1" t="s">
        <v>754</v>
      </c>
      <c r="C58" s="1" t="s">
        <v>1147</v>
      </c>
      <c r="D58" s="4">
        <v>43935</v>
      </c>
      <c r="E58" s="6">
        <v>99500</v>
      </c>
      <c r="F58" s="6"/>
      <c r="G58" s="6">
        <v>99500</v>
      </c>
      <c r="H58" s="1" t="s">
        <v>1879</v>
      </c>
      <c r="I58" s="1"/>
      <c r="J58" s="1"/>
      <c r="K58" s="1" t="s">
        <v>1879</v>
      </c>
      <c r="L58" s="1" t="s">
        <v>550</v>
      </c>
      <c r="M58" s="1" t="s">
        <v>880</v>
      </c>
      <c r="N58" s="1" t="s">
        <v>97</v>
      </c>
      <c r="O58" s="1"/>
      <c r="P58" s="1"/>
      <c r="Q58" s="2"/>
      <c r="R58" s="5">
        <v>43945.497799267272</v>
      </c>
      <c r="S58" s="4">
        <v>43949</v>
      </c>
      <c r="T58" s="4">
        <v>43968</v>
      </c>
      <c r="U58" s="1" t="s">
        <v>1956</v>
      </c>
      <c r="V58" s="5">
        <v>43950.57078197028</v>
      </c>
      <c r="W58" s="1" t="s">
        <v>1952</v>
      </c>
      <c r="X58" s="6">
        <v>99500</v>
      </c>
      <c r="Y58" s="1"/>
      <c r="Z58" s="4">
        <v>44002</v>
      </c>
      <c r="AA58" s="5">
        <v>44196</v>
      </c>
      <c r="AB58" s="1" t="s">
        <v>1971</v>
      </c>
      <c r="AC58" s="1"/>
      <c r="AD58" s="1"/>
    </row>
    <row r="59" spans="1:30" hidden="1" x14ac:dyDescent="0.25">
      <c r="A59" s="1" t="s">
        <v>1224</v>
      </c>
      <c r="B59" s="1" t="s">
        <v>609</v>
      </c>
      <c r="C59" s="1" t="s">
        <v>1147</v>
      </c>
      <c r="D59" s="4">
        <v>43934</v>
      </c>
      <c r="E59" s="6">
        <v>78000</v>
      </c>
      <c r="F59" s="6"/>
      <c r="G59" s="6">
        <v>26000</v>
      </c>
      <c r="H59" s="1" t="s">
        <v>1869</v>
      </c>
      <c r="I59" s="6">
        <v>3000</v>
      </c>
      <c r="J59" s="6">
        <v>3.7037037037037035E-2</v>
      </c>
      <c r="K59" s="1" t="s">
        <v>1869</v>
      </c>
      <c r="L59" s="1" t="s">
        <v>494</v>
      </c>
      <c r="M59" s="1" t="s">
        <v>953</v>
      </c>
      <c r="N59" s="1" t="s">
        <v>118</v>
      </c>
      <c r="O59" s="6">
        <v>3000</v>
      </c>
      <c r="P59" s="6">
        <v>3.7037037037037035E-2</v>
      </c>
      <c r="Q59" s="2"/>
      <c r="R59" s="5">
        <v>43942.648096798192</v>
      </c>
      <c r="S59" s="4">
        <v>43944</v>
      </c>
      <c r="T59" s="4">
        <v>43967</v>
      </c>
      <c r="U59" s="1" t="s">
        <v>1956</v>
      </c>
      <c r="V59" s="5">
        <v>43948.540544209354</v>
      </c>
      <c r="W59" s="1" t="s">
        <v>246</v>
      </c>
      <c r="X59" s="6">
        <v>78000</v>
      </c>
      <c r="Y59" s="1"/>
      <c r="Z59" s="4">
        <v>43959</v>
      </c>
      <c r="AA59" s="5">
        <v>44196</v>
      </c>
      <c r="AB59" s="1" t="s">
        <v>1971</v>
      </c>
      <c r="AC59" s="1"/>
      <c r="AD59" s="1"/>
    </row>
    <row r="60" spans="1:30" hidden="1" x14ac:dyDescent="0.25">
      <c r="A60" s="1" t="s">
        <v>1224</v>
      </c>
      <c r="B60" s="1" t="s">
        <v>609</v>
      </c>
      <c r="C60" s="1" t="s">
        <v>1147</v>
      </c>
      <c r="D60" s="4">
        <v>43931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2"/>
      <c r="R60" s="1"/>
      <c r="S60" s="1"/>
      <c r="T60" s="1"/>
      <c r="U60" s="1" t="s">
        <v>1972</v>
      </c>
      <c r="V60" s="5">
        <v>43931.539358525646</v>
      </c>
      <c r="W60" s="1"/>
      <c r="X60" s="1"/>
      <c r="Y60" s="1"/>
      <c r="Z60" s="4">
        <v>43959</v>
      </c>
      <c r="AA60" s="1"/>
      <c r="AB60" s="1"/>
      <c r="AC60" s="1" t="s">
        <v>1968</v>
      </c>
      <c r="AD60" s="1"/>
    </row>
    <row r="61" spans="1:30" hidden="1" x14ac:dyDescent="0.25">
      <c r="A61" s="1" t="s">
        <v>1337</v>
      </c>
      <c r="B61" s="1" t="s">
        <v>609</v>
      </c>
      <c r="C61" s="1" t="s">
        <v>1147</v>
      </c>
      <c r="D61" s="4">
        <v>43931</v>
      </c>
      <c r="E61" s="6">
        <v>64955</v>
      </c>
      <c r="F61" s="6"/>
      <c r="G61" s="6">
        <v>1181</v>
      </c>
      <c r="H61" s="1" t="s">
        <v>1869</v>
      </c>
      <c r="I61" s="6">
        <v>45</v>
      </c>
      <c r="J61" s="6">
        <v>6.9230769230769226E-4</v>
      </c>
      <c r="K61" s="1" t="s">
        <v>1869</v>
      </c>
      <c r="L61" s="1" t="s">
        <v>494</v>
      </c>
      <c r="M61" s="1" t="s">
        <v>953</v>
      </c>
      <c r="N61" s="1" t="s">
        <v>118</v>
      </c>
      <c r="O61" s="6">
        <v>45</v>
      </c>
      <c r="P61" s="6">
        <v>6.9230769230769226E-4</v>
      </c>
      <c r="Q61" s="2"/>
      <c r="R61" s="5">
        <v>43938.594486790396</v>
      </c>
      <c r="S61" s="4">
        <v>43943</v>
      </c>
      <c r="T61" s="4">
        <v>43966</v>
      </c>
      <c r="U61" s="1" t="s">
        <v>1956</v>
      </c>
      <c r="V61" s="5">
        <v>43943.596652008586</v>
      </c>
      <c r="W61" s="1" t="s">
        <v>245</v>
      </c>
      <c r="X61" s="6">
        <v>64955</v>
      </c>
      <c r="Y61" s="1"/>
      <c r="Z61" s="4">
        <v>43959</v>
      </c>
      <c r="AA61" s="5">
        <v>44196</v>
      </c>
      <c r="AB61" s="1" t="s">
        <v>1971</v>
      </c>
      <c r="AC61" s="1"/>
      <c r="AD61" s="1"/>
    </row>
    <row r="62" spans="1:30" hidden="1" x14ac:dyDescent="0.25">
      <c r="A62" s="1" t="s">
        <v>1241</v>
      </c>
      <c r="B62" s="1" t="s">
        <v>729</v>
      </c>
      <c r="C62" s="1" t="s">
        <v>1081</v>
      </c>
      <c r="D62" s="4">
        <v>43930</v>
      </c>
      <c r="E62" s="6">
        <v>219994.44</v>
      </c>
      <c r="F62" s="6"/>
      <c r="G62" s="1" t="s">
        <v>1960</v>
      </c>
      <c r="H62" s="1" t="s">
        <v>1868</v>
      </c>
      <c r="I62" s="6">
        <v>5.5599999999976717</v>
      </c>
      <c r="J62" s="6">
        <v>2.5272727272716691E-5</v>
      </c>
      <c r="K62" s="1" t="s">
        <v>1868</v>
      </c>
      <c r="L62" s="1" t="s">
        <v>512</v>
      </c>
      <c r="M62" s="1" t="s">
        <v>867</v>
      </c>
      <c r="N62" s="1" t="s">
        <v>170</v>
      </c>
      <c r="O62" s="6">
        <v>5.5599999999976717</v>
      </c>
      <c r="P62" s="6">
        <v>2.5272727272716691E-5</v>
      </c>
      <c r="Q62" s="2" t="str">
        <f>HYPERLINK("https://auction.openprocurement.org/tenders/fd37b5df3fd24dabb282a93fd40e4f63")</f>
        <v>https://auction.openprocurement.org/tenders/fd37b5df3fd24dabb282a93fd40e4f63</v>
      </c>
      <c r="R62" s="5">
        <v>43949.492821206957</v>
      </c>
      <c r="S62" s="4">
        <v>43960</v>
      </c>
      <c r="T62" s="4">
        <v>43970</v>
      </c>
      <c r="U62" s="1" t="s">
        <v>1956</v>
      </c>
      <c r="V62" s="5">
        <v>43963.455319275869</v>
      </c>
      <c r="W62" s="1" t="s">
        <v>1952</v>
      </c>
      <c r="X62" s="6">
        <v>219994.44</v>
      </c>
      <c r="Y62" s="1"/>
      <c r="Z62" s="4">
        <v>43982</v>
      </c>
      <c r="AA62" s="5">
        <v>44196</v>
      </c>
      <c r="AB62" s="1" t="s">
        <v>1971</v>
      </c>
      <c r="AC62" s="1"/>
      <c r="AD62" s="1"/>
    </row>
    <row r="63" spans="1:30" hidden="1" x14ac:dyDescent="0.25">
      <c r="A63" s="1" t="s">
        <v>1362</v>
      </c>
      <c r="B63" s="1" t="s">
        <v>834</v>
      </c>
      <c r="C63" s="1" t="s">
        <v>1081</v>
      </c>
      <c r="D63" s="4">
        <v>43930</v>
      </c>
      <c r="E63" s="6">
        <v>176610</v>
      </c>
      <c r="F63" s="6"/>
      <c r="G63" s="6">
        <v>176610</v>
      </c>
      <c r="H63" s="1" t="s">
        <v>1662</v>
      </c>
      <c r="I63" s="6">
        <v>638</v>
      </c>
      <c r="J63" s="6">
        <v>3.5994764397905758E-3</v>
      </c>
      <c r="K63" s="1" t="s">
        <v>1662</v>
      </c>
      <c r="L63" s="1" t="s">
        <v>626</v>
      </c>
      <c r="M63" s="1" t="s">
        <v>966</v>
      </c>
      <c r="N63" s="1" t="s">
        <v>28</v>
      </c>
      <c r="O63" s="6">
        <v>638</v>
      </c>
      <c r="P63" s="6">
        <v>3.5994764397905758E-3</v>
      </c>
      <c r="Q63" s="2" t="str">
        <f>HYPERLINK("https://auction.openprocurement.org/tenders/41553d6683d14511913d4e254bd0bee6")</f>
        <v>https://auction.openprocurement.org/tenders/41553d6683d14511913d4e254bd0bee6</v>
      </c>
      <c r="R63" s="5">
        <v>43949.508375474456</v>
      </c>
      <c r="S63" s="4">
        <v>43960</v>
      </c>
      <c r="T63" s="4">
        <v>43970</v>
      </c>
      <c r="U63" s="1" t="s">
        <v>1956</v>
      </c>
      <c r="V63" s="5">
        <v>43969.525596050742</v>
      </c>
      <c r="W63" s="1" t="s">
        <v>1952</v>
      </c>
      <c r="X63" s="6">
        <v>176610</v>
      </c>
      <c r="Y63" s="1"/>
      <c r="Z63" s="4">
        <v>43982</v>
      </c>
      <c r="AA63" s="5">
        <v>44196</v>
      </c>
      <c r="AB63" s="1" t="s">
        <v>1971</v>
      </c>
      <c r="AC63" s="1"/>
      <c r="AD63" s="1"/>
    </row>
    <row r="64" spans="1:30" hidden="1" x14ac:dyDescent="0.25">
      <c r="A64" s="1" t="s">
        <v>1040</v>
      </c>
      <c r="B64" s="1" t="s">
        <v>235</v>
      </c>
      <c r="C64" s="1" t="s">
        <v>1081</v>
      </c>
      <c r="D64" s="4">
        <v>43927</v>
      </c>
      <c r="E64" s="6">
        <v>50230</v>
      </c>
      <c r="F64" s="6"/>
      <c r="G64" s="6">
        <v>52.873684210526314</v>
      </c>
      <c r="H64" s="1" t="s">
        <v>1758</v>
      </c>
      <c r="I64" s="6">
        <v>20</v>
      </c>
      <c r="J64" s="6">
        <v>3.980099502487562E-4</v>
      </c>
      <c r="K64" s="1" t="s">
        <v>1758</v>
      </c>
      <c r="L64" s="1" t="s">
        <v>546</v>
      </c>
      <c r="M64" s="1" t="s">
        <v>990</v>
      </c>
      <c r="N64" s="1" t="s">
        <v>42</v>
      </c>
      <c r="O64" s="6">
        <v>20</v>
      </c>
      <c r="P64" s="6">
        <v>3.980099502487562E-4</v>
      </c>
      <c r="Q64" s="2" t="str">
        <f>HYPERLINK("https://auction.openprocurement.org/tenders/fe505dacfcc0432c90c3b3ae828e2bbf")</f>
        <v>https://auction.openprocurement.org/tenders/fe505dacfcc0432c90c3b3ae828e2bbf</v>
      </c>
      <c r="R64" s="5">
        <v>43943.609138308551</v>
      </c>
      <c r="S64" s="4">
        <v>43954</v>
      </c>
      <c r="T64" s="4">
        <v>43964</v>
      </c>
      <c r="U64" s="1" t="s">
        <v>1956</v>
      </c>
      <c r="V64" s="5">
        <v>43955.423050125559</v>
      </c>
      <c r="W64" s="1" t="s">
        <v>1952</v>
      </c>
      <c r="X64" s="6">
        <v>50230</v>
      </c>
      <c r="Y64" s="1"/>
      <c r="Z64" s="4">
        <v>43982</v>
      </c>
      <c r="AA64" s="5">
        <v>44196</v>
      </c>
      <c r="AB64" s="1" t="s">
        <v>1971</v>
      </c>
      <c r="AC64" s="1"/>
      <c r="AD64" s="1"/>
    </row>
    <row r="65" spans="1:30" hidden="1" x14ac:dyDescent="0.25">
      <c r="A65" s="1" t="s">
        <v>1040</v>
      </c>
      <c r="B65" s="1" t="s">
        <v>235</v>
      </c>
      <c r="C65" s="1" t="s">
        <v>1081</v>
      </c>
      <c r="D65" s="4">
        <v>43927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2"/>
      <c r="R65" s="1"/>
      <c r="S65" s="1"/>
      <c r="T65" s="1"/>
      <c r="U65" s="1" t="s">
        <v>1972</v>
      </c>
      <c r="V65" s="5">
        <v>43938.430559090542</v>
      </c>
      <c r="W65" s="1"/>
      <c r="X65" s="1"/>
      <c r="Y65" s="1"/>
      <c r="Z65" s="4">
        <v>43982</v>
      </c>
      <c r="AA65" s="1"/>
      <c r="AB65" s="1"/>
      <c r="AC65" s="1" t="s">
        <v>1794</v>
      </c>
      <c r="AD65" s="1"/>
    </row>
    <row r="66" spans="1:30" hidden="1" x14ac:dyDescent="0.25">
      <c r="A66" s="1" t="s">
        <v>1480</v>
      </c>
      <c r="B66" s="1" t="s">
        <v>823</v>
      </c>
      <c r="C66" s="1" t="s">
        <v>1147</v>
      </c>
      <c r="D66" s="4">
        <v>43927</v>
      </c>
      <c r="E66" s="6">
        <v>90999</v>
      </c>
      <c r="F66" s="6"/>
      <c r="G66" s="6">
        <v>90999</v>
      </c>
      <c r="H66" s="1" t="s">
        <v>1327</v>
      </c>
      <c r="I66" s="6">
        <v>9001</v>
      </c>
      <c r="J66" s="6">
        <v>9.0010000000000007E-2</v>
      </c>
      <c r="K66" s="1" t="s">
        <v>1873</v>
      </c>
      <c r="L66" s="1" t="s">
        <v>621</v>
      </c>
      <c r="M66" s="1" t="s">
        <v>971</v>
      </c>
      <c r="N66" s="1" t="s">
        <v>105</v>
      </c>
      <c r="O66" s="6">
        <v>9000</v>
      </c>
      <c r="P66" s="6">
        <v>0.09</v>
      </c>
      <c r="Q66" s="2" t="str">
        <f>HYPERLINK("https://auction.openprocurement.org/tenders/04c6d2d8623841acbdaa72bf0f116a91")</f>
        <v>https://auction.openprocurement.org/tenders/04c6d2d8623841acbdaa72bf0f116a91</v>
      </c>
      <c r="R66" s="5">
        <v>43937.490863997686</v>
      </c>
      <c r="S66" s="4">
        <v>43942</v>
      </c>
      <c r="T66" s="4">
        <v>43960</v>
      </c>
      <c r="U66" s="1" t="s">
        <v>1956</v>
      </c>
      <c r="V66" s="5">
        <v>43948.533800121746</v>
      </c>
      <c r="W66" s="1" t="s">
        <v>1952</v>
      </c>
      <c r="X66" s="6">
        <v>91000</v>
      </c>
      <c r="Y66" s="1"/>
      <c r="Z66" s="4">
        <v>44286</v>
      </c>
      <c r="AA66" s="5">
        <v>44286</v>
      </c>
      <c r="AB66" s="1" t="s">
        <v>1971</v>
      </c>
      <c r="AC66" s="1"/>
      <c r="AD66" s="1"/>
    </row>
    <row r="67" spans="1:30" hidden="1" x14ac:dyDescent="0.25">
      <c r="A67" s="1" t="s">
        <v>1093</v>
      </c>
      <c r="B67" s="1" t="s">
        <v>639</v>
      </c>
      <c r="C67" s="1" t="s">
        <v>1081</v>
      </c>
      <c r="D67" s="4">
        <v>43927</v>
      </c>
      <c r="E67" s="6">
        <v>289800</v>
      </c>
      <c r="F67" s="6"/>
      <c r="G67" s="6">
        <v>48300</v>
      </c>
      <c r="H67" s="1" t="s">
        <v>1869</v>
      </c>
      <c r="I67" s="6">
        <v>10200</v>
      </c>
      <c r="J67" s="6">
        <v>3.4000000000000002E-2</v>
      </c>
      <c r="K67" s="1" t="s">
        <v>1869</v>
      </c>
      <c r="L67" s="1" t="s">
        <v>494</v>
      </c>
      <c r="M67" s="1" t="s">
        <v>953</v>
      </c>
      <c r="N67" s="1" t="s">
        <v>118</v>
      </c>
      <c r="O67" s="6">
        <v>10200</v>
      </c>
      <c r="P67" s="6">
        <v>3.4000000000000002E-2</v>
      </c>
      <c r="Q67" s="2" t="str">
        <f>HYPERLINK("https://auction.openprocurement.org/tenders/393a7a931127495d95104a469a221bbf")</f>
        <v>https://auction.openprocurement.org/tenders/393a7a931127495d95104a469a221bbf</v>
      </c>
      <c r="R67" s="5">
        <v>43943.704051728368</v>
      </c>
      <c r="S67" s="4">
        <v>43954</v>
      </c>
      <c r="T67" s="4">
        <v>43964</v>
      </c>
      <c r="U67" s="1" t="s">
        <v>1956</v>
      </c>
      <c r="V67" s="5">
        <v>43955.563319561676</v>
      </c>
      <c r="W67" s="1" t="s">
        <v>261</v>
      </c>
      <c r="X67" s="6">
        <v>289800</v>
      </c>
      <c r="Y67" s="1"/>
      <c r="Z67" s="4">
        <v>43982</v>
      </c>
      <c r="AA67" s="5">
        <v>44196</v>
      </c>
      <c r="AB67" s="1" t="s">
        <v>1971</v>
      </c>
      <c r="AC67" s="1"/>
      <c r="AD67" s="1"/>
    </row>
    <row r="68" spans="1:30" hidden="1" x14ac:dyDescent="0.25">
      <c r="A68" s="1" t="s">
        <v>1812</v>
      </c>
      <c r="B68" s="1" t="s">
        <v>609</v>
      </c>
      <c r="C68" s="1" t="s">
        <v>1081</v>
      </c>
      <c r="D68" s="4">
        <v>43924</v>
      </c>
      <c r="E68" s="6">
        <v>54400</v>
      </c>
      <c r="F68" s="6"/>
      <c r="G68" s="6">
        <v>3400</v>
      </c>
      <c r="H68" s="1" t="s">
        <v>1869</v>
      </c>
      <c r="I68" s="6">
        <v>800</v>
      </c>
      <c r="J68" s="6">
        <v>1.4492753623188406E-2</v>
      </c>
      <c r="K68" s="1" t="s">
        <v>1869</v>
      </c>
      <c r="L68" s="1" t="s">
        <v>494</v>
      </c>
      <c r="M68" s="1" t="s">
        <v>953</v>
      </c>
      <c r="N68" s="1" t="s">
        <v>118</v>
      </c>
      <c r="O68" s="6">
        <v>800</v>
      </c>
      <c r="P68" s="6">
        <v>1.4492753623188406E-2</v>
      </c>
      <c r="Q68" s="2" t="str">
        <f>HYPERLINK("https://auction.openprocurement.org/tenders/0384cd809a254850a458ea0a10261992")</f>
        <v>https://auction.openprocurement.org/tenders/0384cd809a254850a458ea0a10261992</v>
      </c>
      <c r="R68" s="5">
        <v>43943.436783273915</v>
      </c>
      <c r="S68" s="4">
        <v>43954</v>
      </c>
      <c r="T68" s="4">
        <v>43964</v>
      </c>
      <c r="U68" s="1" t="s">
        <v>1956</v>
      </c>
      <c r="V68" s="5">
        <v>43955.554983266491</v>
      </c>
      <c r="W68" s="1" t="s">
        <v>263</v>
      </c>
      <c r="X68" s="6">
        <v>54400</v>
      </c>
      <c r="Y68" s="1"/>
      <c r="Z68" s="4">
        <v>43982</v>
      </c>
      <c r="AA68" s="5">
        <v>44196</v>
      </c>
      <c r="AB68" s="1" t="s">
        <v>1971</v>
      </c>
      <c r="AC68" s="1"/>
      <c r="AD68" s="1"/>
    </row>
    <row r="69" spans="1:30" hidden="1" x14ac:dyDescent="0.25">
      <c r="A69" s="1" t="s">
        <v>1577</v>
      </c>
      <c r="B69" s="1" t="s">
        <v>733</v>
      </c>
      <c r="C69" s="1" t="s">
        <v>1081</v>
      </c>
      <c r="D69" s="4">
        <v>43924</v>
      </c>
      <c r="E69" s="6">
        <v>32800</v>
      </c>
      <c r="F69" s="6"/>
      <c r="G69" s="6">
        <v>32800</v>
      </c>
      <c r="H69" s="1" t="s">
        <v>1869</v>
      </c>
      <c r="I69" s="6">
        <v>1200</v>
      </c>
      <c r="J69" s="6">
        <v>3.5294117647058823E-2</v>
      </c>
      <c r="K69" s="1" t="s">
        <v>1869</v>
      </c>
      <c r="L69" s="1" t="s">
        <v>494</v>
      </c>
      <c r="M69" s="1" t="s">
        <v>953</v>
      </c>
      <c r="N69" s="1" t="s">
        <v>118</v>
      </c>
      <c r="O69" s="6">
        <v>1200</v>
      </c>
      <c r="P69" s="6">
        <v>3.5294117647058823E-2</v>
      </c>
      <c r="Q69" s="2" t="str">
        <f>HYPERLINK("https://auction.openprocurement.org/tenders/c25eab9216024b0784cac8a32f4aa766")</f>
        <v>https://auction.openprocurement.org/tenders/c25eab9216024b0784cac8a32f4aa766</v>
      </c>
      <c r="R69" s="5">
        <v>43943.435651852793</v>
      </c>
      <c r="S69" s="4">
        <v>43954</v>
      </c>
      <c r="T69" s="4">
        <v>43964</v>
      </c>
      <c r="U69" s="1" t="s">
        <v>1956</v>
      </c>
      <c r="V69" s="5">
        <v>43955.559028131342</v>
      </c>
      <c r="W69" s="1" t="s">
        <v>262</v>
      </c>
      <c r="X69" s="6">
        <v>32800</v>
      </c>
      <c r="Y69" s="1"/>
      <c r="Z69" s="4">
        <v>43982</v>
      </c>
      <c r="AA69" s="5">
        <v>44196</v>
      </c>
      <c r="AB69" s="1" t="s">
        <v>1971</v>
      </c>
      <c r="AC69" s="1"/>
      <c r="AD69" s="1"/>
    </row>
    <row r="70" spans="1:30" hidden="1" x14ac:dyDescent="0.25">
      <c r="A70" s="1" t="s">
        <v>1073</v>
      </c>
      <c r="B70" s="1" t="s">
        <v>609</v>
      </c>
      <c r="C70" s="1" t="s">
        <v>1081</v>
      </c>
      <c r="D70" s="4">
        <v>43924</v>
      </c>
      <c r="E70" s="6">
        <v>148980</v>
      </c>
      <c r="F70" s="6"/>
      <c r="G70" s="6">
        <v>24830</v>
      </c>
      <c r="H70" s="1" t="s">
        <v>1636</v>
      </c>
      <c r="I70" s="6">
        <v>171020</v>
      </c>
      <c r="J70" s="6">
        <v>0.53443750000000001</v>
      </c>
      <c r="K70" s="1" t="s">
        <v>1847</v>
      </c>
      <c r="L70" s="1" t="s">
        <v>477</v>
      </c>
      <c r="M70" s="1" t="s">
        <v>951</v>
      </c>
      <c r="N70" s="1" t="s">
        <v>49</v>
      </c>
      <c r="O70" s="6">
        <v>5900</v>
      </c>
      <c r="P70" s="6">
        <v>1.8437499999999999E-2</v>
      </c>
      <c r="Q70" s="2" t="str">
        <f>HYPERLINK("https://auction.openprocurement.org/tenders/e4c796b77a13449fa37e65d96f7e5551")</f>
        <v>https://auction.openprocurement.org/tenders/e4c796b77a13449fa37e65d96f7e5551</v>
      </c>
      <c r="R70" s="5">
        <v>43943.603750779097</v>
      </c>
      <c r="S70" s="4">
        <v>43954</v>
      </c>
      <c r="T70" s="4">
        <v>43964</v>
      </c>
      <c r="U70" s="1" t="s">
        <v>1956</v>
      </c>
      <c r="V70" s="5">
        <v>43956.596895130104</v>
      </c>
      <c r="W70" s="1" t="s">
        <v>692</v>
      </c>
      <c r="X70" s="6">
        <v>314100</v>
      </c>
      <c r="Y70" s="1"/>
      <c r="Z70" s="4">
        <v>43981</v>
      </c>
      <c r="AA70" s="5">
        <v>44196</v>
      </c>
      <c r="AB70" s="1" t="s">
        <v>1971</v>
      </c>
      <c r="AC70" s="1"/>
      <c r="AD70" s="1"/>
    </row>
    <row r="71" spans="1:30" hidden="1" x14ac:dyDescent="0.25">
      <c r="A71" s="1" t="s">
        <v>1621</v>
      </c>
      <c r="B71" s="1" t="s">
        <v>728</v>
      </c>
      <c r="C71" s="1" t="s">
        <v>1157</v>
      </c>
      <c r="D71" s="4">
        <v>43923</v>
      </c>
      <c r="E71" s="6">
        <v>6498</v>
      </c>
      <c r="F71" s="6"/>
      <c r="G71" s="6">
        <v>129.96</v>
      </c>
      <c r="H71" s="1"/>
      <c r="I71" s="1"/>
      <c r="J71" s="1"/>
      <c r="K71" s="1" t="s">
        <v>1319</v>
      </c>
      <c r="L71" s="1" t="s">
        <v>538</v>
      </c>
      <c r="M71" s="1"/>
      <c r="N71" s="1" t="s">
        <v>33</v>
      </c>
      <c r="O71" s="1"/>
      <c r="P71" s="1"/>
      <c r="Q71" s="2"/>
      <c r="R71" s="1"/>
      <c r="S71" s="1"/>
      <c r="T71" s="1"/>
      <c r="U71" s="1" t="s">
        <v>1956</v>
      </c>
      <c r="V71" s="5">
        <v>43923.609177980114</v>
      </c>
      <c r="W71" s="1" t="s">
        <v>252</v>
      </c>
      <c r="X71" s="6">
        <v>6498</v>
      </c>
      <c r="Y71" s="1"/>
      <c r="Z71" s="4">
        <v>44196</v>
      </c>
      <c r="AA71" s="5">
        <v>44196</v>
      </c>
      <c r="AB71" s="1" t="s">
        <v>1971</v>
      </c>
      <c r="AC71" s="1"/>
      <c r="AD71" s="1"/>
    </row>
    <row r="72" spans="1:30" hidden="1" x14ac:dyDescent="0.25">
      <c r="A72" s="1" t="s">
        <v>1512</v>
      </c>
      <c r="B72" s="1" t="s">
        <v>751</v>
      </c>
      <c r="C72" s="1" t="s">
        <v>1081</v>
      </c>
      <c r="D72" s="4">
        <v>43923</v>
      </c>
      <c r="E72" s="6">
        <v>199996</v>
      </c>
      <c r="F72" s="6"/>
      <c r="G72" s="6">
        <v>199996</v>
      </c>
      <c r="H72" s="1" t="s">
        <v>1859</v>
      </c>
      <c r="I72" s="6">
        <v>2</v>
      </c>
      <c r="J72" s="6">
        <v>1.000010000100001E-5</v>
      </c>
      <c r="K72" s="1" t="s">
        <v>1859</v>
      </c>
      <c r="L72" s="1" t="s">
        <v>466</v>
      </c>
      <c r="M72" s="1" t="s">
        <v>873</v>
      </c>
      <c r="N72" s="1" t="s">
        <v>147</v>
      </c>
      <c r="O72" s="6">
        <v>2</v>
      </c>
      <c r="P72" s="6">
        <v>1.000010000100001E-5</v>
      </c>
      <c r="Q72" s="2" t="str">
        <f>HYPERLINK("https://auction.openprocurement.org/tenders/25abbc89608c407194f3e5ab74002593")</f>
        <v>https://auction.openprocurement.org/tenders/25abbc89608c407194f3e5ab74002593</v>
      </c>
      <c r="R72" s="5">
        <v>43943.438849948267</v>
      </c>
      <c r="S72" s="4">
        <v>43954</v>
      </c>
      <c r="T72" s="4">
        <v>43964</v>
      </c>
      <c r="U72" s="1" t="s">
        <v>1956</v>
      </c>
      <c r="V72" s="5">
        <v>43955.597088463415</v>
      </c>
      <c r="W72" s="1" t="s">
        <v>1952</v>
      </c>
      <c r="X72" s="6">
        <v>199996</v>
      </c>
      <c r="Y72" s="1"/>
      <c r="Z72" s="4">
        <v>43971</v>
      </c>
      <c r="AA72" s="5">
        <v>44196</v>
      </c>
      <c r="AB72" s="1" t="s">
        <v>1971</v>
      </c>
      <c r="AC72" s="1"/>
      <c r="AD72" s="1"/>
    </row>
    <row r="73" spans="1:30" hidden="1" x14ac:dyDescent="0.25">
      <c r="A73" s="1" t="s">
        <v>1621</v>
      </c>
      <c r="B73" s="1" t="s">
        <v>728</v>
      </c>
      <c r="C73" s="1" t="s">
        <v>1157</v>
      </c>
      <c r="D73" s="4">
        <v>43922</v>
      </c>
      <c r="E73" s="6">
        <v>22000</v>
      </c>
      <c r="F73" s="6"/>
      <c r="G73" s="6">
        <v>220</v>
      </c>
      <c r="H73" s="1"/>
      <c r="I73" s="1"/>
      <c r="J73" s="1"/>
      <c r="K73" s="1" t="s">
        <v>1112</v>
      </c>
      <c r="L73" s="1" t="s">
        <v>496</v>
      </c>
      <c r="M73" s="1"/>
      <c r="N73" s="1" t="s">
        <v>146</v>
      </c>
      <c r="O73" s="1"/>
      <c r="P73" s="1"/>
      <c r="Q73" s="2"/>
      <c r="R73" s="1"/>
      <c r="S73" s="1"/>
      <c r="T73" s="1"/>
      <c r="U73" s="1" t="s">
        <v>1956</v>
      </c>
      <c r="V73" s="5">
        <v>43922.72248367656</v>
      </c>
      <c r="W73" s="1" t="s">
        <v>1952</v>
      </c>
      <c r="X73" s="6">
        <v>22000</v>
      </c>
      <c r="Y73" s="1"/>
      <c r="Z73" s="4">
        <v>43931</v>
      </c>
      <c r="AA73" s="5">
        <v>44196</v>
      </c>
      <c r="AB73" s="1" t="s">
        <v>1971</v>
      </c>
      <c r="AC73" s="1"/>
      <c r="AD73" s="1"/>
    </row>
    <row r="74" spans="1:30" hidden="1" x14ac:dyDescent="0.25">
      <c r="A74" s="1" t="s">
        <v>1019</v>
      </c>
      <c r="B74" s="1" t="s">
        <v>739</v>
      </c>
      <c r="C74" s="1" t="s">
        <v>1157</v>
      </c>
      <c r="D74" s="4">
        <v>43922</v>
      </c>
      <c r="E74" s="6">
        <v>8870</v>
      </c>
      <c r="F74" s="6"/>
      <c r="G74" s="6">
        <v>221.75</v>
      </c>
      <c r="H74" s="1"/>
      <c r="I74" s="1"/>
      <c r="J74" s="1"/>
      <c r="K74" s="1" t="s">
        <v>1922</v>
      </c>
      <c r="L74" s="1" t="s">
        <v>524</v>
      </c>
      <c r="M74" s="1"/>
      <c r="N74" s="1" t="s">
        <v>84</v>
      </c>
      <c r="O74" s="1"/>
      <c r="P74" s="1"/>
      <c r="Q74" s="2"/>
      <c r="R74" s="1"/>
      <c r="S74" s="1"/>
      <c r="T74" s="1"/>
      <c r="U74" s="1" t="s">
        <v>1956</v>
      </c>
      <c r="V74" s="5">
        <v>43922.699740016018</v>
      </c>
      <c r="W74" s="1" t="s">
        <v>346</v>
      </c>
      <c r="X74" s="6">
        <v>8870</v>
      </c>
      <c r="Y74" s="1"/>
      <c r="Z74" s="4">
        <v>43931</v>
      </c>
      <c r="AA74" s="5">
        <v>44196</v>
      </c>
      <c r="AB74" s="1" t="s">
        <v>1971</v>
      </c>
      <c r="AC74" s="1"/>
      <c r="AD74" s="1"/>
    </row>
    <row r="75" spans="1:30" hidden="1" x14ac:dyDescent="0.25">
      <c r="A75" s="1" t="s">
        <v>1587</v>
      </c>
      <c r="B75" s="1" t="s">
        <v>235</v>
      </c>
      <c r="C75" s="1" t="s">
        <v>1081</v>
      </c>
      <c r="D75" s="4">
        <v>43922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2"/>
      <c r="R75" s="1"/>
      <c r="S75" s="1"/>
      <c r="T75" s="1"/>
      <c r="U75" s="1" t="s">
        <v>1957</v>
      </c>
      <c r="V75" s="5">
        <v>43937.544541744152</v>
      </c>
      <c r="W75" s="1"/>
      <c r="X75" s="1"/>
      <c r="Y75" s="1"/>
      <c r="Z75" s="4">
        <v>43982</v>
      </c>
      <c r="AA75" s="1"/>
      <c r="AB75" s="1"/>
      <c r="AC75" s="1"/>
      <c r="AD75" s="1"/>
    </row>
    <row r="76" spans="1:30" hidden="1" x14ac:dyDescent="0.25">
      <c r="A76" s="1" t="s">
        <v>1165</v>
      </c>
      <c r="B76" s="1" t="s">
        <v>596</v>
      </c>
      <c r="C76" s="1" t="s">
        <v>1157</v>
      </c>
      <c r="D76" s="4">
        <v>43922</v>
      </c>
      <c r="E76" s="6">
        <v>61850</v>
      </c>
      <c r="F76" s="6"/>
      <c r="G76" s="1" t="s">
        <v>1960</v>
      </c>
      <c r="H76" s="1"/>
      <c r="I76" s="1"/>
      <c r="J76" s="1"/>
      <c r="K76" s="1" t="s">
        <v>1895</v>
      </c>
      <c r="L76" s="1" t="s">
        <v>475</v>
      </c>
      <c r="M76" s="1"/>
      <c r="N76" s="1" t="s">
        <v>168</v>
      </c>
      <c r="O76" s="1"/>
      <c r="P76" s="1"/>
      <c r="Q76" s="2"/>
      <c r="R76" s="1"/>
      <c r="S76" s="1"/>
      <c r="T76" s="1"/>
      <c r="U76" s="1" t="s">
        <v>1956</v>
      </c>
      <c r="V76" s="5">
        <v>43922.479452083498</v>
      </c>
      <c r="W76" s="1" t="s">
        <v>350</v>
      </c>
      <c r="X76" s="6">
        <v>61850</v>
      </c>
      <c r="Y76" s="1"/>
      <c r="Z76" s="4">
        <v>43931</v>
      </c>
      <c r="AA76" s="5">
        <v>44196</v>
      </c>
      <c r="AB76" s="1" t="s">
        <v>1971</v>
      </c>
      <c r="AC76" s="1"/>
      <c r="AD76" s="1"/>
    </row>
    <row r="77" spans="1:30" hidden="1" x14ac:dyDescent="0.25">
      <c r="A77" s="1" t="s">
        <v>1010</v>
      </c>
      <c r="B77" s="1" t="s">
        <v>639</v>
      </c>
      <c r="C77" s="1" t="s">
        <v>1147</v>
      </c>
      <c r="D77" s="4">
        <v>43922</v>
      </c>
      <c r="E77" s="6">
        <v>119700</v>
      </c>
      <c r="F77" s="6"/>
      <c r="G77" s="6">
        <v>119700</v>
      </c>
      <c r="H77" s="1" t="s">
        <v>1701</v>
      </c>
      <c r="I77" s="6">
        <v>200</v>
      </c>
      <c r="J77" s="6">
        <v>1.6680567139282735E-3</v>
      </c>
      <c r="K77" s="1" t="s">
        <v>1701</v>
      </c>
      <c r="L77" s="1" t="s">
        <v>559</v>
      </c>
      <c r="M77" s="1" t="s">
        <v>856</v>
      </c>
      <c r="N77" s="1" t="s">
        <v>76</v>
      </c>
      <c r="O77" s="6">
        <v>200</v>
      </c>
      <c r="P77" s="6">
        <v>1.6680567139282735E-3</v>
      </c>
      <c r="Q77" s="2"/>
      <c r="R77" s="5">
        <v>43929.704230050462</v>
      </c>
      <c r="S77" s="4">
        <v>43931</v>
      </c>
      <c r="T77" s="4">
        <v>43957</v>
      </c>
      <c r="U77" s="1" t="s">
        <v>1956</v>
      </c>
      <c r="V77" s="5">
        <v>43934.563428346446</v>
      </c>
      <c r="W77" s="1" t="s">
        <v>445</v>
      </c>
      <c r="X77" s="6">
        <v>119700</v>
      </c>
      <c r="Y77" s="1"/>
      <c r="Z77" s="4">
        <v>43936</v>
      </c>
      <c r="AA77" s="5">
        <v>44196</v>
      </c>
      <c r="AB77" s="1" t="s">
        <v>1971</v>
      </c>
      <c r="AC77" s="1"/>
      <c r="AD77" s="1"/>
    </row>
    <row r="78" spans="1:30" hidden="1" x14ac:dyDescent="0.25">
      <c r="A78" s="1" t="s">
        <v>1586</v>
      </c>
      <c r="B78" s="1" t="s">
        <v>235</v>
      </c>
      <c r="C78" s="1" t="s">
        <v>1081</v>
      </c>
      <c r="D78" s="4">
        <v>43920</v>
      </c>
      <c r="E78" s="6">
        <v>270953.5</v>
      </c>
      <c r="F78" s="6"/>
      <c r="G78" s="6">
        <v>33.307129686539646</v>
      </c>
      <c r="H78" s="1" t="s">
        <v>1758</v>
      </c>
      <c r="I78" s="6">
        <v>46.5</v>
      </c>
      <c r="J78" s="6">
        <v>1.7158671586715868E-4</v>
      </c>
      <c r="K78" s="1" t="s">
        <v>1758</v>
      </c>
      <c r="L78" s="1" t="s">
        <v>546</v>
      </c>
      <c r="M78" s="1" t="s">
        <v>990</v>
      </c>
      <c r="N78" s="1" t="s">
        <v>42</v>
      </c>
      <c r="O78" s="6">
        <v>46.5</v>
      </c>
      <c r="P78" s="6">
        <v>1.7158671586715868E-4</v>
      </c>
      <c r="Q78" s="2" t="str">
        <f>HYPERLINK("https://auction.openprocurement.org/tenders/789e2c1d9c454d80927ff5490d07833f")</f>
        <v>https://auction.openprocurement.org/tenders/789e2c1d9c454d80927ff5490d07833f</v>
      </c>
      <c r="R78" s="5">
        <v>43943.434242995645</v>
      </c>
      <c r="S78" s="4">
        <v>43954</v>
      </c>
      <c r="T78" s="4">
        <v>43964</v>
      </c>
      <c r="U78" s="1" t="s">
        <v>1956</v>
      </c>
      <c r="V78" s="5">
        <v>43955.429473072501</v>
      </c>
      <c r="W78" s="1" t="s">
        <v>1952</v>
      </c>
      <c r="X78" s="6">
        <v>270953.5</v>
      </c>
      <c r="Y78" s="1"/>
      <c r="Z78" s="4">
        <v>43982</v>
      </c>
      <c r="AA78" s="5">
        <v>44196</v>
      </c>
      <c r="AB78" s="1" t="s">
        <v>1971</v>
      </c>
      <c r="AC78" s="1"/>
      <c r="AD78" s="1"/>
    </row>
    <row r="79" spans="1:30" hidden="1" x14ac:dyDescent="0.25">
      <c r="A79" s="1" t="s">
        <v>1620</v>
      </c>
      <c r="B79" s="1" t="s">
        <v>662</v>
      </c>
      <c r="C79" s="1" t="s">
        <v>1147</v>
      </c>
      <c r="D79" s="4">
        <v>43916</v>
      </c>
      <c r="E79" s="6">
        <v>95915</v>
      </c>
      <c r="F79" s="6"/>
      <c r="G79" s="6">
        <v>31971.666666666668</v>
      </c>
      <c r="H79" s="1" t="s">
        <v>1931</v>
      </c>
      <c r="I79" s="6">
        <v>50785</v>
      </c>
      <c r="J79" s="6">
        <v>0.34618268575323791</v>
      </c>
      <c r="K79" s="1" t="s">
        <v>1869</v>
      </c>
      <c r="L79" s="1" t="s">
        <v>494</v>
      </c>
      <c r="M79" s="1" t="s">
        <v>953</v>
      </c>
      <c r="N79" s="1" t="s">
        <v>118</v>
      </c>
      <c r="O79" s="6">
        <v>11700</v>
      </c>
      <c r="P79" s="6">
        <v>7.9754601226993863E-2</v>
      </c>
      <c r="Q79" s="2" t="str">
        <f>HYPERLINK("https://auction.openprocurement.org/tenders/72d1fbc15baa43f1826fb5529952df40")</f>
        <v>https://auction.openprocurement.org/tenders/72d1fbc15baa43f1826fb5529952df40</v>
      </c>
      <c r="R79" s="5">
        <v>43929.687803707224</v>
      </c>
      <c r="S79" s="4">
        <v>43931</v>
      </c>
      <c r="T79" s="4">
        <v>43951</v>
      </c>
      <c r="U79" s="1" t="s">
        <v>1956</v>
      </c>
      <c r="V79" s="5">
        <v>43934.560745153241</v>
      </c>
      <c r="W79" s="1" t="s">
        <v>247</v>
      </c>
      <c r="X79" s="6">
        <v>135000</v>
      </c>
      <c r="Y79" s="1"/>
      <c r="Z79" s="4">
        <v>43938</v>
      </c>
      <c r="AA79" s="5">
        <v>44196</v>
      </c>
      <c r="AB79" s="1" t="s">
        <v>1971</v>
      </c>
      <c r="AC79" s="1"/>
      <c r="AD79" s="1"/>
    </row>
    <row r="80" spans="1:30" hidden="1" x14ac:dyDescent="0.25">
      <c r="A80" s="1" t="s">
        <v>1241</v>
      </c>
      <c r="B80" s="1" t="s">
        <v>717</v>
      </c>
      <c r="C80" s="1" t="s">
        <v>1147</v>
      </c>
      <c r="D80" s="4">
        <v>43914</v>
      </c>
      <c r="E80" s="6">
        <v>88000</v>
      </c>
      <c r="F80" s="6"/>
      <c r="G80" s="6">
        <v>88000</v>
      </c>
      <c r="H80" s="1" t="s">
        <v>1868</v>
      </c>
      <c r="I80" s="1"/>
      <c r="J80" s="1"/>
      <c r="K80" s="1" t="s">
        <v>1868</v>
      </c>
      <c r="L80" s="1" t="s">
        <v>512</v>
      </c>
      <c r="M80" s="1" t="s">
        <v>867</v>
      </c>
      <c r="N80" s="1" t="s">
        <v>170</v>
      </c>
      <c r="O80" s="1"/>
      <c r="P80" s="1"/>
      <c r="Q80" s="2"/>
      <c r="R80" s="5">
        <v>43922.43659060631</v>
      </c>
      <c r="S80" s="4">
        <v>43924</v>
      </c>
      <c r="T80" s="4">
        <v>43947</v>
      </c>
      <c r="U80" s="1" t="s">
        <v>1956</v>
      </c>
      <c r="V80" s="5">
        <v>43927.612000076573</v>
      </c>
      <c r="W80" s="1" t="s">
        <v>1952</v>
      </c>
      <c r="X80" s="6">
        <v>88000</v>
      </c>
      <c r="Y80" s="1"/>
      <c r="Z80" s="4">
        <v>43951</v>
      </c>
      <c r="AA80" s="5">
        <v>44196</v>
      </c>
      <c r="AB80" s="1" t="s">
        <v>1971</v>
      </c>
      <c r="AC80" s="1"/>
      <c r="AD80" s="1"/>
    </row>
    <row r="81" spans="1:30" hidden="1" x14ac:dyDescent="0.25">
      <c r="A81" s="1" t="s">
        <v>1241</v>
      </c>
      <c r="B81" s="1" t="s">
        <v>729</v>
      </c>
      <c r="C81" s="1" t="s">
        <v>1081</v>
      </c>
      <c r="D81" s="4">
        <v>43914</v>
      </c>
      <c r="E81" s="1"/>
      <c r="F81" s="1"/>
      <c r="G81" s="1" t="s">
        <v>1960</v>
      </c>
      <c r="H81" s="1"/>
      <c r="I81" s="1"/>
      <c r="J81" s="1"/>
      <c r="K81" s="1"/>
      <c r="L81" s="1"/>
      <c r="M81" s="1"/>
      <c r="N81" s="1"/>
      <c r="O81" s="1"/>
      <c r="P81" s="1"/>
      <c r="Q81" s="2"/>
      <c r="R81" s="1"/>
      <c r="S81" s="1"/>
      <c r="T81" s="1"/>
      <c r="U81" s="1" t="s">
        <v>1957</v>
      </c>
      <c r="V81" s="5">
        <v>43929.553311764117</v>
      </c>
      <c r="W81" s="1"/>
      <c r="X81" s="1"/>
      <c r="Y81" s="1"/>
      <c r="Z81" s="4">
        <v>43963</v>
      </c>
      <c r="AA81" s="1"/>
      <c r="AB81" s="1"/>
      <c r="AC81" s="1"/>
      <c r="AD81" s="1"/>
    </row>
    <row r="82" spans="1:30" hidden="1" x14ac:dyDescent="0.25">
      <c r="A82" s="1" t="s">
        <v>1237</v>
      </c>
      <c r="B82" s="1" t="s">
        <v>737</v>
      </c>
      <c r="C82" s="1" t="s">
        <v>1147</v>
      </c>
      <c r="D82" s="4">
        <v>43914</v>
      </c>
      <c r="E82" s="6">
        <v>4681</v>
      </c>
      <c r="F82" s="6"/>
      <c r="G82" s="6">
        <v>7.55</v>
      </c>
      <c r="H82" s="1" t="s">
        <v>1914</v>
      </c>
      <c r="I82" s="6">
        <v>3119</v>
      </c>
      <c r="J82" s="6">
        <v>0.39987179487179486</v>
      </c>
      <c r="K82" s="1" t="s">
        <v>1868</v>
      </c>
      <c r="L82" s="1" t="s">
        <v>512</v>
      </c>
      <c r="M82" s="1" t="s">
        <v>867</v>
      </c>
      <c r="N82" s="1" t="s">
        <v>170</v>
      </c>
      <c r="O82" s="6">
        <v>781.60000000000036</v>
      </c>
      <c r="P82" s="6">
        <v>0.10020512820512825</v>
      </c>
      <c r="Q82" s="2" t="str">
        <f>HYPERLINK("https://auction.openprocurement.org/tenders/39d830a31e9a4d72ad8f398517732eaa")</f>
        <v>https://auction.openprocurement.org/tenders/39d830a31e9a4d72ad8f398517732eaa</v>
      </c>
      <c r="R82" s="5">
        <v>43924.600741901668</v>
      </c>
      <c r="S82" s="4">
        <v>43928</v>
      </c>
      <c r="T82" s="4">
        <v>43947</v>
      </c>
      <c r="U82" s="1" t="s">
        <v>1956</v>
      </c>
      <c r="V82" s="5">
        <v>43929.690778397046</v>
      </c>
      <c r="W82" s="1" t="s">
        <v>1952</v>
      </c>
      <c r="X82" s="6">
        <v>7018.4</v>
      </c>
      <c r="Y82" s="1"/>
      <c r="Z82" s="4">
        <v>43951</v>
      </c>
      <c r="AA82" s="5">
        <v>44196</v>
      </c>
      <c r="AB82" s="1" t="s">
        <v>1971</v>
      </c>
      <c r="AC82" s="1"/>
      <c r="AD82" s="1"/>
    </row>
    <row r="83" spans="1:30" hidden="1" x14ac:dyDescent="0.25">
      <c r="A83" s="1" t="s">
        <v>1237</v>
      </c>
      <c r="B83" s="1" t="s">
        <v>729</v>
      </c>
      <c r="C83" s="1" t="s">
        <v>1081</v>
      </c>
      <c r="D83" s="4">
        <v>43914</v>
      </c>
      <c r="E83" s="6">
        <v>227688.44</v>
      </c>
      <c r="F83" s="6"/>
      <c r="G83" s="1" t="s">
        <v>1960</v>
      </c>
      <c r="H83" s="1" t="s">
        <v>1868</v>
      </c>
      <c r="I83" s="6">
        <v>21.559999999997672</v>
      </c>
      <c r="J83" s="6">
        <v>9.4681832154923688E-5</v>
      </c>
      <c r="K83" s="1" t="s">
        <v>1868</v>
      </c>
      <c r="L83" s="1" t="s">
        <v>512</v>
      </c>
      <c r="M83" s="1" t="s">
        <v>867</v>
      </c>
      <c r="N83" s="1" t="s">
        <v>170</v>
      </c>
      <c r="O83" s="6">
        <v>21.559999999997672</v>
      </c>
      <c r="P83" s="6">
        <v>9.4681832154923688E-5</v>
      </c>
      <c r="Q83" s="2" t="str">
        <f>HYPERLINK("https://auction.openprocurement.org/tenders/5b80b997f83141d5a122423b339e0eaf")</f>
        <v>https://auction.openprocurement.org/tenders/5b80b997f83141d5a122423b339e0eaf</v>
      </c>
      <c r="R83" s="5">
        <v>43935.664976226588</v>
      </c>
      <c r="S83" s="4">
        <v>43946</v>
      </c>
      <c r="T83" s="4">
        <v>43956</v>
      </c>
      <c r="U83" s="1" t="s">
        <v>1956</v>
      </c>
      <c r="V83" s="5">
        <v>43948.522018498057</v>
      </c>
      <c r="W83" s="1" t="s">
        <v>1952</v>
      </c>
      <c r="X83" s="6">
        <v>227688.44</v>
      </c>
      <c r="Y83" s="1"/>
      <c r="Z83" s="4">
        <v>43963</v>
      </c>
      <c r="AA83" s="5">
        <v>44196</v>
      </c>
      <c r="AB83" s="1" t="s">
        <v>1971</v>
      </c>
      <c r="AC83" s="1"/>
      <c r="AD83" s="1"/>
    </row>
    <row r="84" spans="1:30" hidden="1" x14ac:dyDescent="0.25">
      <c r="A84" s="1" t="s">
        <v>1499</v>
      </c>
      <c r="B84" s="1" t="s">
        <v>751</v>
      </c>
      <c r="C84" s="1" t="s">
        <v>1081</v>
      </c>
      <c r="D84" s="4">
        <v>43913</v>
      </c>
      <c r="E84" s="6">
        <v>238757.26</v>
      </c>
      <c r="F84" s="6"/>
      <c r="G84" s="6">
        <v>238757.26</v>
      </c>
      <c r="H84" s="1" t="s">
        <v>1849</v>
      </c>
      <c r="I84" s="6">
        <v>1242.7399999999907</v>
      </c>
      <c r="J84" s="6">
        <v>5.1780833333332941E-3</v>
      </c>
      <c r="K84" s="1" t="s">
        <v>1849</v>
      </c>
      <c r="L84" s="1" t="s">
        <v>447</v>
      </c>
      <c r="M84" s="1" t="s">
        <v>915</v>
      </c>
      <c r="N84" s="1" t="s">
        <v>135</v>
      </c>
      <c r="O84" s="6">
        <v>1242.7399999999907</v>
      </c>
      <c r="P84" s="6">
        <v>5.1780833333332941E-3</v>
      </c>
      <c r="Q84" s="2" t="str">
        <f>HYPERLINK("https://auction.openprocurement.org/tenders/6f6cde9c38534d40a438352b019566c5")</f>
        <v>https://auction.openprocurement.org/tenders/6f6cde9c38534d40a438352b019566c5</v>
      </c>
      <c r="R84" s="5">
        <v>43930.52787994979</v>
      </c>
      <c r="S84" s="4">
        <v>43941</v>
      </c>
      <c r="T84" s="4">
        <v>43951</v>
      </c>
      <c r="U84" s="1" t="s">
        <v>1956</v>
      </c>
      <c r="V84" s="5">
        <v>43942.591408350032</v>
      </c>
      <c r="W84" s="1" t="s">
        <v>1952</v>
      </c>
      <c r="X84" s="6">
        <v>238757.26</v>
      </c>
      <c r="Y84" s="1"/>
      <c r="Z84" s="4">
        <v>43966</v>
      </c>
      <c r="AA84" s="5">
        <v>44196</v>
      </c>
      <c r="AB84" s="1" t="s">
        <v>1971</v>
      </c>
      <c r="AC84" s="1"/>
      <c r="AD84" s="1"/>
    </row>
    <row r="85" spans="1:30" hidden="1" x14ac:dyDescent="0.25">
      <c r="A85" s="1" t="s">
        <v>1504</v>
      </c>
      <c r="B85" s="1" t="s">
        <v>756</v>
      </c>
      <c r="C85" s="1" t="s">
        <v>1081</v>
      </c>
      <c r="D85" s="4">
        <v>43910</v>
      </c>
      <c r="E85" s="6">
        <v>283566.02</v>
      </c>
      <c r="F85" s="6"/>
      <c r="G85" s="6">
        <v>283566.02</v>
      </c>
      <c r="H85" s="1" t="s">
        <v>1849</v>
      </c>
      <c r="I85" s="6">
        <v>1433.9799999999814</v>
      </c>
      <c r="J85" s="6">
        <v>5.0315087719297593E-3</v>
      </c>
      <c r="K85" s="1" t="s">
        <v>1849</v>
      </c>
      <c r="L85" s="1" t="s">
        <v>447</v>
      </c>
      <c r="M85" s="1" t="s">
        <v>915</v>
      </c>
      <c r="N85" s="1" t="s">
        <v>135</v>
      </c>
      <c r="O85" s="6">
        <v>1433.9799999999814</v>
      </c>
      <c r="P85" s="6">
        <v>5.0315087719297593E-3</v>
      </c>
      <c r="Q85" s="2" t="str">
        <f>HYPERLINK("https://auction.openprocurement.org/tenders/2d242d882fc547ecacd21b70eaa37256")</f>
        <v>https://auction.openprocurement.org/tenders/2d242d882fc547ecacd21b70eaa37256</v>
      </c>
      <c r="R85" s="5">
        <v>43928.440832899672</v>
      </c>
      <c r="S85" s="4">
        <v>43939</v>
      </c>
      <c r="T85" s="4">
        <v>43949</v>
      </c>
      <c r="U85" s="1" t="s">
        <v>1956</v>
      </c>
      <c r="V85" s="5">
        <v>43942.403259460763</v>
      </c>
      <c r="W85" s="1" t="s">
        <v>247</v>
      </c>
      <c r="X85" s="6">
        <v>283566.02</v>
      </c>
      <c r="Y85" s="1"/>
      <c r="Z85" s="4">
        <v>43966</v>
      </c>
      <c r="AA85" s="5">
        <v>44561</v>
      </c>
      <c r="AB85" s="1" t="s">
        <v>1971</v>
      </c>
      <c r="AC85" s="1"/>
      <c r="AD85" s="1"/>
    </row>
    <row r="86" spans="1:30" hidden="1" x14ac:dyDescent="0.25">
      <c r="A86" s="1" t="s">
        <v>1009</v>
      </c>
      <c r="B86" s="1" t="s">
        <v>639</v>
      </c>
      <c r="C86" s="1" t="s">
        <v>1147</v>
      </c>
      <c r="D86" s="4">
        <v>43909</v>
      </c>
      <c r="E86" s="6">
        <v>79800</v>
      </c>
      <c r="F86" s="6"/>
      <c r="G86" s="6">
        <v>19950</v>
      </c>
      <c r="H86" s="1" t="s">
        <v>1701</v>
      </c>
      <c r="I86" s="6">
        <v>200</v>
      </c>
      <c r="J86" s="6">
        <v>2.5000000000000001E-3</v>
      </c>
      <c r="K86" s="1" t="s">
        <v>1701</v>
      </c>
      <c r="L86" s="1" t="s">
        <v>559</v>
      </c>
      <c r="M86" s="1" t="s">
        <v>856</v>
      </c>
      <c r="N86" s="1" t="s">
        <v>76</v>
      </c>
      <c r="O86" s="6">
        <v>200</v>
      </c>
      <c r="P86" s="6">
        <v>2.5000000000000001E-3</v>
      </c>
      <c r="Q86" s="2"/>
      <c r="R86" s="5">
        <v>43921.50443423634</v>
      </c>
      <c r="S86" s="4">
        <v>43923</v>
      </c>
      <c r="T86" s="4">
        <v>43945</v>
      </c>
      <c r="U86" s="1" t="s">
        <v>1956</v>
      </c>
      <c r="V86" s="5">
        <v>43924.495976639846</v>
      </c>
      <c r="W86" s="1" t="s">
        <v>1952</v>
      </c>
      <c r="X86" s="6">
        <v>79800</v>
      </c>
      <c r="Y86" s="1"/>
      <c r="Z86" s="4">
        <v>43951</v>
      </c>
      <c r="AA86" s="5">
        <v>44196</v>
      </c>
      <c r="AB86" s="1" t="s">
        <v>1971</v>
      </c>
      <c r="AC86" s="1"/>
      <c r="AD86" s="1"/>
    </row>
    <row r="87" spans="1:30" hidden="1" x14ac:dyDescent="0.25">
      <c r="A87" s="1" t="s">
        <v>1166</v>
      </c>
      <c r="B87" s="1" t="s">
        <v>596</v>
      </c>
      <c r="C87" s="1" t="s">
        <v>1157</v>
      </c>
      <c r="D87" s="4">
        <v>43907</v>
      </c>
      <c r="E87" s="6">
        <v>35070</v>
      </c>
      <c r="F87" s="6"/>
      <c r="G87" s="1" t="s">
        <v>1960</v>
      </c>
      <c r="H87" s="1"/>
      <c r="I87" s="1"/>
      <c r="J87" s="1"/>
      <c r="K87" s="1" t="s">
        <v>1534</v>
      </c>
      <c r="L87" s="1" t="s">
        <v>494</v>
      </c>
      <c r="M87" s="1"/>
      <c r="N87" s="1" t="s">
        <v>302</v>
      </c>
      <c r="O87" s="1"/>
      <c r="P87" s="1"/>
      <c r="Q87" s="2"/>
      <c r="R87" s="1"/>
      <c r="S87" s="1"/>
      <c r="T87" s="1"/>
      <c r="U87" s="1" t="s">
        <v>1956</v>
      </c>
      <c r="V87" s="5">
        <v>43907.63560648272</v>
      </c>
      <c r="W87" s="1" t="s">
        <v>399</v>
      </c>
      <c r="X87" s="6">
        <v>35070</v>
      </c>
      <c r="Y87" s="1"/>
      <c r="Z87" s="4">
        <v>43910</v>
      </c>
      <c r="AA87" s="5">
        <v>44196</v>
      </c>
      <c r="AB87" s="1" t="s">
        <v>1971</v>
      </c>
      <c r="AC87" s="1"/>
      <c r="AD87" s="1"/>
    </row>
    <row r="88" spans="1:30" hidden="1" x14ac:dyDescent="0.25">
      <c r="A88" s="1" t="s">
        <v>1054</v>
      </c>
      <c r="B88" s="1" t="s">
        <v>375</v>
      </c>
      <c r="C88" s="1" t="s">
        <v>1147</v>
      </c>
      <c r="D88" s="4">
        <v>43907</v>
      </c>
      <c r="E88" s="6">
        <v>50000</v>
      </c>
      <c r="F88" s="6"/>
      <c r="G88" s="6">
        <v>357.14285714285717</v>
      </c>
      <c r="H88" s="1" t="s">
        <v>1673</v>
      </c>
      <c r="I88" s="1"/>
      <c r="J88" s="1"/>
      <c r="K88" s="1" t="s">
        <v>1673</v>
      </c>
      <c r="L88" s="1" t="s">
        <v>715</v>
      </c>
      <c r="M88" s="1" t="s">
        <v>932</v>
      </c>
      <c r="N88" s="1" t="s">
        <v>121</v>
      </c>
      <c r="O88" s="1"/>
      <c r="P88" s="1"/>
      <c r="Q88" s="2"/>
      <c r="R88" s="5">
        <v>43916.427778003716</v>
      </c>
      <c r="S88" s="4">
        <v>43920</v>
      </c>
      <c r="T88" s="4">
        <v>43940</v>
      </c>
      <c r="U88" s="1" t="s">
        <v>1956</v>
      </c>
      <c r="V88" s="5">
        <v>43922.572785967874</v>
      </c>
      <c r="W88" s="1" t="s">
        <v>523</v>
      </c>
      <c r="X88" s="6">
        <v>50000</v>
      </c>
      <c r="Y88" s="1"/>
      <c r="Z88" s="4">
        <v>43941</v>
      </c>
      <c r="AA88" s="5">
        <v>44196</v>
      </c>
      <c r="AB88" s="1" t="s">
        <v>1971</v>
      </c>
      <c r="AC88" s="1"/>
      <c r="AD88" s="1"/>
    </row>
    <row r="89" spans="1:30" hidden="1" x14ac:dyDescent="0.25">
      <c r="A89" s="1" t="s">
        <v>1405</v>
      </c>
      <c r="B89" s="1" t="s">
        <v>822</v>
      </c>
      <c r="C89" s="1" t="s">
        <v>1081</v>
      </c>
      <c r="D89" s="4">
        <v>43906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2"/>
      <c r="R89" s="1"/>
      <c r="S89" s="1"/>
      <c r="T89" s="1"/>
      <c r="U89" s="1" t="s">
        <v>1972</v>
      </c>
      <c r="V89" s="5">
        <v>43920.592989387711</v>
      </c>
      <c r="W89" s="1"/>
      <c r="X89" s="1"/>
      <c r="Y89" s="4">
        <v>43987</v>
      </c>
      <c r="Z89" s="4">
        <v>44066</v>
      </c>
      <c r="AA89" s="1"/>
      <c r="AB89" s="1"/>
      <c r="AC89" s="1" t="s">
        <v>1935</v>
      </c>
      <c r="AD89" s="1"/>
    </row>
    <row r="90" spans="1:30" hidden="1" x14ac:dyDescent="0.25">
      <c r="A90" s="1" t="s">
        <v>1145</v>
      </c>
      <c r="B90" s="1" t="s">
        <v>472</v>
      </c>
      <c r="C90" s="1" t="s">
        <v>1147</v>
      </c>
      <c r="D90" s="4">
        <v>43906</v>
      </c>
      <c r="E90" s="6">
        <v>18092</v>
      </c>
      <c r="F90" s="6"/>
      <c r="G90" s="1" t="s">
        <v>1960</v>
      </c>
      <c r="H90" s="1" t="s">
        <v>1758</v>
      </c>
      <c r="I90" s="6">
        <v>1908</v>
      </c>
      <c r="J90" s="6">
        <v>9.5399999999999999E-2</v>
      </c>
      <c r="K90" s="1" t="s">
        <v>1758</v>
      </c>
      <c r="L90" s="1" t="s">
        <v>546</v>
      </c>
      <c r="M90" s="1" t="s">
        <v>990</v>
      </c>
      <c r="N90" s="1" t="s">
        <v>42</v>
      </c>
      <c r="O90" s="6">
        <v>1908</v>
      </c>
      <c r="P90" s="6">
        <v>9.5399999999999999E-2</v>
      </c>
      <c r="Q90" s="2" t="str">
        <f>HYPERLINK("https://auction.openprocurement.org/tenders/6a589f1075124f558d57dce22d187ecc")</f>
        <v>https://auction.openprocurement.org/tenders/6a589f1075124f558d57dce22d187ecc</v>
      </c>
      <c r="R90" s="5">
        <v>43915.571590394189</v>
      </c>
      <c r="S90" s="4">
        <v>43917</v>
      </c>
      <c r="T90" s="4">
        <v>43939</v>
      </c>
      <c r="U90" s="1" t="s">
        <v>1956</v>
      </c>
      <c r="V90" s="5">
        <v>43922.430651362614</v>
      </c>
      <c r="W90" s="1" t="s">
        <v>1952</v>
      </c>
      <c r="X90" s="6">
        <v>18092</v>
      </c>
      <c r="Y90" s="1"/>
      <c r="Z90" s="4">
        <v>43936</v>
      </c>
      <c r="AA90" s="5">
        <v>44196</v>
      </c>
      <c r="AB90" s="1" t="s">
        <v>1971</v>
      </c>
      <c r="AC90" s="1"/>
      <c r="AD90" s="1"/>
    </row>
    <row r="91" spans="1:30" hidden="1" x14ac:dyDescent="0.25">
      <c r="A91" s="1" t="s">
        <v>1528</v>
      </c>
      <c r="B91" s="1" t="s">
        <v>548</v>
      </c>
      <c r="C91" s="1" t="s">
        <v>1147</v>
      </c>
      <c r="D91" s="4">
        <v>43906</v>
      </c>
      <c r="E91" s="6">
        <v>12378.6</v>
      </c>
      <c r="F91" s="6"/>
      <c r="G91" s="6">
        <v>412.62</v>
      </c>
      <c r="H91" s="1" t="s">
        <v>1659</v>
      </c>
      <c r="I91" s="6">
        <v>5921.4</v>
      </c>
      <c r="J91" s="6">
        <v>0.32357377049180325</v>
      </c>
      <c r="K91" s="1" t="s">
        <v>1868</v>
      </c>
      <c r="L91" s="1" t="s">
        <v>512</v>
      </c>
      <c r="M91" s="1" t="s">
        <v>867</v>
      </c>
      <c r="N91" s="1" t="s">
        <v>170</v>
      </c>
      <c r="O91" s="6">
        <v>1830</v>
      </c>
      <c r="P91" s="6">
        <v>0.1</v>
      </c>
      <c r="Q91" s="2" t="str">
        <f>HYPERLINK("https://auction.openprocurement.org/tenders/cbff30aa4fb24843b69f2adbb3cfb95c")</f>
        <v>https://auction.openprocurement.org/tenders/cbff30aa4fb24843b69f2adbb3cfb95c</v>
      </c>
      <c r="R91" s="5">
        <v>43917.439155032072</v>
      </c>
      <c r="S91" s="4">
        <v>43921</v>
      </c>
      <c r="T91" s="4">
        <v>43939</v>
      </c>
      <c r="U91" s="1" t="s">
        <v>1956</v>
      </c>
      <c r="V91" s="5">
        <v>43922.569601943818</v>
      </c>
      <c r="W91" s="1" t="s">
        <v>1952</v>
      </c>
      <c r="X91" s="6">
        <v>16470</v>
      </c>
      <c r="Y91" s="1"/>
      <c r="Z91" s="4">
        <v>43936</v>
      </c>
      <c r="AA91" s="5">
        <v>44196</v>
      </c>
      <c r="AB91" s="1" t="s">
        <v>1971</v>
      </c>
      <c r="AC91" s="1"/>
      <c r="AD91" s="1"/>
    </row>
    <row r="92" spans="1:30" hidden="1" x14ac:dyDescent="0.25">
      <c r="A92" s="1" t="s">
        <v>1181</v>
      </c>
      <c r="B92" s="1" t="s">
        <v>737</v>
      </c>
      <c r="C92" s="1" t="s">
        <v>1147</v>
      </c>
      <c r="D92" s="4">
        <v>43906</v>
      </c>
      <c r="E92" s="6">
        <v>101700</v>
      </c>
      <c r="F92" s="6"/>
      <c r="G92" s="1" t="s">
        <v>1960</v>
      </c>
      <c r="H92" s="1" t="s">
        <v>1868</v>
      </c>
      <c r="I92" s="1"/>
      <c r="J92" s="1"/>
      <c r="K92" s="1" t="s">
        <v>1868</v>
      </c>
      <c r="L92" s="1" t="s">
        <v>512</v>
      </c>
      <c r="M92" s="1" t="s">
        <v>867</v>
      </c>
      <c r="N92" s="1" t="s">
        <v>170</v>
      </c>
      <c r="O92" s="1"/>
      <c r="P92" s="1"/>
      <c r="Q92" s="2"/>
      <c r="R92" s="5">
        <v>43914.443161045252</v>
      </c>
      <c r="S92" s="4">
        <v>43916</v>
      </c>
      <c r="T92" s="4">
        <v>43939</v>
      </c>
      <c r="U92" s="1" t="s">
        <v>1956</v>
      </c>
      <c r="V92" s="5">
        <v>43916.584817437026</v>
      </c>
      <c r="W92" s="1" t="s">
        <v>1952</v>
      </c>
      <c r="X92" s="6">
        <v>101700</v>
      </c>
      <c r="Y92" s="1"/>
      <c r="Z92" s="4">
        <v>43936</v>
      </c>
      <c r="AA92" s="5">
        <v>44196</v>
      </c>
      <c r="AB92" s="1" t="s">
        <v>1971</v>
      </c>
      <c r="AC92" s="1"/>
      <c r="AD92" s="1"/>
    </row>
    <row r="93" spans="1:30" hidden="1" x14ac:dyDescent="0.25">
      <c r="A93" s="1" t="s">
        <v>1021</v>
      </c>
      <c r="B93" s="1" t="s">
        <v>739</v>
      </c>
      <c r="C93" s="1" t="s">
        <v>1147</v>
      </c>
      <c r="D93" s="4">
        <v>43903</v>
      </c>
      <c r="E93" s="6">
        <v>5997</v>
      </c>
      <c r="F93" s="6"/>
      <c r="G93" s="6">
        <v>222.11111111111111</v>
      </c>
      <c r="H93" s="1" t="s">
        <v>1309</v>
      </c>
      <c r="I93" s="6">
        <v>8003</v>
      </c>
      <c r="J93" s="6">
        <v>0.57164285714285712</v>
      </c>
      <c r="K93" s="1" t="s">
        <v>1664</v>
      </c>
      <c r="L93" s="1" t="s">
        <v>718</v>
      </c>
      <c r="M93" s="1" t="s">
        <v>957</v>
      </c>
      <c r="N93" s="1" t="s">
        <v>104</v>
      </c>
      <c r="O93" s="6">
        <v>442.29999999999927</v>
      </c>
      <c r="P93" s="6">
        <v>3.1592857142857089E-2</v>
      </c>
      <c r="Q93" s="2" t="str">
        <f>HYPERLINK("https://auction.openprocurement.org/tenders/40773d06237d4578bade04eaf9ae0519")</f>
        <v>https://auction.openprocurement.org/tenders/40773d06237d4578bade04eaf9ae0519</v>
      </c>
      <c r="R93" s="5">
        <v>43920.474240619267</v>
      </c>
      <c r="S93" s="4">
        <v>43922</v>
      </c>
      <c r="T93" s="4">
        <v>43938</v>
      </c>
      <c r="U93" s="1" t="s">
        <v>1956</v>
      </c>
      <c r="V93" s="5">
        <v>43926.503579794189</v>
      </c>
      <c r="W93" s="1" t="s">
        <v>437</v>
      </c>
      <c r="X93" s="6">
        <v>13557.7</v>
      </c>
      <c r="Y93" s="1"/>
      <c r="Z93" s="4">
        <v>43951</v>
      </c>
      <c r="AA93" s="5">
        <v>44196</v>
      </c>
      <c r="AB93" s="1" t="s">
        <v>1971</v>
      </c>
      <c r="AC93" s="1"/>
      <c r="AD93" s="1"/>
    </row>
    <row r="94" spans="1:30" hidden="1" x14ac:dyDescent="0.25">
      <c r="A94" s="1" t="s">
        <v>1073</v>
      </c>
      <c r="B94" s="1" t="s">
        <v>609</v>
      </c>
      <c r="C94" s="1" t="s">
        <v>1081</v>
      </c>
      <c r="D94" s="4">
        <v>43903</v>
      </c>
      <c r="E94" s="6">
        <v>315300</v>
      </c>
      <c r="F94" s="6"/>
      <c r="G94" s="6">
        <v>52550</v>
      </c>
      <c r="H94" s="1" t="s">
        <v>1664</v>
      </c>
      <c r="I94" s="6">
        <v>4700</v>
      </c>
      <c r="J94" s="6">
        <v>1.4687499999999999E-2</v>
      </c>
      <c r="K94" s="1"/>
      <c r="L94" s="1"/>
      <c r="M94" s="1"/>
      <c r="N94" s="1"/>
      <c r="O94" s="1"/>
      <c r="P94" s="1"/>
      <c r="Q94" s="2" t="str">
        <f>HYPERLINK("https://auction.openprocurement.org/tenders/f52c3022b3b54547bfa2f4b19ae88e7e")</f>
        <v>https://auction.openprocurement.org/tenders/f52c3022b3b54547bfa2f4b19ae88e7e</v>
      </c>
      <c r="R94" s="5">
        <v>43922.544404795015</v>
      </c>
      <c r="S94" s="1"/>
      <c r="T94" s="1"/>
      <c r="U94" s="1" t="s">
        <v>1957</v>
      </c>
      <c r="V94" s="5">
        <v>43933.00158066248</v>
      </c>
      <c r="W94" s="1"/>
      <c r="X94" s="1"/>
      <c r="Y94" s="1"/>
      <c r="Z94" s="4">
        <v>43951</v>
      </c>
      <c r="AA94" s="1"/>
      <c r="AB94" s="1"/>
      <c r="AC94" s="1"/>
      <c r="AD94" s="1"/>
    </row>
    <row r="95" spans="1:30" hidden="1" x14ac:dyDescent="0.25">
      <c r="A95" s="1" t="s">
        <v>1378</v>
      </c>
      <c r="B95" s="1" t="s">
        <v>821</v>
      </c>
      <c r="C95" s="1" t="s">
        <v>1147</v>
      </c>
      <c r="D95" s="4">
        <v>43903</v>
      </c>
      <c r="E95" s="6">
        <v>48500</v>
      </c>
      <c r="F95" s="6"/>
      <c r="G95" s="6">
        <v>48500</v>
      </c>
      <c r="H95" s="1" t="s">
        <v>1912</v>
      </c>
      <c r="I95" s="1"/>
      <c r="J95" s="1"/>
      <c r="K95" s="1" t="s">
        <v>1912</v>
      </c>
      <c r="L95" s="1" t="s">
        <v>491</v>
      </c>
      <c r="M95" s="1" t="s">
        <v>954</v>
      </c>
      <c r="N95" s="1" t="s">
        <v>83</v>
      </c>
      <c r="O95" s="1"/>
      <c r="P95" s="1"/>
      <c r="Q95" s="2"/>
      <c r="R95" s="5">
        <v>43913.476507417625</v>
      </c>
      <c r="S95" s="4">
        <v>43915</v>
      </c>
      <c r="T95" s="4">
        <v>43938</v>
      </c>
      <c r="U95" s="1" t="s">
        <v>1956</v>
      </c>
      <c r="V95" s="5">
        <v>43916.542186874132</v>
      </c>
      <c r="W95" s="1" t="s">
        <v>487</v>
      </c>
      <c r="X95" s="6">
        <v>48500</v>
      </c>
      <c r="Y95" s="1"/>
      <c r="Z95" s="4">
        <v>43951</v>
      </c>
      <c r="AA95" s="5">
        <v>44196</v>
      </c>
      <c r="AB95" s="1" t="s">
        <v>1971</v>
      </c>
      <c r="AC95" s="1"/>
      <c r="AD95" s="1"/>
    </row>
    <row r="96" spans="1:30" hidden="1" x14ac:dyDescent="0.25">
      <c r="A96" s="1" t="s">
        <v>1160</v>
      </c>
      <c r="B96" s="1" t="s">
        <v>604</v>
      </c>
      <c r="C96" s="1" t="s">
        <v>1147</v>
      </c>
      <c r="D96" s="4">
        <v>43903</v>
      </c>
      <c r="E96" s="6">
        <v>42000</v>
      </c>
      <c r="F96" s="6"/>
      <c r="G96" s="6">
        <v>1135.1351351351352</v>
      </c>
      <c r="H96" s="1" t="s">
        <v>1868</v>
      </c>
      <c r="I96" s="1"/>
      <c r="J96" s="1"/>
      <c r="K96" s="1" t="s">
        <v>1868</v>
      </c>
      <c r="L96" s="1" t="s">
        <v>512</v>
      </c>
      <c r="M96" s="1" t="s">
        <v>867</v>
      </c>
      <c r="N96" s="1" t="s">
        <v>170</v>
      </c>
      <c r="O96" s="1"/>
      <c r="P96" s="1"/>
      <c r="Q96" s="2"/>
      <c r="R96" s="5">
        <v>43910.585428221253</v>
      </c>
      <c r="S96" s="4">
        <v>43914</v>
      </c>
      <c r="T96" s="4">
        <v>43938</v>
      </c>
      <c r="U96" s="1" t="s">
        <v>1956</v>
      </c>
      <c r="V96" s="5">
        <v>43916.597122008054</v>
      </c>
      <c r="W96" s="1" t="s">
        <v>1952</v>
      </c>
      <c r="X96" s="6">
        <v>42000</v>
      </c>
      <c r="Y96" s="1"/>
      <c r="Z96" s="4">
        <v>43936</v>
      </c>
      <c r="AA96" s="5">
        <v>44196</v>
      </c>
      <c r="AB96" s="1" t="s">
        <v>1971</v>
      </c>
      <c r="AC96" s="1"/>
      <c r="AD96" s="1"/>
    </row>
    <row r="97" spans="1:30" hidden="1" x14ac:dyDescent="0.25">
      <c r="A97" s="1" t="s">
        <v>1487</v>
      </c>
      <c r="B97" s="1" t="s">
        <v>794</v>
      </c>
      <c r="C97" s="1" t="s">
        <v>1157</v>
      </c>
      <c r="D97" s="4">
        <v>43902</v>
      </c>
      <c r="E97" s="6">
        <v>4500</v>
      </c>
      <c r="F97" s="6"/>
      <c r="G97" s="6">
        <v>4500</v>
      </c>
      <c r="H97" s="1"/>
      <c r="I97" s="1"/>
      <c r="J97" s="1"/>
      <c r="K97" s="1" t="s">
        <v>1727</v>
      </c>
      <c r="L97" s="1" t="s">
        <v>630</v>
      </c>
      <c r="M97" s="1"/>
      <c r="N97" s="1" t="s">
        <v>92</v>
      </c>
      <c r="O97" s="1"/>
      <c r="P97" s="1"/>
      <c r="Q97" s="2"/>
      <c r="R97" s="1"/>
      <c r="S97" s="1"/>
      <c r="T97" s="1"/>
      <c r="U97" s="1" t="s">
        <v>1956</v>
      </c>
      <c r="V97" s="5">
        <v>43902.379032149569</v>
      </c>
      <c r="W97" s="1" t="s">
        <v>829</v>
      </c>
      <c r="X97" s="6">
        <v>4500</v>
      </c>
      <c r="Y97" s="1"/>
      <c r="Z97" s="4">
        <v>44196</v>
      </c>
      <c r="AA97" s="5">
        <v>44196</v>
      </c>
      <c r="AB97" s="1" t="s">
        <v>1971</v>
      </c>
      <c r="AC97" s="1"/>
      <c r="AD97" s="1"/>
    </row>
    <row r="98" spans="1:30" hidden="1" x14ac:dyDescent="0.25">
      <c r="A98" s="1" t="s">
        <v>1100</v>
      </c>
      <c r="B98" s="1" t="s">
        <v>428</v>
      </c>
      <c r="C98" s="1" t="s">
        <v>1147</v>
      </c>
      <c r="D98" s="4">
        <v>43900</v>
      </c>
      <c r="E98" s="6">
        <v>12782.4</v>
      </c>
      <c r="F98" s="6"/>
      <c r="G98" s="6">
        <v>27.787826086956521</v>
      </c>
      <c r="H98" s="1" t="s">
        <v>1691</v>
      </c>
      <c r="I98" s="6">
        <v>32217.599999999999</v>
      </c>
      <c r="J98" s="6">
        <v>0.71594666666666662</v>
      </c>
      <c r="K98" s="1" t="s">
        <v>1865</v>
      </c>
      <c r="L98" s="1" t="s">
        <v>515</v>
      </c>
      <c r="M98" s="1" t="s">
        <v>884</v>
      </c>
      <c r="N98" s="1" t="s">
        <v>114</v>
      </c>
      <c r="O98" s="1"/>
      <c r="P98" s="1"/>
      <c r="Q98" s="2" t="str">
        <f>HYPERLINK("https://auction.openprocurement.org/tenders/6c01155e16d8417394073001fa491b9d")</f>
        <v>https://auction.openprocurement.org/tenders/6c01155e16d8417394073001fa491b9d</v>
      </c>
      <c r="R98" s="5">
        <v>43909.631802078184</v>
      </c>
      <c r="S98" s="4">
        <v>43913</v>
      </c>
      <c r="T98" s="4">
        <v>43933</v>
      </c>
      <c r="U98" s="1" t="s">
        <v>1956</v>
      </c>
      <c r="V98" s="5">
        <v>43920.51696404758</v>
      </c>
      <c r="W98" s="1" t="s">
        <v>1952</v>
      </c>
      <c r="X98" s="6">
        <v>45000</v>
      </c>
      <c r="Y98" s="1"/>
      <c r="Z98" s="4">
        <v>43936</v>
      </c>
      <c r="AA98" s="5">
        <v>44196</v>
      </c>
      <c r="AB98" s="1" t="s">
        <v>1971</v>
      </c>
      <c r="AC98" s="1"/>
      <c r="AD98" s="1"/>
    </row>
    <row r="99" spans="1:30" hidden="1" x14ac:dyDescent="0.25">
      <c r="A99" s="1" t="s">
        <v>1538</v>
      </c>
      <c r="B99" s="1" t="s">
        <v>788</v>
      </c>
      <c r="C99" s="1" t="s">
        <v>1157</v>
      </c>
      <c r="D99" s="4">
        <v>43895</v>
      </c>
      <c r="E99" s="6">
        <v>497952.41</v>
      </c>
      <c r="F99" s="6"/>
      <c r="G99" s="6">
        <v>497952.41</v>
      </c>
      <c r="H99" s="1"/>
      <c r="I99" s="1"/>
      <c r="J99" s="1"/>
      <c r="K99" s="1" t="s">
        <v>1751</v>
      </c>
      <c r="L99" s="1" t="s">
        <v>684</v>
      </c>
      <c r="M99" s="1"/>
      <c r="N99" s="1" t="s">
        <v>64</v>
      </c>
      <c r="O99" s="1"/>
      <c r="P99" s="1"/>
      <c r="Q99" s="2"/>
      <c r="R99" s="1"/>
      <c r="S99" s="1"/>
      <c r="T99" s="1"/>
      <c r="U99" s="1" t="s">
        <v>1956</v>
      </c>
      <c r="V99" s="5">
        <v>43895.580033313505</v>
      </c>
      <c r="W99" s="1" t="s">
        <v>255</v>
      </c>
      <c r="X99" s="6">
        <v>497952.41</v>
      </c>
      <c r="Y99" s="1"/>
      <c r="Z99" s="4">
        <v>44196</v>
      </c>
      <c r="AA99" s="5">
        <v>44196</v>
      </c>
      <c r="AB99" s="1" t="s">
        <v>1971</v>
      </c>
      <c r="AC99" s="1"/>
      <c r="AD99" s="1"/>
    </row>
    <row r="100" spans="1:30" hidden="1" x14ac:dyDescent="0.25">
      <c r="A100" s="1" t="s">
        <v>1100</v>
      </c>
      <c r="B100" s="1" t="s">
        <v>675</v>
      </c>
      <c r="C100" s="1" t="s">
        <v>1147</v>
      </c>
      <c r="D100" s="4">
        <v>43892</v>
      </c>
      <c r="E100" s="6">
        <v>6106</v>
      </c>
      <c r="F100" s="6"/>
      <c r="G100" s="6">
        <v>105.27586206896552</v>
      </c>
      <c r="H100" s="1" t="s">
        <v>1305</v>
      </c>
      <c r="I100" s="6">
        <v>424</v>
      </c>
      <c r="J100" s="6">
        <v>6.4931087289433378E-2</v>
      </c>
      <c r="K100" s="1" t="s">
        <v>1865</v>
      </c>
      <c r="L100" s="1" t="s">
        <v>515</v>
      </c>
      <c r="M100" s="1" t="s">
        <v>884</v>
      </c>
      <c r="N100" s="1" t="s">
        <v>114</v>
      </c>
      <c r="O100" s="6">
        <v>394</v>
      </c>
      <c r="P100" s="6">
        <v>6.0336906584992342E-2</v>
      </c>
      <c r="Q100" s="2" t="str">
        <f>HYPERLINK("https://auction.openprocurement.org/tenders/4bdc4c7436bc4725b3362ef7f4f2822a")</f>
        <v>https://auction.openprocurement.org/tenders/4bdc4c7436bc4725b3362ef7f4f2822a</v>
      </c>
      <c r="R100" s="5">
        <v>43903.54267335344</v>
      </c>
      <c r="S100" s="4">
        <v>43907</v>
      </c>
      <c r="T100" s="4">
        <v>43925</v>
      </c>
      <c r="U100" s="1" t="s">
        <v>1956</v>
      </c>
      <c r="V100" s="5">
        <v>43907.557561183712</v>
      </c>
      <c r="W100" s="1" t="s">
        <v>1952</v>
      </c>
      <c r="X100" s="6">
        <v>6136</v>
      </c>
      <c r="Y100" s="1"/>
      <c r="Z100" s="4">
        <v>43921</v>
      </c>
      <c r="AA100" s="5">
        <v>44196</v>
      </c>
      <c r="AB100" s="1" t="s">
        <v>1971</v>
      </c>
      <c r="AC100" s="1"/>
      <c r="AD100" s="1"/>
    </row>
    <row r="101" spans="1:30" hidden="1" x14ac:dyDescent="0.25">
      <c r="A101" s="1" t="s">
        <v>1101</v>
      </c>
      <c r="B101" s="1" t="s">
        <v>416</v>
      </c>
      <c r="C101" s="1" t="s">
        <v>1147</v>
      </c>
      <c r="D101" s="4">
        <v>43887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2"/>
      <c r="R101" s="1"/>
      <c r="S101" s="1"/>
      <c r="T101" s="1"/>
      <c r="U101" s="1" t="s">
        <v>1972</v>
      </c>
      <c r="V101" s="5">
        <v>43892.623078657452</v>
      </c>
      <c r="W101" s="1"/>
      <c r="X101" s="1"/>
      <c r="Y101" s="1"/>
      <c r="Z101" s="4">
        <v>43921</v>
      </c>
      <c r="AA101" s="1"/>
      <c r="AB101" s="1"/>
      <c r="AC101" s="1" t="s">
        <v>1787</v>
      </c>
      <c r="AD101" s="1"/>
    </row>
    <row r="102" spans="1:30" hidden="1" x14ac:dyDescent="0.25">
      <c r="A102" s="1" t="s">
        <v>1101</v>
      </c>
      <c r="B102" s="1" t="s">
        <v>686</v>
      </c>
      <c r="C102" s="1" t="s">
        <v>1147</v>
      </c>
      <c r="D102" s="4">
        <v>43887</v>
      </c>
      <c r="E102" s="6">
        <v>4153.92</v>
      </c>
      <c r="F102" s="6"/>
      <c r="G102" s="6">
        <v>37.088571428571427</v>
      </c>
      <c r="H102" s="1" t="s">
        <v>1928</v>
      </c>
      <c r="I102" s="6">
        <v>5996.08</v>
      </c>
      <c r="J102" s="6">
        <v>0.59074679802955665</v>
      </c>
      <c r="K102" s="1" t="s">
        <v>1865</v>
      </c>
      <c r="L102" s="1" t="s">
        <v>515</v>
      </c>
      <c r="M102" s="1" t="s">
        <v>884</v>
      </c>
      <c r="N102" s="1" t="s">
        <v>114</v>
      </c>
      <c r="O102" s="6">
        <v>20</v>
      </c>
      <c r="P102" s="6">
        <v>1.9704433497536944E-3</v>
      </c>
      <c r="Q102" s="2" t="str">
        <f>HYPERLINK("https://auction.openprocurement.org/tenders/3dd687663dca400d882dae5f6d60bf04")</f>
        <v>https://auction.openprocurement.org/tenders/3dd687663dca400d882dae5f6d60bf04</v>
      </c>
      <c r="R102" s="5">
        <v>43901.592330124317</v>
      </c>
      <c r="S102" s="4">
        <v>43903</v>
      </c>
      <c r="T102" s="4">
        <v>43922</v>
      </c>
      <c r="U102" s="1" t="s">
        <v>1956</v>
      </c>
      <c r="V102" s="5">
        <v>43906.65625364882</v>
      </c>
      <c r="W102" s="1" t="s">
        <v>1952</v>
      </c>
      <c r="X102" s="6">
        <v>10130</v>
      </c>
      <c r="Y102" s="1"/>
      <c r="Z102" s="4">
        <v>43921</v>
      </c>
      <c r="AA102" s="5">
        <v>44196</v>
      </c>
      <c r="AB102" s="1" t="s">
        <v>1971</v>
      </c>
      <c r="AC102" s="1"/>
      <c r="AD102" s="1"/>
    </row>
    <row r="103" spans="1:30" hidden="1" x14ac:dyDescent="0.25">
      <c r="A103" s="1" t="s">
        <v>1101</v>
      </c>
      <c r="B103" s="1" t="s">
        <v>597</v>
      </c>
      <c r="C103" s="1" t="s">
        <v>1147</v>
      </c>
      <c r="D103" s="4">
        <v>43887</v>
      </c>
      <c r="E103" s="6">
        <v>4200</v>
      </c>
      <c r="F103" s="6"/>
      <c r="G103" s="6">
        <v>8.4</v>
      </c>
      <c r="H103" s="1" t="s">
        <v>1691</v>
      </c>
      <c r="I103" s="6">
        <v>2730</v>
      </c>
      <c r="J103" s="6">
        <v>0.39393939393939392</v>
      </c>
      <c r="K103" s="1" t="s">
        <v>1865</v>
      </c>
      <c r="L103" s="1" t="s">
        <v>515</v>
      </c>
      <c r="M103" s="1" t="s">
        <v>884</v>
      </c>
      <c r="N103" s="1" t="s">
        <v>114</v>
      </c>
      <c r="O103" s="6">
        <v>230</v>
      </c>
      <c r="P103" s="6">
        <v>3.3189033189033192E-2</v>
      </c>
      <c r="Q103" s="2" t="str">
        <f>HYPERLINK("https://auction.openprocurement.org/tenders/956876e48f6f4f5d9cdef3436fc264f2")</f>
        <v>https://auction.openprocurement.org/tenders/956876e48f6f4f5d9cdef3436fc264f2</v>
      </c>
      <c r="R103" s="5">
        <v>43902.673026571443</v>
      </c>
      <c r="S103" s="4">
        <v>43906</v>
      </c>
      <c r="T103" s="4">
        <v>43922</v>
      </c>
      <c r="U103" s="1" t="s">
        <v>1956</v>
      </c>
      <c r="V103" s="5">
        <v>43906.679159213134</v>
      </c>
      <c r="W103" s="1" t="s">
        <v>1952</v>
      </c>
      <c r="X103" s="6">
        <v>6700</v>
      </c>
      <c r="Y103" s="1"/>
      <c r="Z103" s="4">
        <v>43921</v>
      </c>
      <c r="AA103" s="5">
        <v>44196</v>
      </c>
      <c r="AB103" s="1" t="s">
        <v>1971</v>
      </c>
      <c r="AC103" s="1"/>
      <c r="AD103" s="1"/>
    </row>
    <row r="104" spans="1:30" hidden="1" x14ac:dyDescent="0.25">
      <c r="A104" s="1" t="s">
        <v>1101</v>
      </c>
      <c r="B104" s="1" t="s">
        <v>416</v>
      </c>
      <c r="C104" s="1" t="s">
        <v>1147</v>
      </c>
      <c r="D104" s="4">
        <v>43887</v>
      </c>
      <c r="E104" s="6">
        <v>11380</v>
      </c>
      <c r="F104" s="6"/>
      <c r="G104" s="6">
        <v>18.966666666666665</v>
      </c>
      <c r="H104" s="1" t="s">
        <v>1305</v>
      </c>
      <c r="I104" s="6">
        <v>910</v>
      </c>
      <c r="J104" s="6">
        <v>7.404393816110659E-2</v>
      </c>
      <c r="K104" s="1" t="s">
        <v>1865</v>
      </c>
      <c r="L104" s="1" t="s">
        <v>515</v>
      </c>
      <c r="M104" s="1" t="s">
        <v>884</v>
      </c>
      <c r="N104" s="1" t="s">
        <v>114</v>
      </c>
      <c r="O104" s="6">
        <v>900</v>
      </c>
      <c r="P104" s="6">
        <v>7.3230268510984534E-2</v>
      </c>
      <c r="Q104" s="2" t="str">
        <f>HYPERLINK("https://auction.openprocurement.org/tenders/5e500933bcd544218bc5db55fbbcecd9")</f>
        <v>https://auction.openprocurement.org/tenders/5e500933bcd544218bc5db55fbbcecd9</v>
      </c>
      <c r="R104" s="5">
        <v>43901.593582387526</v>
      </c>
      <c r="S104" s="4">
        <v>43903</v>
      </c>
      <c r="T104" s="4">
        <v>43922</v>
      </c>
      <c r="U104" s="1" t="s">
        <v>1956</v>
      </c>
      <c r="V104" s="5">
        <v>43906.740045258113</v>
      </c>
      <c r="W104" s="1" t="s">
        <v>1952</v>
      </c>
      <c r="X104" s="6">
        <v>11388</v>
      </c>
      <c r="Y104" s="1"/>
      <c r="Z104" s="4">
        <v>43921</v>
      </c>
      <c r="AA104" s="5">
        <v>44196</v>
      </c>
      <c r="AB104" s="1" t="s">
        <v>1971</v>
      </c>
      <c r="AC104" s="1"/>
      <c r="AD104" s="1"/>
    </row>
    <row r="105" spans="1:30" hidden="1" x14ac:dyDescent="0.25">
      <c r="A105" s="1" t="s">
        <v>1539</v>
      </c>
      <c r="B105" s="1" t="s">
        <v>788</v>
      </c>
      <c r="C105" s="1" t="s">
        <v>1157</v>
      </c>
      <c r="D105" s="4">
        <v>43886</v>
      </c>
      <c r="E105" s="6">
        <v>440000</v>
      </c>
      <c r="F105" s="6"/>
      <c r="G105" s="6">
        <v>440000</v>
      </c>
      <c r="H105" s="1"/>
      <c r="I105" s="1"/>
      <c r="J105" s="1"/>
      <c r="K105" s="1" t="s">
        <v>1306</v>
      </c>
      <c r="L105" s="1" t="s">
        <v>491</v>
      </c>
      <c r="M105" s="1"/>
      <c r="N105" s="1" t="s">
        <v>71</v>
      </c>
      <c r="O105" s="1"/>
      <c r="P105" s="1"/>
      <c r="Q105" s="2"/>
      <c r="R105" s="1"/>
      <c r="S105" s="1"/>
      <c r="T105" s="1"/>
      <c r="U105" s="1" t="s">
        <v>1956</v>
      </c>
      <c r="V105" s="5">
        <v>43886.57859821376</v>
      </c>
      <c r="W105" s="1" t="s">
        <v>1952</v>
      </c>
      <c r="X105" s="6">
        <v>440000</v>
      </c>
      <c r="Y105" s="1"/>
      <c r="Z105" s="4">
        <v>44196</v>
      </c>
      <c r="AA105" s="5">
        <v>44196</v>
      </c>
      <c r="AB105" s="1" t="s">
        <v>1971</v>
      </c>
      <c r="AC105" s="1"/>
      <c r="AD105" s="1"/>
    </row>
    <row r="106" spans="1:30" hidden="1" x14ac:dyDescent="0.25">
      <c r="A106" s="1" t="s">
        <v>1343</v>
      </c>
      <c r="B106" s="1" t="s">
        <v>766</v>
      </c>
      <c r="C106" s="1" t="s">
        <v>1157</v>
      </c>
      <c r="D106" s="4">
        <v>43882</v>
      </c>
      <c r="E106" s="6">
        <v>718.79</v>
      </c>
      <c r="F106" s="6"/>
      <c r="G106" s="6">
        <v>718.79</v>
      </c>
      <c r="H106" s="1"/>
      <c r="I106" s="1"/>
      <c r="J106" s="1"/>
      <c r="K106" s="1" t="s">
        <v>1320</v>
      </c>
      <c r="L106" s="1" t="s">
        <v>553</v>
      </c>
      <c r="M106" s="1"/>
      <c r="N106" s="1" t="s">
        <v>65</v>
      </c>
      <c r="O106" s="1"/>
      <c r="P106" s="1"/>
      <c r="Q106" s="2"/>
      <c r="R106" s="1"/>
      <c r="S106" s="1"/>
      <c r="T106" s="1"/>
      <c r="U106" s="1" t="s">
        <v>1956</v>
      </c>
      <c r="V106" s="5">
        <v>43882.568308681446</v>
      </c>
      <c r="W106" s="1" t="s">
        <v>236</v>
      </c>
      <c r="X106" s="6">
        <v>718.79</v>
      </c>
      <c r="Y106" s="4">
        <v>43882</v>
      </c>
      <c r="Z106" s="4">
        <v>44196</v>
      </c>
      <c r="AA106" s="5">
        <v>44196</v>
      </c>
      <c r="AB106" s="1" t="s">
        <v>1971</v>
      </c>
      <c r="AC106" s="1"/>
      <c r="AD106" s="1"/>
    </row>
    <row r="107" spans="1:30" hidden="1" x14ac:dyDescent="0.25">
      <c r="A107" s="1" t="s">
        <v>1329</v>
      </c>
      <c r="B107" s="1" t="s">
        <v>318</v>
      </c>
      <c r="C107" s="1" t="s">
        <v>1147</v>
      </c>
      <c r="D107" s="4">
        <v>43882</v>
      </c>
      <c r="E107" s="6">
        <v>176160</v>
      </c>
      <c r="F107" s="6"/>
      <c r="G107" s="6">
        <v>22.02</v>
      </c>
      <c r="H107" s="1" t="s">
        <v>1675</v>
      </c>
      <c r="I107" s="6">
        <v>23440</v>
      </c>
      <c r="J107" s="6">
        <v>0.11743486973947896</v>
      </c>
      <c r="K107" s="1" t="s">
        <v>1670</v>
      </c>
      <c r="L107" s="1" t="s">
        <v>714</v>
      </c>
      <c r="M107" s="1" t="s">
        <v>859</v>
      </c>
      <c r="N107" s="1" t="s">
        <v>139</v>
      </c>
      <c r="O107" s="6">
        <v>11600</v>
      </c>
      <c r="P107" s="6">
        <v>5.8116232464929862E-2</v>
      </c>
      <c r="Q107" s="2" t="str">
        <f>HYPERLINK("https://auction.openprocurement.org/tenders/8878e9e2df2541cca38ee1c2e1f706f5")</f>
        <v>https://auction.openprocurement.org/tenders/8878e9e2df2541cca38ee1c2e1f706f5</v>
      </c>
      <c r="R107" s="5">
        <v>43894.398817036898</v>
      </c>
      <c r="S107" s="4">
        <v>43896</v>
      </c>
      <c r="T107" s="4">
        <v>43917</v>
      </c>
      <c r="U107" s="1" t="s">
        <v>1956</v>
      </c>
      <c r="V107" s="5">
        <v>43901.731389304805</v>
      </c>
      <c r="W107" s="1" t="s">
        <v>198</v>
      </c>
      <c r="X107" s="6">
        <v>188000</v>
      </c>
      <c r="Y107" s="1"/>
      <c r="Z107" s="4">
        <v>43921</v>
      </c>
      <c r="AA107" s="5">
        <v>44196</v>
      </c>
      <c r="AB107" s="1" t="s">
        <v>1971</v>
      </c>
      <c r="AC107" s="1"/>
      <c r="AD107" s="1"/>
    </row>
    <row r="108" spans="1:30" hidden="1" x14ac:dyDescent="0.25">
      <c r="A108" s="1" t="s">
        <v>1235</v>
      </c>
      <c r="B108" s="1" t="s">
        <v>320</v>
      </c>
      <c r="C108" s="1" t="s">
        <v>1147</v>
      </c>
      <c r="D108" s="4">
        <v>43882</v>
      </c>
      <c r="E108" s="6">
        <v>49935</v>
      </c>
      <c r="F108" s="6"/>
      <c r="G108" s="1" t="s">
        <v>1960</v>
      </c>
      <c r="H108" s="1" t="s">
        <v>1133</v>
      </c>
      <c r="I108" s="1"/>
      <c r="J108" s="1"/>
      <c r="K108" s="1" t="s">
        <v>1133</v>
      </c>
      <c r="L108" s="1" t="s">
        <v>588</v>
      </c>
      <c r="M108" s="1" t="s">
        <v>917</v>
      </c>
      <c r="N108" s="1" t="s">
        <v>113</v>
      </c>
      <c r="O108" s="1"/>
      <c r="P108" s="1"/>
      <c r="Q108" s="2"/>
      <c r="R108" s="5">
        <v>43889.600686212128</v>
      </c>
      <c r="S108" s="4">
        <v>43893</v>
      </c>
      <c r="T108" s="4">
        <v>43917</v>
      </c>
      <c r="U108" s="1" t="s">
        <v>1956</v>
      </c>
      <c r="V108" s="5">
        <v>43893.650580566748</v>
      </c>
      <c r="W108" s="1" t="s">
        <v>1952</v>
      </c>
      <c r="X108" s="6">
        <v>49935</v>
      </c>
      <c r="Y108" s="1"/>
      <c r="Z108" s="4">
        <v>43921</v>
      </c>
      <c r="AA108" s="5">
        <v>44196</v>
      </c>
      <c r="AB108" s="1" t="s">
        <v>1971</v>
      </c>
      <c r="AC108" s="1"/>
      <c r="AD108" s="1"/>
    </row>
    <row r="109" spans="1:30" hidden="1" x14ac:dyDescent="0.25">
      <c r="A109" s="1" t="s">
        <v>1470</v>
      </c>
      <c r="B109" s="1" t="s">
        <v>821</v>
      </c>
      <c r="C109" s="1" t="s">
        <v>1147</v>
      </c>
      <c r="D109" s="4">
        <v>43881</v>
      </c>
      <c r="E109" s="6">
        <v>99990</v>
      </c>
      <c r="F109" s="6"/>
      <c r="G109" s="6">
        <v>99990</v>
      </c>
      <c r="H109" s="1" t="s">
        <v>1880</v>
      </c>
      <c r="I109" s="6">
        <v>10</v>
      </c>
      <c r="J109" s="6">
        <v>1E-4</v>
      </c>
      <c r="K109" s="1" t="s">
        <v>1880</v>
      </c>
      <c r="L109" s="1" t="s">
        <v>593</v>
      </c>
      <c r="M109" s="1" t="s">
        <v>905</v>
      </c>
      <c r="N109" s="1" t="s">
        <v>158</v>
      </c>
      <c r="O109" s="6">
        <v>10</v>
      </c>
      <c r="P109" s="6">
        <v>1E-4</v>
      </c>
      <c r="Q109" s="2"/>
      <c r="R109" s="5">
        <v>43889.500322324129</v>
      </c>
      <c r="S109" s="4">
        <v>43893</v>
      </c>
      <c r="T109" s="4">
        <v>43916</v>
      </c>
      <c r="U109" s="1" t="s">
        <v>1956</v>
      </c>
      <c r="V109" s="5">
        <v>43894.447768812555</v>
      </c>
      <c r="W109" s="1" t="s">
        <v>229</v>
      </c>
      <c r="X109" s="6">
        <v>99990</v>
      </c>
      <c r="Y109" s="1"/>
      <c r="Z109" s="4">
        <v>43921</v>
      </c>
      <c r="AA109" s="5">
        <v>44196</v>
      </c>
      <c r="AB109" s="1" t="s">
        <v>1971</v>
      </c>
      <c r="AC109" s="1"/>
      <c r="AD109" s="1"/>
    </row>
    <row r="110" spans="1:30" hidden="1" x14ac:dyDescent="0.25">
      <c r="A110" s="1" t="s">
        <v>1587</v>
      </c>
      <c r="B110" s="1" t="s">
        <v>235</v>
      </c>
      <c r="C110" s="1" t="s">
        <v>1081</v>
      </c>
      <c r="D110" s="4">
        <v>43875</v>
      </c>
      <c r="E110" s="6">
        <v>44324</v>
      </c>
      <c r="F110" s="6"/>
      <c r="G110" s="6">
        <v>14.062182741116752</v>
      </c>
      <c r="H110" s="1" t="s">
        <v>1867</v>
      </c>
      <c r="I110" s="6">
        <v>25676</v>
      </c>
      <c r="J110" s="6">
        <v>0.36680000000000001</v>
      </c>
      <c r="K110" s="1"/>
      <c r="L110" s="1"/>
      <c r="M110" s="1"/>
      <c r="N110" s="1"/>
      <c r="O110" s="1"/>
      <c r="P110" s="1"/>
      <c r="Q110" s="2" t="str">
        <f>HYPERLINK("https://auction.openprocurement.org/tenders/3ab23abb34ef4e9f85b52f0bcec6834f")</f>
        <v>https://auction.openprocurement.org/tenders/3ab23abb34ef4e9f85b52f0bcec6834f</v>
      </c>
      <c r="R110" s="1"/>
      <c r="S110" s="1"/>
      <c r="T110" s="1"/>
      <c r="U110" s="1" t="s">
        <v>1972</v>
      </c>
      <c r="V110" s="5">
        <v>43892.668517626698</v>
      </c>
      <c r="W110" s="1"/>
      <c r="X110" s="1"/>
      <c r="Y110" s="1"/>
      <c r="Z110" s="4">
        <v>43951</v>
      </c>
      <c r="AA110" s="1"/>
      <c r="AB110" s="1"/>
      <c r="AC110" s="1" t="s">
        <v>1975</v>
      </c>
      <c r="AD110" s="1"/>
    </row>
    <row r="111" spans="1:30" hidden="1" x14ac:dyDescent="0.25">
      <c r="A111" s="1" t="s">
        <v>1610</v>
      </c>
      <c r="B111" s="1" t="s">
        <v>412</v>
      </c>
      <c r="C111" s="1" t="s">
        <v>1147</v>
      </c>
      <c r="D111" s="4">
        <v>43873</v>
      </c>
      <c r="E111" s="6">
        <v>71090.399999999994</v>
      </c>
      <c r="F111" s="6"/>
      <c r="G111" s="6">
        <v>718.08484848484841</v>
      </c>
      <c r="H111" s="1" t="s">
        <v>1913</v>
      </c>
      <c r="I111" s="6">
        <v>80199.600000000006</v>
      </c>
      <c r="J111" s="6">
        <v>0.53010509617291302</v>
      </c>
      <c r="K111" s="1" t="s">
        <v>1849</v>
      </c>
      <c r="L111" s="1" t="s">
        <v>447</v>
      </c>
      <c r="M111" s="1" t="s">
        <v>915</v>
      </c>
      <c r="N111" s="1" t="s">
        <v>135</v>
      </c>
      <c r="O111" s="6">
        <v>95</v>
      </c>
      <c r="P111" s="6">
        <v>6.2793310859937863E-4</v>
      </c>
      <c r="Q111" s="2" t="str">
        <f>HYPERLINK("https://auction.openprocurement.org/tenders/e3d402acb8294a9e88d4fb58117f20c0")</f>
        <v>https://auction.openprocurement.org/tenders/e3d402acb8294a9e88d4fb58117f20c0</v>
      </c>
      <c r="R111" s="5">
        <v>43892.45413922744</v>
      </c>
      <c r="S111" s="4">
        <v>43894</v>
      </c>
      <c r="T111" s="4">
        <v>43908</v>
      </c>
      <c r="U111" s="1" t="s">
        <v>1956</v>
      </c>
      <c r="V111" s="5">
        <v>43894.474577974586</v>
      </c>
      <c r="W111" s="1" t="s">
        <v>238</v>
      </c>
      <c r="X111" s="6">
        <v>151195</v>
      </c>
      <c r="Y111" s="1"/>
      <c r="Z111" s="4">
        <v>43900</v>
      </c>
      <c r="AA111" s="5">
        <v>44196</v>
      </c>
      <c r="AB111" s="1" t="s">
        <v>1971</v>
      </c>
      <c r="AC111" s="1"/>
      <c r="AD111" s="1"/>
    </row>
    <row r="112" spans="1:30" hidden="1" x14ac:dyDescent="0.25">
      <c r="A112" s="1" t="s">
        <v>1040</v>
      </c>
      <c r="B112" s="1" t="s">
        <v>235</v>
      </c>
      <c r="C112" s="1" t="s">
        <v>1081</v>
      </c>
      <c r="D112" s="4">
        <v>43872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2"/>
      <c r="R112" s="1"/>
      <c r="S112" s="1"/>
      <c r="T112" s="1"/>
      <c r="U112" s="1" t="s">
        <v>1957</v>
      </c>
      <c r="V112" s="5">
        <v>43888.602503673021</v>
      </c>
      <c r="W112" s="1"/>
      <c r="X112" s="1"/>
      <c r="Y112" s="1"/>
      <c r="Z112" s="4">
        <v>43951</v>
      </c>
      <c r="AA112" s="1"/>
      <c r="AB112" s="1"/>
      <c r="AC112" s="1"/>
      <c r="AD112" s="1"/>
    </row>
    <row r="113" spans="1:30" hidden="1" x14ac:dyDescent="0.25">
      <c r="A113" s="1" t="s">
        <v>1587</v>
      </c>
      <c r="B113" s="1" t="s">
        <v>235</v>
      </c>
      <c r="C113" s="1" t="s">
        <v>1081</v>
      </c>
      <c r="D113" s="4">
        <v>43872</v>
      </c>
      <c r="E113" s="6">
        <v>152090</v>
      </c>
      <c r="F113" s="6"/>
      <c r="G113" s="6">
        <v>18.940224159402241</v>
      </c>
      <c r="H113" s="1" t="s">
        <v>1867</v>
      </c>
      <c r="I113" s="6">
        <v>110910</v>
      </c>
      <c r="J113" s="6">
        <v>0.4217110266159696</v>
      </c>
      <c r="K113" s="1"/>
      <c r="L113" s="1"/>
      <c r="M113" s="1"/>
      <c r="N113" s="1"/>
      <c r="O113" s="1"/>
      <c r="P113" s="1"/>
      <c r="Q113" s="2" t="str">
        <f>HYPERLINK("https://auction.openprocurement.org/tenders/63755e1af3474260a819693fd084236b")</f>
        <v>https://auction.openprocurement.org/tenders/63755e1af3474260a819693fd084236b</v>
      </c>
      <c r="R113" s="1"/>
      <c r="S113" s="1"/>
      <c r="T113" s="1"/>
      <c r="U113" s="1" t="s">
        <v>1972</v>
      </c>
      <c r="V113" s="5">
        <v>43892.664976129337</v>
      </c>
      <c r="W113" s="1"/>
      <c r="X113" s="1"/>
      <c r="Y113" s="1"/>
      <c r="Z113" s="4">
        <v>43951</v>
      </c>
      <c r="AA113" s="1"/>
      <c r="AB113" s="1"/>
      <c r="AC113" s="1" t="s">
        <v>1975</v>
      </c>
      <c r="AD113" s="1"/>
    </row>
    <row r="114" spans="1:30" hidden="1" x14ac:dyDescent="0.25">
      <c r="A114" s="1" t="s">
        <v>1441</v>
      </c>
      <c r="B114" s="1" t="s">
        <v>758</v>
      </c>
      <c r="C114" s="1" t="s">
        <v>1147</v>
      </c>
      <c r="D114" s="4">
        <v>43872</v>
      </c>
      <c r="E114" s="6">
        <v>72490.83</v>
      </c>
      <c r="F114" s="6"/>
      <c r="G114" s="6">
        <v>72490.83</v>
      </c>
      <c r="H114" s="1" t="s">
        <v>1869</v>
      </c>
      <c r="I114" s="6">
        <v>22.169999999998254</v>
      </c>
      <c r="J114" s="6">
        <v>3.0573828141158485E-4</v>
      </c>
      <c r="K114" s="1" t="s">
        <v>1869</v>
      </c>
      <c r="L114" s="1" t="s">
        <v>494</v>
      </c>
      <c r="M114" s="1" t="s">
        <v>953</v>
      </c>
      <c r="N114" s="1" t="s">
        <v>118</v>
      </c>
      <c r="O114" s="6">
        <v>22.169999999998254</v>
      </c>
      <c r="P114" s="6">
        <v>3.0573828141158485E-4</v>
      </c>
      <c r="Q114" s="2"/>
      <c r="R114" s="5">
        <v>43880.439012964249</v>
      </c>
      <c r="S114" s="4">
        <v>43882</v>
      </c>
      <c r="T114" s="4">
        <v>43905</v>
      </c>
      <c r="U114" s="1" t="s">
        <v>1956</v>
      </c>
      <c r="V114" s="5">
        <v>43886.548705332607</v>
      </c>
      <c r="W114" s="1" t="s">
        <v>222</v>
      </c>
      <c r="X114" s="6">
        <v>72490.83</v>
      </c>
      <c r="Y114" s="1"/>
      <c r="Z114" s="4">
        <v>43896</v>
      </c>
      <c r="AA114" s="5">
        <v>44196</v>
      </c>
      <c r="AB114" s="1" t="s">
        <v>1971</v>
      </c>
      <c r="AC114" s="1"/>
      <c r="AD114" s="1"/>
    </row>
    <row r="115" spans="1:30" hidden="1" x14ac:dyDescent="0.25">
      <c r="A115" s="1" t="s">
        <v>1446</v>
      </c>
      <c r="B115" s="1" t="s">
        <v>834</v>
      </c>
      <c r="C115" s="1" t="s">
        <v>1081</v>
      </c>
      <c r="D115" s="4">
        <v>43872</v>
      </c>
      <c r="E115" s="6">
        <v>314478.7</v>
      </c>
      <c r="F115" s="6"/>
      <c r="G115" s="6">
        <v>314478.7</v>
      </c>
      <c r="H115" s="1" t="s">
        <v>1641</v>
      </c>
      <c r="I115" s="6">
        <v>1631.2999999999884</v>
      </c>
      <c r="J115" s="6">
        <v>5.1605453797728268E-3</v>
      </c>
      <c r="K115" s="1" t="s">
        <v>1641</v>
      </c>
      <c r="L115" s="1" t="s">
        <v>719</v>
      </c>
      <c r="M115" s="1" t="s">
        <v>875</v>
      </c>
      <c r="N115" s="1" t="s">
        <v>164</v>
      </c>
      <c r="O115" s="6">
        <v>1631.2999999999884</v>
      </c>
      <c r="P115" s="6">
        <v>5.1605453797728268E-3</v>
      </c>
      <c r="Q115" s="2" t="str">
        <f>HYPERLINK("https://auction.openprocurement.org/tenders/ab45d3a9d7d84182bcd6b68154d1169d")</f>
        <v>https://auction.openprocurement.org/tenders/ab45d3a9d7d84182bcd6b68154d1169d</v>
      </c>
      <c r="R115" s="5">
        <v>43889.446141198147</v>
      </c>
      <c r="S115" s="4">
        <v>43900</v>
      </c>
      <c r="T115" s="4">
        <v>43910</v>
      </c>
      <c r="U115" s="1" t="s">
        <v>1956</v>
      </c>
      <c r="V115" s="5">
        <v>43900.431231762603</v>
      </c>
      <c r="W115" s="1" t="s">
        <v>223</v>
      </c>
      <c r="X115" s="6">
        <v>314478.7</v>
      </c>
      <c r="Y115" s="1"/>
      <c r="Z115" s="4">
        <v>43982</v>
      </c>
      <c r="AA115" s="5">
        <v>44196</v>
      </c>
      <c r="AB115" s="1" t="s">
        <v>1971</v>
      </c>
      <c r="AC115" s="1"/>
      <c r="AD115" s="1"/>
    </row>
    <row r="116" spans="1:30" hidden="1" x14ac:dyDescent="0.25">
      <c r="A116" s="1" t="s">
        <v>1599</v>
      </c>
      <c r="B116" s="1" t="s">
        <v>548</v>
      </c>
      <c r="C116" s="1" t="s">
        <v>1081</v>
      </c>
      <c r="D116" s="4">
        <v>43871</v>
      </c>
      <c r="E116" s="6">
        <v>317140</v>
      </c>
      <c r="F116" s="6"/>
      <c r="G116" s="6">
        <v>12197.692307692309</v>
      </c>
      <c r="H116" s="1" t="s">
        <v>1872</v>
      </c>
      <c r="I116" s="6">
        <v>3930</v>
      </c>
      <c r="J116" s="6">
        <v>1.2240321425234372E-2</v>
      </c>
      <c r="K116" s="1" t="s">
        <v>1872</v>
      </c>
      <c r="L116" s="1" t="s">
        <v>564</v>
      </c>
      <c r="M116" s="1" t="s">
        <v>897</v>
      </c>
      <c r="N116" s="1" t="s">
        <v>180</v>
      </c>
      <c r="O116" s="6">
        <v>3930</v>
      </c>
      <c r="P116" s="6">
        <v>1.2240321425234372E-2</v>
      </c>
      <c r="Q116" s="2" t="str">
        <f>HYPERLINK("https://auction.openprocurement.org/tenders/7de20c8927e343238d4278ad2dd133a0")</f>
        <v>https://auction.openprocurement.org/tenders/7de20c8927e343238d4278ad2dd133a0</v>
      </c>
      <c r="R116" s="5">
        <v>43888.590766682792</v>
      </c>
      <c r="S116" s="4">
        <v>43899</v>
      </c>
      <c r="T116" s="4">
        <v>43909</v>
      </c>
      <c r="U116" s="1" t="s">
        <v>1956</v>
      </c>
      <c r="V116" s="5">
        <v>43901.693599933853</v>
      </c>
      <c r="W116" s="1" t="s">
        <v>360</v>
      </c>
      <c r="X116" s="6">
        <v>317140</v>
      </c>
      <c r="Y116" s="1"/>
      <c r="Z116" s="4">
        <v>43921</v>
      </c>
      <c r="AA116" s="5">
        <v>44196</v>
      </c>
      <c r="AB116" s="1" t="s">
        <v>1971</v>
      </c>
      <c r="AC116" s="1"/>
      <c r="AD116" s="1"/>
    </row>
    <row r="117" spans="1:30" hidden="1" x14ac:dyDescent="0.25">
      <c r="A117" s="1" t="s">
        <v>1161</v>
      </c>
      <c r="B117" s="1" t="s">
        <v>397</v>
      </c>
      <c r="C117" s="1" t="s">
        <v>1147</v>
      </c>
      <c r="D117" s="4">
        <v>43868</v>
      </c>
      <c r="E117" s="6">
        <v>43849.24</v>
      </c>
      <c r="F117" s="6"/>
      <c r="G117" s="6">
        <v>466.48127659574465</v>
      </c>
      <c r="H117" s="1" t="s">
        <v>1667</v>
      </c>
      <c r="I117" s="6">
        <v>6007.760000000002</v>
      </c>
      <c r="J117" s="6">
        <v>0.12049982951240552</v>
      </c>
      <c r="K117" s="1" t="s">
        <v>1133</v>
      </c>
      <c r="L117" s="1" t="s">
        <v>588</v>
      </c>
      <c r="M117" s="1" t="s">
        <v>917</v>
      </c>
      <c r="N117" s="1" t="s">
        <v>113</v>
      </c>
      <c r="O117" s="6">
        <v>3.1999999999970896</v>
      </c>
      <c r="P117" s="6">
        <v>6.4183564995829871E-5</v>
      </c>
      <c r="Q117" s="2" t="str">
        <f>HYPERLINK("https://auction.openprocurement.org/tenders/b7a34f1ed0da467d952aa5ab9a35ddca")</f>
        <v>https://auction.openprocurement.org/tenders/b7a34f1ed0da467d952aa5ab9a35ddca</v>
      </c>
      <c r="R117" s="5">
        <v>43880.607643310883</v>
      </c>
      <c r="S117" s="4">
        <v>43882</v>
      </c>
      <c r="T117" s="4">
        <v>43903</v>
      </c>
      <c r="U117" s="1" t="s">
        <v>1956</v>
      </c>
      <c r="V117" s="5">
        <v>43886.70207029883</v>
      </c>
      <c r="W117" s="1" t="s">
        <v>1952</v>
      </c>
      <c r="X117" s="6">
        <v>49853.8</v>
      </c>
      <c r="Y117" s="1"/>
      <c r="Z117" s="4">
        <v>43936</v>
      </c>
      <c r="AA117" s="5">
        <v>44196</v>
      </c>
      <c r="AB117" s="1" t="s">
        <v>1971</v>
      </c>
      <c r="AC117" s="1"/>
      <c r="AD117" s="1"/>
    </row>
    <row r="118" spans="1:30" hidden="1" x14ac:dyDescent="0.25">
      <c r="A118" s="1" t="s">
        <v>1398</v>
      </c>
      <c r="B118" s="1" t="s">
        <v>767</v>
      </c>
      <c r="C118" s="1" t="s">
        <v>1147</v>
      </c>
      <c r="D118" s="4">
        <v>43868</v>
      </c>
      <c r="E118" s="6">
        <v>49964</v>
      </c>
      <c r="F118" s="6"/>
      <c r="G118" s="6">
        <v>2172.3478260869565</v>
      </c>
      <c r="H118" s="1" t="s">
        <v>1133</v>
      </c>
      <c r="I118" s="1"/>
      <c r="J118" s="1"/>
      <c r="K118" s="1" t="s">
        <v>1133</v>
      </c>
      <c r="L118" s="1" t="s">
        <v>588</v>
      </c>
      <c r="M118" s="1" t="s">
        <v>917</v>
      </c>
      <c r="N118" s="1" t="s">
        <v>113</v>
      </c>
      <c r="O118" s="1"/>
      <c r="P118" s="1"/>
      <c r="Q118" s="2"/>
      <c r="R118" s="5">
        <v>43879.699594602011</v>
      </c>
      <c r="S118" s="4">
        <v>43881</v>
      </c>
      <c r="T118" s="4">
        <v>43903</v>
      </c>
      <c r="U118" s="1" t="s">
        <v>1956</v>
      </c>
      <c r="V118" s="5">
        <v>43892.654313206207</v>
      </c>
      <c r="W118" s="1" t="s">
        <v>1952</v>
      </c>
      <c r="X118" s="6">
        <v>49964</v>
      </c>
      <c r="Y118" s="1"/>
      <c r="Z118" s="4">
        <v>44196</v>
      </c>
      <c r="AA118" s="5">
        <v>44196</v>
      </c>
      <c r="AB118" s="1" t="s">
        <v>1971</v>
      </c>
      <c r="AC118" s="1"/>
      <c r="AD118" s="1"/>
    </row>
    <row r="119" spans="1:30" hidden="1" x14ac:dyDescent="0.25">
      <c r="A119" s="1" t="s">
        <v>1406</v>
      </c>
      <c r="B119" s="1" t="s">
        <v>822</v>
      </c>
      <c r="C119" s="1" t="s">
        <v>1081</v>
      </c>
      <c r="D119" s="4">
        <v>43867</v>
      </c>
      <c r="E119" s="6">
        <v>2999990</v>
      </c>
      <c r="F119" s="6"/>
      <c r="G119" s="6">
        <v>230768.46153846153</v>
      </c>
      <c r="H119" s="1" t="s">
        <v>1845</v>
      </c>
      <c r="I119" s="6">
        <v>400010</v>
      </c>
      <c r="J119" s="6">
        <v>0.11765</v>
      </c>
      <c r="K119" s="1"/>
      <c r="L119" s="1"/>
      <c r="M119" s="1"/>
      <c r="N119" s="1"/>
      <c r="O119" s="1"/>
      <c r="P119" s="1"/>
      <c r="Q119" s="2" t="str">
        <f>HYPERLINK("https://auction.openprocurement.org/tenders/7cef327a56bc4416baf60c39b34fd605")</f>
        <v>https://auction.openprocurement.org/tenders/7cef327a56bc4416baf60c39b34fd605</v>
      </c>
      <c r="R119" s="1"/>
      <c r="S119" s="1"/>
      <c r="T119" s="1"/>
      <c r="U119" s="1" t="s">
        <v>1972</v>
      </c>
      <c r="V119" s="5">
        <v>43886.679605162986</v>
      </c>
      <c r="W119" s="1"/>
      <c r="X119" s="1"/>
      <c r="Y119" s="4">
        <v>43890</v>
      </c>
      <c r="Z119" s="4">
        <v>44119</v>
      </c>
      <c r="AA119" s="1"/>
      <c r="AB119" s="1"/>
      <c r="AC119" s="1" t="s">
        <v>1808</v>
      </c>
      <c r="AD119" s="1"/>
    </row>
    <row r="120" spans="1:30" hidden="1" x14ac:dyDescent="0.25">
      <c r="A120" s="1" t="s">
        <v>1400</v>
      </c>
      <c r="B120" s="1" t="s">
        <v>810</v>
      </c>
      <c r="C120" s="1" t="s">
        <v>1081</v>
      </c>
      <c r="D120" s="4">
        <v>43866</v>
      </c>
      <c r="E120" s="6">
        <v>124107.1</v>
      </c>
      <c r="F120" s="6"/>
      <c r="G120" s="6">
        <v>124107.1</v>
      </c>
      <c r="H120" s="1" t="s">
        <v>1641</v>
      </c>
      <c r="I120" s="6">
        <v>892.89999999999418</v>
      </c>
      <c r="J120" s="6">
        <v>7.1431999999999538E-3</v>
      </c>
      <c r="K120" s="1" t="s">
        <v>1641</v>
      </c>
      <c r="L120" s="1" t="s">
        <v>719</v>
      </c>
      <c r="M120" s="1" t="s">
        <v>875</v>
      </c>
      <c r="N120" s="1" t="s">
        <v>164</v>
      </c>
      <c r="O120" s="6">
        <v>892.89999999999418</v>
      </c>
      <c r="P120" s="6">
        <v>7.1431999999999538E-3</v>
      </c>
      <c r="Q120" s="2" t="str">
        <f>HYPERLINK("https://auction.openprocurement.org/tenders/6fa3037901df47c3a3e11de7e7c2a3cd")</f>
        <v>https://auction.openprocurement.org/tenders/6fa3037901df47c3a3e11de7e7c2a3cd</v>
      </c>
      <c r="R120" s="5">
        <v>43886.511858178172</v>
      </c>
      <c r="S120" s="4">
        <v>43897</v>
      </c>
      <c r="T120" s="4">
        <v>43907</v>
      </c>
      <c r="U120" s="1" t="s">
        <v>1956</v>
      </c>
      <c r="V120" s="5">
        <v>43900.414517194273</v>
      </c>
      <c r="W120" s="1" t="s">
        <v>224</v>
      </c>
      <c r="X120" s="6">
        <v>124107.1</v>
      </c>
      <c r="Y120" s="1"/>
      <c r="Z120" s="4">
        <v>43951</v>
      </c>
      <c r="AA120" s="5">
        <v>44196</v>
      </c>
      <c r="AB120" s="1" t="s">
        <v>1971</v>
      </c>
      <c r="AC120" s="1"/>
      <c r="AD120" s="1"/>
    </row>
    <row r="121" spans="1:30" hidden="1" x14ac:dyDescent="0.25">
      <c r="A121" s="1" t="s">
        <v>1369</v>
      </c>
      <c r="B121" s="1" t="s">
        <v>808</v>
      </c>
      <c r="C121" s="1" t="s">
        <v>1081</v>
      </c>
      <c r="D121" s="4">
        <v>43866</v>
      </c>
      <c r="E121" s="6">
        <v>258440.49</v>
      </c>
      <c r="F121" s="6"/>
      <c r="G121" s="6">
        <v>258440.49</v>
      </c>
      <c r="H121" s="1" t="s">
        <v>1641</v>
      </c>
      <c r="I121" s="6">
        <v>1559.5100000000093</v>
      </c>
      <c r="J121" s="6">
        <v>5.9981153846154203E-3</v>
      </c>
      <c r="K121" s="1" t="s">
        <v>1641</v>
      </c>
      <c r="L121" s="1" t="s">
        <v>719</v>
      </c>
      <c r="M121" s="1" t="s">
        <v>875</v>
      </c>
      <c r="N121" s="1" t="s">
        <v>164</v>
      </c>
      <c r="O121" s="6">
        <v>1559.5100000000093</v>
      </c>
      <c r="P121" s="6">
        <v>5.9981153846154203E-3</v>
      </c>
      <c r="Q121" s="2" t="str">
        <f>HYPERLINK("https://auction.openprocurement.org/tenders/c180ea93c2f341408b8acd3b5c7ffd8a")</f>
        <v>https://auction.openprocurement.org/tenders/c180ea93c2f341408b8acd3b5c7ffd8a</v>
      </c>
      <c r="R121" s="5">
        <v>43886.482986672047</v>
      </c>
      <c r="S121" s="4">
        <v>43897</v>
      </c>
      <c r="T121" s="4">
        <v>43907</v>
      </c>
      <c r="U121" s="1" t="s">
        <v>1956</v>
      </c>
      <c r="V121" s="5">
        <v>43900.422559623927</v>
      </c>
      <c r="W121" s="1" t="s">
        <v>1952</v>
      </c>
      <c r="X121" s="6">
        <v>258440.49</v>
      </c>
      <c r="Y121" s="1"/>
      <c r="Z121" s="4">
        <v>43951</v>
      </c>
      <c r="AA121" s="5">
        <v>44196</v>
      </c>
      <c r="AB121" s="1" t="s">
        <v>1971</v>
      </c>
      <c r="AC121" s="1"/>
      <c r="AD121" s="1"/>
    </row>
    <row r="122" spans="1:30" hidden="1" x14ac:dyDescent="0.25">
      <c r="A122" s="1" t="s">
        <v>1481</v>
      </c>
      <c r="B122" s="1" t="s">
        <v>782</v>
      </c>
      <c r="C122" s="1" t="s">
        <v>1157</v>
      </c>
      <c r="D122" s="4">
        <v>43861</v>
      </c>
      <c r="E122" s="6">
        <v>99916</v>
      </c>
      <c r="F122" s="6"/>
      <c r="G122" s="6">
        <v>3.7113141668523886</v>
      </c>
      <c r="H122" s="1"/>
      <c r="I122" s="1"/>
      <c r="J122" s="1"/>
      <c r="K122" s="1" t="s">
        <v>1173</v>
      </c>
      <c r="L122" s="1" t="s">
        <v>231</v>
      </c>
      <c r="M122" s="1"/>
      <c r="N122" s="1" t="s">
        <v>26</v>
      </c>
      <c r="O122" s="1"/>
      <c r="P122" s="1"/>
      <c r="Q122" s="2"/>
      <c r="R122" s="1"/>
      <c r="S122" s="1"/>
      <c r="T122" s="1"/>
      <c r="U122" s="1" t="s">
        <v>1956</v>
      </c>
      <c r="V122" s="5">
        <v>43861.500815258609</v>
      </c>
      <c r="W122" s="1" t="s">
        <v>378</v>
      </c>
      <c r="X122" s="6">
        <v>99916</v>
      </c>
      <c r="Y122" s="4">
        <v>43831</v>
      </c>
      <c r="Z122" s="4">
        <v>44196</v>
      </c>
      <c r="AA122" s="5">
        <v>44196</v>
      </c>
      <c r="AB122" s="1" t="s">
        <v>1971</v>
      </c>
      <c r="AC122" s="1"/>
      <c r="AD122" s="1"/>
    </row>
    <row r="123" spans="1:30" hidden="1" x14ac:dyDescent="0.25">
      <c r="A123" s="1" t="s">
        <v>1433</v>
      </c>
      <c r="B123" s="1" t="s">
        <v>810</v>
      </c>
      <c r="C123" s="1" t="s">
        <v>1081</v>
      </c>
      <c r="D123" s="4">
        <v>43860</v>
      </c>
      <c r="E123" s="6">
        <v>49677.96</v>
      </c>
      <c r="F123" s="6"/>
      <c r="G123" s="6">
        <v>49677.96</v>
      </c>
      <c r="H123" s="1" t="s">
        <v>1849</v>
      </c>
      <c r="I123" s="6">
        <v>322.04000000000087</v>
      </c>
      <c r="J123" s="6">
        <v>6.4408000000000173E-3</v>
      </c>
      <c r="K123" s="1" t="s">
        <v>1849</v>
      </c>
      <c r="L123" s="1" t="s">
        <v>447</v>
      </c>
      <c r="M123" s="1" t="s">
        <v>915</v>
      </c>
      <c r="N123" s="1" t="s">
        <v>135</v>
      </c>
      <c r="O123" s="6">
        <v>322.04000000000087</v>
      </c>
      <c r="P123" s="6">
        <v>6.4408000000000173E-3</v>
      </c>
      <c r="Q123" s="2" t="str">
        <f>HYPERLINK("https://auction.openprocurement.org/tenders/810b65e7ba3348dda16fa8839917372c")</f>
        <v>https://auction.openprocurement.org/tenders/810b65e7ba3348dda16fa8839917372c</v>
      </c>
      <c r="R123" s="5">
        <v>43879.514361948786</v>
      </c>
      <c r="S123" s="4">
        <v>43890</v>
      </c>
      <c r="T123" s="4">
        <v>43900</v>
      </c>
      <c r="U123" s="1" t="s">
        <v>1956</v>
      </c>
      <c r="V123" s="5">
        <v>43892.458824232359</v>
      </c>
      <c r="W123" s="1" t="s">
        <v>215</v>
      </c>
      <c r="X123" s="6">
        <v>49677.96</v>
      </c>
      <c r="Y123" s="4">
        <v>43934</v>
      </c>
      <c r="Z123" s="4">
        <v>44135</v>
      </c>
      <c r="AA123" s="5">
        <v>44196</v>
      </c>
      <c r="AB123" s="1" t="s">
        <v>1971</v>
      </c>
      <c r="AC123" s="1"/>
      <c r="AD123" s="1"/>
    </row>
    <row r="124" spans="1:30" hidden="1" x14ac:dyDescent="0.25">
      <c r="A124" s="1" t="s">
        <v>1299</v>
      </c>
      <c r="B124" s="1" t="s">
        <v>785</v>
      </c>
      <c r="C124" s="1" t="s">
        <v>1157</v>
      </c>
      <c r="D124" s="4">
        <v>43859</v>
      </c>
      <c r="E124" s="6">
        <v>306000</v>
      </c>
      <c r="F124" s="6"/>
      <c r="G124" s="6">
        <v>306000</v>
      </c>
      <c r="H124" s="1"/>
      <c r="I124" s="1"/>
      <c r="J124" s="1"/>
      <c r="K124" s="1" t="s">
        <v>1904</v>
      </c>
      <c r="L124" s="1" t="s">
        <v>504</v>
      </c>
      <c r="M124" s="1"/>
      <c r="N124" s="1" t="s">
        <v>81</v>
      </c>
      <c r="O124" s="1"/>
      <c r="P124" s="1"/>
      <c r="Q124" s="2"/>
      <c r="R124" s="1"/>
      <c r="S124" s="1"/>
      <c r="T124" s="1"/>
      <c r="U124" s="1" t="s">
        <v>1956</v>
      </c>
      <c r="V124" s="5">
        <v>43859.522898622949</v>
      </c>
      <c r="W124" s="1" t="s">
        <v>1952</v>
      </c>
      <c r="X124" s="6">
        <v>306000</v>
      </c>
      <c r="Y124" s="4">
        <v>43831</v>
      </c>
      <c r="Z124" s="4">
        <v>44196</v>
      </c>
      <c r="AA124" s="5">
        <v>44196</v>
      </c>
      <c r="AB124" s="1" t="s">
        <v>1971</v>
      </c>
      <c r="AC124" s="1"/>
      <c r="AD124" s="1"/>
    </row>
    <row r="125" spans="1:30" hidden="1" x14ac:dyDescent="0.25">
      <c r="A125" s="1" t="s">
        <v>1299</v>
      </c>
      <c r="B125" s="1" t="s">
        <v>785</v>
      </c>
      <c r="C125" s="1" t="s">
        <v>1157</v>
      </c>
      <c r="D125" s="4">
        <v>43859</v>
      </c>
      <c r="E125" s="6">
        <v>216000</v>
      </c>
      <c r="F125" s="6"/>
      <c r="G125" s="6">
        <v>216000</v>
      </c>
      <c r="H125" s="1"/>
      <c r="I125" s="1"/>
      <c r="J125" s="1"/>
      <c r="K125" s="1" t="s">
        <v>1904</v>
      </c>
      <c r="L125" s="1" t="s">
        <v>504</v>
      </c>
      <c r="M125" s="1"/>
      <c r="N125" s="1" t="s">
        <v>81</v>
      </c>
      <c r="O125" s="1"/>
      <c r="P125" s="1"/>
      <c r="Q125" s="2"/>
      <c r="R125" s="1"/>
      <c r="S125" s="1"/>
      <c r="T125" s="1"/>
      <c r="U125" s="1" t="s">
        <v>1956</v>
      </c>
      <c r="V125" s="5">
        <v>43859.510736938922</v>
      </c>
      <c r="W125" s="1" t="s">
        <v>1952</v>
      </c>
      <c r="X125" s="6">
        <v>216000</v>
      </c>
      <c r="Y125" s="4">
        <v>43831</v>
      </c>
      <c r="Z125" s="4">
        <v>44196</v>
      </c>
      <c r="AA125" s="5">
        <v>44196</v>
      </c>
      <c r="AB125" s="1" t="s">
        <v>1971</v>
      </c>
      <c r="AC125" s="1"/>
      <c r="AD125" s="1"/>
    </row>
    <row r="126" spans="1:30" hidden="1" x14ac:dyDescent="0.25">
      <c r="A126" s="1" t="s">
        <v>1299</v>
      </c>
      <c r="B126" s="1" t="s">
        <v>785</v>
      </c>
      <c r="C126" s="1" t="s">
        <v>1157</v>
      </c>
      <c r="D126" s="4">
        <v>43859</v>
      </c>
      <c r="E126" s="6">
        <v>108000</v>
      </c>
      <c r="F126" s="6"/>
      <c r="G126" s="6">
        <v>108000</v>
      </c>
      <c r="H126" s="1"/>
      <c r="I126" s="1"/>
      <c r="J126" s="1"/>
      <c r="K126" s="1" t="s">
        <v>1905</v>
      </c>
      <c r="L126" s="1" t="s">
        <v>499</v>
      </c>
      <c r="M126" s="1"/>
      <c r="N126" s="1" t="s">
        <v>134</v>
      </c>
      <c r="O126" s="1"/>
      <c r="P126" s="1"/>
      <c r="Q126" s="2"/>
      <c r="R126" s="1"/>
      <c r="S126" s="1"/>
      <c r="T126" s="1"/>
      <c r="U126" s="1" t="s">
        <v>1956</v>
      </c>
      <c r="V126" s="5">
        <v>43859.500100676632</v>
      </c>
      <c r="W126" s="1" t="s">
        <v>1952</v>
      </c>
      <c r="X126" s="6">
        <v>108000</v>
      </c>
      <c r="Y126" s="4">
        <v>43831</v>
      </c>
      <c r="Z126" s="4">
        <v>44196</v>
      </c>
      <c r="AA126" s="5">
        <v>44196</v>
      </c>
      <c r="AB126" s="1" t="s">
        <v>1971</v>
      </c>
      <c r="AC126" s="1"/>
      <c r="AD126" s="1"/>
    </row>
    <row r="127" spans="1:30" hidden="1" x14ac:dyDescent="0.25">
      <c r="A127" s="1" t="s">
        <v>1384</v>
      </c>
      <c r="B127" s="1" t="s">
        <v>808</v>
      </c>
      <c r="C127" s="1" t="s">
        <v>1147</v>
      </c>
      <c r="D127" s="4">
        <v>43852</v>
      </c>
      <c r="E127" s="6">
        <v>93459.47</v>
      </c>
      <c r="F127" s="6"/>
      <c r="G127" s="6">
        <v>93459.47</v>
      </c>
      <c r="H127" s="1" t="s">
        <v>1641</v>
      </c>
      <c r="I127" s="6">
        <v>140.52999999999884</v>
      </c>
      <c r="J127" s="6">
        <v>1.5013888888888766E-3</v>
      </c>
      <c r="K127" s="1" t="s">
        <v>1641</v>
      </c>
      <c r="L127" s="1" t="s">
        <v>719</v>
      </c>
      <c r="M127" s="1" t="s">
        <v>875</v>
      </c>
      <c r="N127" s="1" t="s">
        <v>164</v>
      </c>
      <c r="O127" s="6">
        <v>140.52999999999884</v>
      </c>
      <c r="P127" s="6">
        <v>1.5013888888888766E-3</v>
      </c>
      <c r="Q127" s="2"/>
      <c r="R127" s="5">
        <v>43860.471167923759</v>
      </c>
      <c r="S127" s="4">
        <v>43864</v>
      </c>
      <c r="T127" s="4">
        <v>43887</v>
      </c>
      <c r="U127" s="1" t="s">
        <v>1956</v>
      </c>
      <c r="V127" s="5">
        <v>43866.3869704522</v>
      </c>
      <c r="W127" s="1" t="s">
        <v>221</v>
      </c>
      <c r="X127" s="6">
        <v>93459.47</v>
      </c>
      <c r="Y127" s="1"/>
      <c r="Z127" s="4">
        <v>44135</v>
      </c>
      <c r="AA127" s="5">
        <v>44196</v>
      </c>
      <c r="AB127" s="1" t="s">
        <v>1971</v>
      </c>
      <c r="AC127" s="1"/>
      <c r="AD127" s="1"/>
    </row>
    <row r="128" spans="1:30" hidden="1" x14ac:dyDescent="0.25">
      <c r="A128" s="1" t="s">
        <v>1373</v>
      </c>
      <c r="B128" s="1" t="s">
        <v>810</v>
      </c>
      <c r="C128" s="1" t="s">
        <v>1081</v>
      </c>
      <c r="D128" s="4">
        <v>43852</v>
      </c>
      <c r="E128" s="6">
        <v>238263</v>
      </c>
      <c r="F128" s="6"/>
      <c r="G128" s="6">
        <v>238263</v>
      </c>
      <c r="H128" s="1" t="s">
        <v>1849</v>
      </c>
      <c r="I128" s="6">
        <v>1737</v>
      </c>
      <c r="J128" s="6">
        <v>7.2375E-3</v>
      </c>
      <c r="K128" s="1" t="s">
        <v>1849</v>
      </c>
      <c r="L128" s="1" t="s">
        <v>447</v>
      </c>
      <c r="M128" s="1" t="s">
        <v>915</v>
      </c>
      <c r="N128" s="1" t="s">
        <v>135</v>
      </c>
      <c r="O128" s="6">
        <v>1737</v>
      </c>
      <c r="P128" s="6">
        <v>7.2375E-3</v>
      </c>
      <c r="Q128" s="2" t="str">
        <f>HYPERLINK("https://auction.openprocurement.org/tenders/857f5ff3dbd64619921179800ae9e40b")</f>
        <v>https://auction.openprocurement.org/tenders/857f5ff3dbd64619921179800ae9e40b</v>
      </c>
      <c r="R128" s="5">
        <v>43872.45011249197</v>
      </c>
      <c r="S128" s="4">
        <v>43883</v>
      </c>
      <c r="T128" s="4">
        <v>43893</v>
      </c>
      <c r="U128" s="1" t="s">
        <v>1956</v>
      </c>
      <c r="V128" s="5">
        <v>43885.392193243024</v>
      </c>
      <c r="W128" s="1" t="s">
        <v>217</v>
      </c>
      <c r="X128" s="6">
        <v>238263</v>
      </c>
      <c r="Y128" s="1"/>
      <c r="Z128" s="4">
        <v>44104</v>
      </c>
      <c r="AA128" s="5">
        <v>44196</v>
      </c>
      <c r="AB128" s="1" t="s">
        <v>1971</v>
      </c>
      <c r="AC128" s="1"/>
      <c r="AD128" s="1"/>
    </row>
    <row r="129" spans="1:30" hidden="1" x14ac:dyDescent="0.25">
      <c r="A129" s="1" t="s">
        <v>1446</v>
      </c>
      <c r="B129" s="1" t="s">
        <v>834</v>
      </c>
      <c r="C129" s="1" t="s">
        <v>1081</v>
      </c>
      <c r="D129" s="4">
        <v>43852</v>
      </c>
      <c r="E129" s="6">
        <v>314478.7</v>
      </c>
      <c r="F129" s="6"/>
      <c r="G129" s="6">
        <v>314478.7</v>
      </c>
      <c r="H129" s="1" t="s">
        <v>1641</v>
      </c>
      <c r="I129" s="6">
        <v>1631.2999999999884</v>
      </c>
      <c r="J129" s="6">
        <v>5.1605453797728268E-3</v>
      </c>
      <c r="K129" s="1"/>
      <c r="L129" s="1"/>
      <c r="M129" s="1"/>
      <c r="N129" s="1"/>
      <c r="O129" s="1"/>
      <c r="P129" s="1"/>
      <c r="Q129" s="2" t="str">
        <f>HYPERLINK("https://auction.openprocurement.org/tenders/4252053321d34603a953f3f38e175b23")</f>
        <v>https://auction.openprocurement.org/tenders/4252053321d34603a953f3f38e175b23</v>
      </c>
      <c r="R129" s="5">
        <v>43871.689371768851</v>
      </c>
      <c r="S129" s="1"/>
      <c r="T129" s="1"/>
      <c r="U129" s="1" t="s">
        <v>1957</v>
      </c>
      <c r="V129" s="5">
        <v>43882.00119966318</v>
      </c>
      <c r="W129" s="1"/>
      <c r="X129" s="1"/>
      <c r="Y129" s="1"/>
      <c r="Z129" s="4">
        <v>43982</v>
      </c>
      <c r="AA129" s="1"/>
      <c r="AB129" s="1"/>
      <c r="AC129" s="1"/>
      <c r="AD129" s="1"/>
    </row>
    <row r="130" spans="1:30" hidden="1" x14ac:dyDescent="0.25">
      <c r="A130" s="1" t="s">
        <v>1362</v>
      </c>
      <c r="B130" s="1" t="s">
        <v>834</v>
      </c>
      <c r="C130" s="1" t="s">
        <v>1081</v>
      </c>
      <c r="D130" s="4">
        <v>43852</v>
      </c>
      <c r="E130" s="6">
        <v>177262.5</v>
      </c>
      <c r="F130" s="6"/>
      <c r="G130" s="6">
        <v>177262.5</v>
      </c>
      <c r="H130" s="1" t="s">
        <v>1641</v>
      </c>
      <c r="I130" s="6">
        <v>2737.5</v>
      </c>
      <c r="J130" s="6">
        <v>1.5208333333333334E-2</v>
      </c>
      <c r="K130" s="1" t="s">
        <v>1641</v>
      </c>
      <c r="L130" s="1" t="s">
        <v>719</v>
      </c>
      <c r="M130" s="1" t="s">
        <v>875</v>
      </c>
      <c r="N130" s="1" t="s">
        <v>164</v>
      </c>
      <c r="O130" s="6">
        <v>2737.5</v>
      </c>
      <c r="P130" s="6">
        <v>1.5208333333333334E-2</v>
      </c>
      <c r="Q130" s="2" t="str">
        <f>HYPERLINK("https://auction.openprocurement.org/tenders/6de42af730d64dc79a41dacb72daa555")</f>
        <v>https://auction.openprocurement.org/tenders/6de42af730d64dc79a41dacb72daa555</v>
      </c>
      <c r="R130" s="5">
        <v>43878.499896066911</v>
      </c>
      <c r="S130" s="4">
        <v>43889</v>
      </c>
      <c r="T130" s="4">
        <v>43899</v>
      </c>
      <c r="U130" s="1" t="s">
        <v>1956</v>
      </c>
      <c r="V130" s="5">
        <v>43889.38335943524</v>
      </c>
      <c r="W130" s="1" t="s">
        <v>440</v>
      </c>
      <c r="X130" s="6">
        <v>177262.5</v>
      </c>
      <c r="Y130" s="1"/>
      <c r="Z130" s="4">
        <v>43982</v>
      </c>
      <c r="AA130" s="5">
        <v>44196</v>
      </c>
      <c r="AB130" s="1" t="s">
        <v>1971</v>
      </c>
      <c r="AC130" s="1"/>
      <c r="AD130" s="1"/>
    </row>
    <row r="131" spans="1:30" hidden="1" x14ac:dyDescent="0.25">
      <c r="A131" s="1" t="s">
        <v>1249</v>
      </c>
      <c r="B131" s="1" t="s">
        <v>733</v>
      </c>
      <c r="C131" s="1" t="s">
        <v>1081</v>
      </c>
      <c r="D131" s="4">
        <v>43850</v>
      </c>
      <c r="E131" s="6">
        <v>75000</v>
      </c>
      <c r="F131" s="6"/>
      <c r="G131" s="6">
        <v>37500</v>
      </c>
      <c r="H131" s="1" t="s">
        <v>1869</v>
      </c>
      <c r="I131" s="6">
        <v>18000</v>
      </c>
      <c r="J131" s="6">
        <v>0.19354838709677419</v>
      </c>
      <c r="K131" s="1" t="s">
        <v>1849</v>
      </c>
      <c r="L131" s="1" t="s">
        <v>447</v>
      </c>
      <c r="M131" s="1" t="s">
        <v>915</v>
      </c>
      <c r="N131" s="1" t="s">
        <v>135</v>
      </c>
      <c r="O131" s="6">
        <v>4240</v>
      </c>
      <c r="P131" s="6">
        <v>4.5591397849462367E-2</v>
      </c>
      <c r="Q131" s="2" t="str">
        <f>HYPERLINK("https://auction.openprocurement.org/tenders/989c6eee22834c1ea3c0c1ce77e33f0b")</f>
        <v>https://auction.openprocurement.org/tenders/989c6eee22834c1ea3c0c1ce77e33f0b</v>
      </c>
      <c r="R131" s="5">
        <v>43868.66101461884</v>
      </c>
      <c r="S131" s="4">
        <v>43879</v>
      </c>
      <c r="T131" s="4">
        <v>43889</v>
      </c>
      <c r="U131" s="1" t="s">
        <v>1956</v>
      </c>
      <c r="V131" s="5">
        <v>43879.551163588818</v>
      </c>
      <c r="W131" s="1" t="s">
        <v>216</v>
      </c>
      <c r="X131" s="6">
        <v>88760</v>
      </c>
      <c r="Y131" s="1"/>
      <c r="Z131" s="4">
        <v>43889</v>
      </c>
      <c r="AA131" s="5">
        <v>44196</v>
      </c>
      <c r="AB131" s="1" t="s">
        <v>1971</v>
      </c>
      <c r="AC131" s="1"/>
      <c r="AD131" s="1"/>
    </row>
    <row r="132" spans="1:30" hidden="1" x14ac:dyDescent="0.25">
      <c r="A132" s="1" t="s">
        <v>1617</v>
      </c>
      <c r="B132" s="1" t="s">
        <v>731</v>
      </c>
      <c r="C132" s="1" t="s">
        <v>1081</v>
      </c>
      <c r="D132" s="4">
        <v>43850</v>
      </c>
      <c r="E132" s="6">
        <v>601000</v>
      </c>
      <c r="F132" s="6"/>
      <c r="G132" s="6">
        <v>1202</v>
      </c>
      <c r="H132" s="1" t="s">
        <v>1869</v>
      </c>
      <c r="I132" s="6">
        <v>9000</v>
      </c>
      <c r="J132" s="6">
        <v>1.4754098360655738E-2</v>
      </c>
      <c r="K132" s="1" t="s">
        <v>1869</v>
      </c>
      <c r="L132" s="1" t="s">
        <v>494</v>
      </c>
      <c r="M132" s="1" t="s">
        <v>953</v>
      </c>
      <c r="N132" s="1" t="s">
        <v>118</v>
      </c>
      <c r="O132" s="6">
        <v>9000</v>
      </c>
      <c r="P132" s="6">
        <v>1.4754098360655738E-2</v>
      </c>
      <c r="Q132" s="2" t="str">
        <f>HYPERLINK("https://auction.openprocurement.org/tenders/63f0af6f3cd844bdae1e7d4e96ed50d7")</f>
        <v>https://auction.openprocurement.org/tenders/63f0af6f3cd844bdae1e7d4e96ed50d7</v>
      </c>
      <c r="R132" s="5">
        <v>43868.598544943619</v>
      </c>
      <c r="S132" s="4">
        <v>43879</v>
      </c>
      <c r="T132" s="4">
        <v>43889</v>
      </c>
      <c r="U132" s="1" t="s">
        <v>1956</v>
      </c>
      <c r="V132" s="5">
        <v>43879.545680617499</v>
      </c>
      <c r="W132" s="1" t="s">
        <v>225</v>
      </c>
      <c r="X132" s="6">
        <v>601000</v>
      </c>
      <c r="Y132" s="1"/>
      <c r="Z132" s="4">
        <v>43889</v>
      </c>
      <c r="AA132" s="5">
        <v>44196</v>
      </c>
      <c r="AB132" s="1" t="s">
        <v>1971</v>
      </c>
      <c r="AC132" s="1"/>
      <c r="AD132" s="1"/>
    </row>
    <row r="133" spans="1:30" hidden="1" x14ac:dyDescent="0.25">
      <c r="A133" s="1" t="s">
        <v>1432</v>
      </c>
      <c r="B133" s="1" t="s">
        <v>834</v>
      </c>
      <c r="C133" s="1" t="s">
        <v>1157</v>
      </c>
      <c r="D133" s="4">
        <v>43847</v>
      </c>
      <c r="E133" s="6">
        <v>111331.06</v>
      </c>
      <c r="F133" s="6"/>
      <c r="G133" s="6">
        <v>111331.06</v>
      </c>
      <c r="H133" s="1"/>
      <c r="I133" s="1"/>
      <c r="J133" s="1"/>
      <c r="K133" s="1" t="s">
        <v>1174</v>
      </c>
      <c r="L133" s="1" t="s">
        <v>568</v>
      </c>
      <c r="M133" s="1"/>
      <c r="N133" s="1" t="s">
        <v>278</v>
      </c>
      <c r="O133" s="1"/>
      <c r="P133" s="1"/>
      <c r="Q133" s="2"/>
      <c r="R133" s="1"/>
      <c r="S133" s="1"/>
      <c r="T133" s="1"/>
      <c r="U133" s="1" t="s">
        <v>1956</v>
      </c>
      <c r="V133" s="5">
        <v>43847.553705656137</v>
      </c>
      <c r="W133" s="1" t="s">
        <v>1227</v>
      </c>
      <c r="X133" s="6">
        <v>111331.06</v>
      </c>
      <c r="Y133" s="4">
        <v>43831</v>
      </c>
      <c r="Z133" s="4">
        <v>44196</v>
      </c>
      <c r="AA133" s="5">
        <v>44196</v>
      </c>
      <c r="AB133" s="1" t="s">
        <v>1971</v>
      </c>
      <c r="AC133" s="1"/>
      <c r="AD133" s="1"/>
    </row>
    <row r="134" spans="1:30" hidden="1" x14ac:dyDescent="0.25">
      <c r="A134" s="1" t="s">
        <v>1484</v>
      </c>
      <c r="B134" s="1" t="s">
        <v>775</v>
      </c>
      <c r="C134" s="1" t="s">
        <v>1147</v>
      </c>
      <c r="D134" s="4">
        <v>43846</v>
      </c>
      <c r="E134" s="6">
        <v>99174.74</v>
      </c>
      <c r="F134" s="6"/>
      <c r="G134" s="6">
        <v>99174.74</v>
      </c>
      <c r="H134" s="1" t="s">
        <v>1641</v>
      </c>
      <c r="I134" s="6">
        <v>473.25999999999476</v>
      </c>
      <c r="J134" s="6">
        <v>4.7493175979447131E-3</v>
      </c>
      <c r="K134" s="1" t="s">
        <v>1641</v>
      </c>
      <c r="L134" s="1" t="s">
        <v>719</v>
      </c>
      <c r="M134" s="1" t="s">
        <v>875</v>
      </c>
      <c r="N134" s="1" t="s">
        <v>164</v>
      </c>
      <c r="O134" s="6">
        <v>473.25999999999476</v>
      </c>
      <c r="P134" s="6">
        <v>4.7493175979447131E-3</v>
      </c>
      <c r="Q134" s="2"/>
      <c r="R134" s="5">
        <v>43854.524140548565</v>
      </c>
      <c r="S134" s="4">
        <v>43858</v>
      </c>
      <c r="T134" s="4">
        <v>43881</v>
      </c>
      <c r="U134" s="1" t="s">
        <v>1956</v>
      </c>
      <c r="V134" s="5">
        <v>43860.740759171262</v>
      </c>
      <c r="W134" s="1" t="s">
        <v>208</v>
      </c>
      <c r="X134" s="6">
        <v>99174.74</v>
      </c>
      <c r="Y134" s="1"/>
      <c r="Z134" s="4">
        <v>44196</v>
      </c>
      <c r="AA134" s="5">
        <v>44196</v>
      </c>
      <c r="AB134" s="1" t="s">
        <v>1971</v>
      </c>
      <c r="AC134" s="1"/>
      <c r="AD134" s="1"/>
    </row>
    <row r="135" spans="1:30" hidden="1" x14ac:dyDescent="0.25">
      <c r="A135" s="1" t="s">
        <v>1372</v>
      </c>
      <c r="B135" s="1" t="s">
        <v>794</v>
      </c>
      <c r="C135" s="1" t="s">
        <v>1157</v>
      </c>
      <c r="D135" s="4">
        <v>43846</v>
      </c>
      <c r="E135" s="6">
        <v>4800</v>
      </c>
      <c r="F135" s="6"/>
      <c r="G135" s="6">
        <v>4800</v>
      </c>
      <c r="H135" s="1"/>
      <c r="I135" s="1"/>
      <c r="J135" s="1"/>
      <c r="K135" s="1" t="s">
        <v>1755</v>
      </c>
      <c r="L135" s="1" t="s">
        <v>619</v>
      </c>
      <c r="M135" s="1"/>
      <c r="N135" s="1" t="s">
        <v>248</v>
      </c>
      <c r="O135" s="1"/>
      <c r="P135" s="1"/>
      <c r="Q135" s="2"/>
      <c r="R135" s="1"/>
      <c r="S135" s="1"/>
      <c r="T135" s="1"/>
      <c r="U135" s="1" t="s">
        <v>1956</v>
      </c>
      <c r="V135" s="5">
        <v>43846.44706096733</v>
      </c>
      <c r="W135" s="1" t="s">
        <v>444</v>
      </c>
      <c r="X135" s="6">
        <v>4800</v>
      </c>
      <c r="Y135" s="4">
        <v>43831</v>
      </c>
      <c r="Z135" s="4">
        <v>44196</v>
      </c>
      <c r="AA135" s="5">
        <v>44196</v>
      </c>
      <c r="AB135" s="1" t="s">
        <v>1971</v>
      </c>
      <c r="AC135" s="1"/>
      <c r="AD135" s="1"/>
    </row>
    <row r="136" spans="1:30" hidden="1" x14ac:dyDescent="0.25">
      <c r="A136" s="1" t="s">
        <v>1429</v>
      </c>
      <c r="B136" s="1" t="s">
        <v>817</v>
      </c>
      <c r="C136" s="1" t="s">
        <v>1082</v>
      </c>
      <c r="D136" s="4">
        <v>43846</v>
      </c>
      <c r="E136" s="6">
        <v>4846074</v>
      </c>
      <c r="F136" s="6"/>
      <c r="G136" s="6">
        <v>484607.4</v>
      </c>
      <c r="H136" s="1" t="s">
        <v>1681</v>
      </c>
      <c r="I136" s="6">
        <v>24356</v>
      </c>
      <c r="J136" s="6">
        <v>5.0007904846184016E-3</v>
      </c>
      <c r="K136" s="1" t="s">
        <v>1681</v>
      </c>
      <c r="L136" s="1" t="s">
        <v>697</v>
      </c>
      <c r="M136" s="1" t="s">
        <v>899</v>
      </c>
      <c r="N136" s="1" t="s">
        <v>150</v>
      </c>
      <c r="O136" s="6">
        <v>24356</v>
      </c>
      <c r="P136" s="6">
        <v>5.0007904846184016E-3</v>
      </c>
      <c r="Q136" s="2" t="str">
        <f>HYPERLINK("https://auction.openprocurement.org/tenders/ad6b8fdc30be4f029bcc5e88f5bde762")</f>
        <v>https://auction.openprocurement.org/tenders/ad6b8fdc30be4f029bcc5e88f5bde762</v>
      </c>
      <c r="R136" s="5">
        <v>43885.651958373855</v>
      </c>
      <c r="S136" s="4">
        <v>43896</v>
      </c>
      <c r="T136" s="4">
        <v>43906</v>
      </c>
      <c r="U136" s="1" t="s">
        <v>1956</v>
      </c>
      <c r="V136" s="5">
        <v>43896.460725977857</v>
      </c>
      <c r="W136" s="1" t="s">
        <v>1952</v>
      </c>
      <c r="X136" s="6">
        <v>4846074</v>
      </c>
      <c r="Y136" s="4">
        <v>43891</v>
      </c>
      <c r="Z136" s="4">
        <v>44196</v>
      </c>
      <c r="AA136" s="5">
        <v>44196</v>
      </c>
      <c r="AB136" s="1" t="s">
        <v>1971</v>
      </c>
      <c r="AC136" s="1"/>
      <c r="AD136" s="1"/>
    </row>
    <row r="137" spans="1:30" hidden="1" x14ac:dyDescent="0.25">
      <c r="A137" s="1" t="s">
        <v>1439</v>
      </c>
      <c r="B137" s="1" t="s">
        <v>752</v>
      </c>
      <c r="C137" s="1" t="s">
        <v>1147</v>
      </c>
      <c r="D137" s="4">
        <v>43846</v>
      </c>
      <c r="E137" s="6">
        <v>26023.52</v>
      </c>
      <c r="F137" s="6"/>
      <c r="G137" s="6">
        <v>26023.52</v>
      </c>
      <c r="H137" s="1" t="s">
        <v>1859</v>
      </c>
      <c r="I137" s="6">
        <v>476.47999999999956</v>
      </c>
      <c r="J137" s="6">
        <v>1.7980377358490549E-2</v>
      </c>
      <c r="K137" s="1" t="s">
        <v>1859</v>
      </c>
      <c r="L137" s="1" t="s">
        <v>466</v>
      </c>
      <c r="M137" s="1" t="s">
        <v>873</v>
      </c>
      <c r="N137" s="1" t="s">
        <v>147</v>
      </c>
      <c r="O137" s="6">
        <v>476.47999999999956</v>
      </c>
      <c r="P137" s="6">
        <v>1.7980377358490549E-2</v>
      </c>
      <c r="Q137" s="2"/>
      <c r="R137" s="5">
        <v>43854.522564399631</v>
      </c>
      <c r="S137" s="4">
        <v>43858</v>
      </c>
      <c r="T137" s="4">
        <v>43881</v>
      </c>
      <c r="U137" s="1" t="s">
        <v>1956</v>
      </c>
      <c r="V137" s="5">
        <v>43859.448160149026</v>
      </c>
      <c r="W137" s="1" t="s">
        <v>1952</v>
      </c>
      <c r="X137" s="6">
        <v>26023.52</v>
      </c>
      <c r="Y137" s="1"/>
      <c r="Z137" s="4">
        <v>43889</v>
      </c>
      <c r="AA137" s="5">
        <v>44196</v>
      </c>
      <c r="AB137" s="1" t="s">
        <v>1971</v>
      </c>
      <c r="AC137" s="1"/>
      <c r="AD137" s="1"/>
    </row>
    <row r="138" spans="1:30" hidden="1" x14ac:dyDescent="0.25">
      <c r="A138" s="1" t="s">
        <v>1515</v>
      </c>
      <c r="B138" s="1" t="s">
        <v>751</v>
      </c>
      <c r="C138" s="1" t="s">
        <v>1081</v>
      </c>
      <c r="D138" s="4">
        <v>43845</v>
      </c>
      <c r="E138" s="6">
        <v>146900</v>
      </c>
      <c r="F138" s="6"/>
      <c r="G138" s="6">
        <v>146900</v>
      </c>
      <c r="H138" s="1" t="s">
        <v>1680</v>
      </c>
      <c r="I138" s="6">
        <v>13100</v>
      </c>
      <c r="J138" s="6">
        <v>8.1875000000000003E-2</v>
      </c>
      <c r="K138" s="1" t="s">
        <v>1859</v>
      </c>
      <c r="L138" s="1" t="s">
        <v>466</v>
      </c>
      <c r="M138" s="1" t="s">
        <v>873</v>
      </c>
      <c r="N138" s="1" t="s">
        <v>147</v>
      </c>
      <c r="O138" s="6">
        <v>13000</v>
      </c>
      <c r="P138" s="6">
        <v>8.1250000000000003E-2</v>
      </c>
      <c r="Q138" s="2" t="str">
        <f>HYPERLINK("https://auction.openprocurement.org/tenders/e5cdfbac84f14bb4bf0c692557686996")</f>
        <v>https://auction.openprocurement.org/tenders/e5cdfbac84f14bb4bf0c692557686996</v>
      </c>
      <c r="R138" s="5">
        <v>43864.684683940402</v>
      </c>
      <c r="S138" s="4">
        <v>43875</v>
      </c>
      <c r="T138" s="4">
        <v>43885</v>
      </c>
      <c r="U138" s="1" t="s">
        <v>1956</v>
      </c>
      <c r="V138" s="5">
        <v>43875.397755899503</v>
      </c>
      <c r="W138" s="1" t="s">
        <v>1952</v>
      </c>
      <c r="X138" s="6">
        <v>147000</v>
      </c>
      <c r="Y138" s="1"/>
      <c r="Z138" s="4">
        <v>43921</v>
      </c>
      <c r="AA138" s="5">
        <v>44196</v>
      </c>
      <c r="AB138" s="1" t="s">
        <v>1971</v>
      </c>
      <c r="AC138" s="1"/>
      <c r="AD138" s="1"/>
    </row>
    <row r="139" spans="1:30" hidden="1" x14ac:dyDescent="0.25">
      <c r="A139" s="1" t="s">
        <v>1440</v>
      </c>
      <c r="B139" s="1" t="s">
        <v>752</v>
      </c>
      <c r="C139" s="1" t="s">
        <v>1147</v>
      </c>
      <c r="D139" s="4">
        <v>43845</v>
      </c>
      <c r="E139" s="6">
        <v>18202.39</v>
      </c>
      <c r="F139" s="6"/>
      <c r="G139" s="6">
        <v>18202.39</v>
      </c>
      <c r="H139" s="1" t="s">
        <v>1859</v>
      </c>
      <c r="I139" s="6">
        <v>97.610000000000582</v>
      </c>
      <c r="J139" s="6">
        <v>5.3338797814207967E-3</v>
      </c>
      <c r="K139" s="1" t="s">
        <v>1859</v>
      </c>
      <c r="L139" s="1" t="s">
        <v>466</v>
      </c>
      <c r="M139" s="1" t="s">
        <v>873</v>
      </c>
      <c r="N139" s="1" t="s">
        <v>147</v>
      </c>
      <c r="O139" s="6">
        <v>97.610000000000582</v>
      </c>
      <c r="P139" s="6">
        <v>5.3338797814207967E-3</v>
      </c>
      <c r="Q139" s="2"/>
      <c r="R139" s="5">
        <v>43853.516401776804</v>
      </c>
      <c r="S139" s="4">
        <v>43857</v>
      </c>
      <c r="T139" s="4">
        <v>43880</v>
      </c>
      <c r="U139" s="1" t="s">
        <v>1956</v>
      </c>
      <c r="V139" s="5">
        <v>43859.427779129968</v>
      </c>
      <c r="W139" s="1" t="s">
        <v>1952</v>
      </c>
      <c r="X139" s="6">
        <v>18202.39</v>
      </c>
      <c r="Y139" s="1"/>
      <c r="Z139" s="4">
        <v>43889</v>
      </c>
      <c r="AA139" s="5">
        <v>44196</v>
      </c>
      <c r="AB139" s="1" t="s">
        <v>1971</v>
      </c>
      <c r="AC139" s="1"/>
      <c r="AD139" s="1"/>
    </row>
    <row r="140" spans="1:30" hidden="1" x14ac:dyDescent="0.25">
      <c r="A140" s="1" t="s">
        <v>1441</v>
      </c>
      <c r="B140" s="1" t="s">
        <v>752</v>
      </c>
      <c r="C140" s="1" t="s">
        <v>1147</v>
      </c>
      <c r="D140" s="4">
        <v>43845</v>
      </c>
      <c r="E140" s="6">
        <v>27497.26</v>
      </c>
      <c r="F140" s="6"/>
      <c r="G140" s="6">
        <v>27497.26</v>
      </c>
      <c r="H140" s="1" t="s">
        <v>1859</v>
      </c>
      <c r="I140" s="6">
        <v>502.7400000000016</v>
      </c>
      <c r="J140" s="6">
        <v>1.7955000000000058E-2</v>
      </c>
      <c r="K140" s="1" t="s">
        <v>1859</v>
      </c>
      <c r="L140" s="1" t="s">
        <v>466</v>
      </c>
      <c r="M140" s="1" t="s">
        <v>873</v>
      </c>
      <c r="N140" s="1" t="s">
        <v>147</v>
      </c>
      <c r="O140" s="6">
        <v>502.7400000000016</v>
      </c>
      <c r="P140" s="6">
        <v>1.7955000000000058E-2</v>
      </c>
      <c r="Q140" s="2"/>
      <c r="R140" s="5">
        <v>43853.515663168539</v>
      </c>
      <c r="S140" s="4">
        <v>43857</v>
      </c>
      <c r="T140" s="4">
        <v>43880</v>
      </c>
      <c r="U140" s="1" t="s">
        <v>1956</v>
      </c>
      <c r="V140" s="5">
        <v>43859.441045614876</v>
      </c>
      <c r="W140" s="1" t="s">
        <v>1952</v>
      </c>
      <c r="X140" s="6">
        <v>27497.26</v>
      </c>
      <c r="Y140" s="1"/>
      <c r="Z140" s="4">
        <v>43889</v>
      </c>
      <c r="AA140" s="5">
        <v>44196</v>
      </c>
      <c r="AB140" s="1" t="s">
        <v>1971</v>
      </c>
      <c r="AC140" s="1"/>
      <c r="AD140" s="1"/>
    </row>
    <row r="141" spans="1:30" hidden="1" x14ac:dyDescent="0.25">
      <c r="A141" s="1" t="s">
        <v>1405</v>
      </c>
      <c r="B141" s="1" t="s">
        <v>822</v>
      </c>
      <c r="C141" s="1" t="s">
        <v>1081</v>
      </c>
      <c r="D141" s="4">
        <v>43844</v>
      </c>
      <c r="E141" s="6">
        <v>3395000</v>
      </c>
      <c r="F141" s="6"/>
      <c r="G141" s="6">
        <v>261153.84615384616</v>
      </c>
      <c r="H141" s="1" t="s">
        <v>1656</v>
      </c>
      <c r="I141" s="6">
        <v>5000</v>
      </c>
      <c r="J141" s="6">
        <v>1.4705882352941176E-3</v>
      </c>
      <c r="K141" s="1"/>
      <c r="L141" s="1"/>
      <c r="M141" s="1"/>
      <c r="N141" s="1"/>
      <c r="O141" s="1"/>
      <c r="P141" s="1"/>
      <c r="Q141" s="2" t="str">
        <f>HYPERLINK("https://auction.openprocurement.org/tenders/7cc15a59fccf4fd79e3cd9e73e7dae35")</f>
        <v>https://auction.openprocurement.org/tenders/7cc15a59fccf4fd79e3cd9e73e7dae35</v>
      </c>
      <c r="R141" s="5">
        <v>43866.700312354158</v>
      </c>
      <c r="S141" s="1"/>
      <c r="T141" s="1"/>
      <c r="U141" s="1" t="s">
        <v>1957</v>
      </c>
      <c r="V141" s="5">
        <v>43877.003320797754</v>
      </c>
      <c r="W141" s="1"/>
      <c r="X141" s="1"/>
      <c r="Y141" s="4">
        <v>43890</v>
      </c>
      <c r="Z141" s="4">
        <v>44119</v>
      </c>
      <c r="AA141" s="1"/>
      <c r="AB141" s="1"/>
      <c r="AC141" s="1"/>
      <c r="AD141" s="1"/>
    </row>
    <row r="142" spans="1:30" hidden="1" x14ac:dyDescent="0.25">
      <c r="A142" s="1" t="s">
        <v>1249</v>
      </c>
      <c r="B142" s="1" t="s">
        <v>733</v>
      </c>
      <c r="C142" s="1" t="s">
        <v>1081</v>
      </c>
      <c r="D142" s="4">
        <v>43844</v>
      </c>
      <c r="E142" s="6">
        <v>930000</v>
      </c>
      <c r="F142" s="6"/>
      <c r="G142" s="6">
        <v>310000</v>
      </c>
      <c r="H142" s="1" t="s">
        <v>1643</v>
      </c>
      <c r="I142" s="6">
        <v>70000</v>
      </c>
      <c r="J142" s="6">
        <v>7.0000000000000007E-2</v>
      </c>
      <c r="K142" s="1" t="s">
        <v>1869</v>
      </c>
      <c r="L142" s="1" t="s">
        <v>494</v>
      </c>
      <c r="M142" s="1" t="s">
        <v>953</v>
      </c>
      <c r="N142" s="1" t="s">
        <v>118</v>
      </c>
      <c r="O142" s="6">
        <v>6000</v>
      </c>
      <c r="P142" s="6">
        <v>6.0000000000000001E-3</v>
      </c>
      <c r="Q142" s="2" t="str">
        <f>HYPERLINK("https://auction.openprocurement.org/tenders/314cf5d60f114b1487c663cbbe86886b")</f>
        <v>https://auction.openprocurement.org/tenders/314cf5d60f114b1487c663cbbe86886b</v>
      </c>
      <c r="R142" s="5">
        <v>43864.502950586473</v>
      </c>
      <c r="S142" s="4">
        <v>43875</v>
      </c>
      <c r="T142" s="4">
        <v>43885</v>
      </c>
      <c r="U142" s="1" t="s">
        <v>1956</v>
      </c>
      <c r="V142" s="5">
        <v>43902.525837283625</v>
      </c>
      <c r="W142" s="1" t="s">
        <v>230</v>
      </c>
      <c r="X142" s="6">
        <v>994000</v>
      </c>
      <c r="Y142" s="1"/>
      <c r="Z142" s="4">
        <v>43900</v>
      </c>
      <c r="AA142" s="5">
        <v>44196</v>
      </c>
      <c r="AB142" s="1" t="s">
        <v>1971</v>
      </c>
      <c r="AC142" s="1"/>
      <c r="AD142" s="1"/>
    </row>
    <row r="143" spans="1:30" hidden="1" x14ac:dyDescent="0.25">
      <c r="A143" s="1" t="s">
        <v>1948</v>
      </c>
      <c r="B143" s="1" t="s">
        <v>813</v>
      </c>
      <c r="C143" s="1" t="s">
        <v>1157</v>
      </c>
      <c r="D143" s="4">
        <v>43843</v>
      </c>
      <c r="E143" s="6">
        <v>198000</v>
      </c>
      <c r="F143" s="6"/>
      <c r="G143" s="6">
        <v>198000</v>
      </c>
      <c r="H143" s="1"/>
      <c r="I143" s="1"/>
      <c r="J143" s="1"/>
      <c r="K143" s="1" t="s">
        <v>1757</v>
      </c>
      <c r="L143" s="1" t="s">
        <v>672</v>
      </c>
      <c r="M143" s="1"/>
      <c r="N143" s="1" t="s">
        <v>271</v>
      </c>
      <c r="O143" s="1"/>
      <c r="P143" s="1"/>
      <c r="Q143" s="2"/>
      <c r="R143" s="1"/>
      <c r="S143" s="1"/>
      <c r="T143" s="1"/>
      <c r="U143" s="1" t="s">
        <v>1956</v>
      </c>
      <c r="V143" s="5">
        <v>43843.642865342765</v>
      </c>
      <c r="W143" s="1" t="s">
        <v>1952</v>
      </c>
      <c r="X143" s="6">
        <v>198000</v>
      </c>
      <c r="Y143" s="4">
        <v>43831</v>
      </c>
      <c r="Z143" s="4">
        <v>44196</v>
      </c>
      <c r="AA143" s="5">
        <v>44196</v>
      </c>
      <c r="AB143" s="1" t="s">
        <v>1971</v>
      </c>
      <c r="AC143" s="1"/>
      <c r="AD143" s="1"/>
    </row>
    <row r="144" spans="1:30" hidden="1" x14ac:dyDescent="0.25">
      <c r="A144" s="1" t="s">
        <v>1383</v>
      </c>
      <c r="B144" s="1" t="s">
        <v>763</v>
      </c>
      <c r="C144" s="1" t="s">
        <v>1147</v>
      </c>
      <c r="D144" s="4">
        <v>43843</v>
      </c>
      <c r="E144" s="6">
        <v>64700</v>
      </c>
      <c r="F144" s="6"/>
      <c r="G144" s="6">
        <v>79.975278121137208</v>
      </c>
      <c r="H144" s="1" t="s">
        <v>1855</v>
      </c>
      <c r="I144" s="6">
        <v>5300</v>
      </c>
      <c r="J144" s="6">
        <v>7.571428571428572E-2</v>
      </c>
      <c r="K144" s="1" t="s">
        <v>1855</v>
      </c>
      <c r="L144" s="1" t="s">
        <v>446</v>
      </c>
      <c r="M144" s="1" t="s">
        <v>918</v>
      </c>
      <c r="N144" s="1" t="s">
        <v>145</v>
      </c>
      <c r="O144" s="6">
        <v>5300</v>
      </c>
      <c r="P144" s="6">
        <v>7.571428571428572E-2</v>
      </c>
      <c r="Q144" s="2"/>
      <c r="R144" s="5">
        <v>43850.646919726321</v>
      </c>
      <c r="S144" s="4">
        <v>43852</v>
      </c>
      <c r="T144" s="4">
        <v>43876</v>
      </c>
      <c r="U144" s="1" t="s">
        <v>1956</v>
      </c>
      <c r="V144" s="5">
        <v>43858.486362148389</v>
      </c>
      <c r="W144" s="1" t="s">
        <v>1952</v>
      </c>
      <c r="X144" s="6">
        <v>64700</v>
      </c>
      <c r="Y144" s="1"/>
      <c r="Z144" s="4">
        <v>44196</v>
      </c>
      <c r="AA144" s="5">
        <v>44196</v>
      </c>
      <c r="AB144" s="1" t="s">
        <v>1971</v>
      </c>
      <c r="AC144" s="1"/>
      <c r="AD144" s="1"/>
    </row>
    <row r="145" spans="1:30" hidden="1" x14ac:dyDescent="0.25">
      <c r="A145" s="1" t="s">
        <v>1150</v>
      </c>
      <c r="B145" s="1" t="s">
        <v>323</v>
      </c>
      <c r="C145" s="1" t="s">
        <v>1336</v>
      </c>
      <c r="D145" s="4">
        <v>43839</v>
      </c>
      <c r="E145" s="6">
        <v>999998.07</v>
      </c>
      <c r="F145" s="6"/>
      <c r="G145" s="6">
        <v>2.5896354045277272</v>
      </c>
      <c r="H145" s="1"/>
      <c r="I145" s="1"/>
      <c r="J145" s="1"/>
      <c r="K145" s="1" t="s">
        <v>1736</v>
      </c>
      <c r="L145" s="1" t="s">
        <v>716</v>
      </c>
      <c r="M145" s="1"/>
      <c r="N145" s="1" t="s">
        <v>273</v>
      </c>
      <c r="O145" s="1"/>
      <c r="P145" s="1"/>
      <c r="Q145" s="2"/>
      <c r="R145" s="1"/>
      <c r="S145" s="4">
        <v>43845</v>
      </c>
      <c r="T145" s="4">
        <v>43860</v>
      </c>
      <c r="U145" s="1" t="s">
        <v>1956</v>
      </c>
      <c r="V145" s="5">
        <v>43845.435866355823</v>
      </c>
      <c r="W145" s="1" t="s">
        <v>220</v>
      </c>
      <c r="X145" s="6">
        <v>999998.07</v>
      </c>
      <c r="Y145" s="4">
        <v>43831</v>
      </c>
      <c r="Z145" s="4">
        <v>44196</v>
      </c>
      <c r="AA145" s="5">
        <v>44196</v>
      </c>
      <c r="AB145" s="1" t="s">
        <v>1971</v>
      </c>
      <c r="AC145" s="1"/>
      <c r="AD145" s="1"/>
    </row>
    <row r="146" spans="1:30" x14ac:dyDescent="0.25">
      <c r="A146" s="1" t="s">
        <v>1138</v>
      </c>
      <c r="B146" s="1" t="s">
        <v>750</v>
      </c>
      <c r="C146" s="1" t="s">
        <v>1081</v>
      </c>
      <c r="D146" s="4">
        <v>43817</v>
      </c>
      <c r="E146" s="6">
        <v>174000</v>
      </c>
      <c r="F146" s="6"/>
      <c r="G146" s="6"/>
      <c r="H146" s="1"/>
      <c r="I146" s="6"/>
      <c r="J146" s="6"/>
      <c r="K146" s="1"/>
      <c r="L146" s="1"/>
      <c r="M146" s="1"/>
      <c r="N146" s="1"/>
      <c r="O146" s="6"/>
      <c r="P146" s="6"/>
      <c r="Q146" s="2"/>
      <c r="R146" s="5"/>
      <c r="S146" s="4"/>
      <c r="T146" s="4"/>
      <c r="U146" s="1"/>
      <c r="V146" s="5"/>
      <c r="W146" s="1"/>
      <c r="X146" s="6"/>
      <c r="Y146" s="1"/>
      <c r="Z146" s="4"/>
      <c r="AA146" s="5"/>
      <c r="AB146" s="1"/>
      <c r="AC146" s="1"/>
      <c r="AD146" s="1"/>
    </row>
    <row r="147" spans="1:30" x14ac:dyDescent="0.25">
      <c r="A147" s="1" t="s">
        <v>1139</v>
      </c>
      <c r="B147" s="1" t="s">
        <v>754</v>
      </c>
      <c r="C147" s="1" t="s">
        <v>1081</v>
      </c>
      <c r="D147" s="4">
        <v>43817</v>
      </c>
      <c r="E147" s="6">
        <v>138600</v>
      </c>
      <c r="F147" s="6"/>
      <c r="G147" s="6"/>
      <c r="H147" s="1"/>
      <c r="I147" s="6"/>
      <c r="J147" s="6"/>
      <c r="K147" s="1"/>
      <c r="L147" s="1"/>
      <c r="M147" s="1"/>
      <c r="N147" s="1"/>
      <c r="O147" s="6"/>
      <c r="P147" s="6"/>
      <c r="Q147" s="2"/>
      <c r="R147" s="5"/>
      <c r="S147" s="4"/>
      <c r="T147" s="4"/>
      <c r="U147" s="1"/>
      <c r="V147" s="5"/>
      <c r="W147" s="1"/>
      <c r="X147" s="6"/>
      <c r="Y147" s="1"/>
      <c r="Z147" s="4"/>
      <c r="AA147" s="5"/>
      <c r="AB147" s="1"/>
      <c r="AC147" s="1"/>
      <c r="AD147" s="1"/>
    </row>
    <row r="148" spans="1:30" hidden="1" x14ac:dyDescent="0.25">
      <c r="A148" s="1" t="s">
        <v>1555</v>
      </c>
      <c r="B148" s="1" t="s">
        <v>793</v>
      </c>
      <c r="C148" s="1" t="s">
        <v>1157</v>
      </c>
      <c r="D148" s="4">
        <v>43816</v>
      </c>
      <c r="E148" s="6">
        <v>474713.8</v>
      </c>
      <c r="F148" s="6"/>
      <c r="G148" s="6">
        <v>474713.8</v>
      </c>
      <c r="H148" s="1"/>
      <c r="I148" s="1"/>
      <c r="J148" s="1"/>
      <c r="K148" s="1" t="s">
        <v>1230</v>
      </c>
      <c r="L148" s="1" t="s">
        <v>443</v>
      </c>
      <c r="M148" s="1"/>
      <c r="N148" s="1" t="s">
        <v>24</v>
      </c>
      <c r="O148" s="1"/>
      <c r="P148" s="1"/>
      <c r="Q148" s="2"/>
      <c r="R148" s="1"/>
      <c r="S148" s="1"/>
      <c r="T148" s="1"/>
      <c r="U148" s="1" t="s">
        <v>1956</v>
      </c>
      <c r="V148" s="5">
        <v>43816.437401389412</v>
      </c>
      <c r="W148" s="1" t="s">
        <v>1952</v>
      </c>
      <c r="X148" s="6">
        <v>474713.8</v>
      </c>
      <c r="Y148" s="4">
        <v>43815</v>
      </c>
      <c r="Z148" s="4">
        <v>44196</v>
      </c>
      <c r="AA148" s="5">
        <v>44196</v>
      </c>
      <c r="AB148" s="1" t="s">
        <v>1971</v>
      </c>
      <c r="AC148" s="1"/>
      <c r="AD148" s="1"/>
    </row>
    <row r="149" spans="1:30" hidden="1" x14ac:dyDescent="0.25">
      <c r="A149" s="1" t="s">
        <v>1030</v>
      </c>
      <c r="B149" s="1" t="s">
        <v>788</v>
      </c>
      <c r="C149" s="1" t="s">
        <v>1157</v>
      </c>
      <c r="D149" s="4">
        <v>43816</v>
      </c>
      <c r="E149" s="6">
        <v>74250</v>
      </c>
      <c r="F149" s="6"/>
      <c r="G149" s="6">
        <v>74250</v>
      </c>
      <c r="H149" s="1"/>
      <c r="I149" s="1"/>
      <c r="J149" s="1"/>
      <c r="K149" s="1" t="s">
        <v>1306</v>
      </c>
      <c r="L149" s="1" t="s">
        <v>491</v>
      </c>
      <c r="M149" s="1"/>
      <c r="N149" s="1" t="s">
        <v>133</v>
      </c>
      <c r="O149" s="1"/>
      <c r="P149" s="1"/>
      <c r="Q149" s="2"/>
      <c r="R149" s="1"/>
      <c r="S149" s="1"/>
      <c r="T149" s="1"/>
      <c r="U149" s="1" t="s">
        <v>1956</v>
      </c>
      <c r="V149" s="5">
        <v>43816.417285543059</v>
      </c>
      <c r="W149" s="1" t="s">
        <v>1952</v>
      </c>
      <c r="X149" s="6">
        <v>74250</v>
      </c>
      <c r="Y149" s="4">
        <v>43815</v>
      </c>
      <c r="Z149" s="4">
        <v>44196</v>
      </c>
      <c r="AA149" s="5">
        <v>44196</v>
      </c>
      <c r="AB149" s="1" t="s">
        <v>1971</v>
      </c>
      <c r="AC149" s="1"/>
      <c r="AD149" s="1"/>
    </row>
    <row r="150" spans="1:30" hidden="1" x14ac:dyDescent="0.25">
      <c r="A150" s="1" t="s">
        <v>1380</v>
      </c>
      <c r="B150" s="1" t="s">
        <v>798</v>
      </c>
      <c r="C150" s="1" t="s">
        <v>1147</v>
      </c>
      <c r="D150" s="4">
        <v>43815</v>
      </c>
      <c r="E150" s="6">
        <v>83976</v>
      </c>
      <c r="F150" s="6"/>
      <c r="G150" s="6">
        <v>6998</v>
      </c>
      <c r="H150" s="1" t="s">
        <v>1718</v>
      </c>
      <c r="I150" s="1"/>
      <c r="J150" s="1"/>
      <c r="K150" s="1" t="s">
        <v>1718</v>
      </c>
      <c r="L150" s="1" t="s">
        <v>369</v>
      </c>
      <c r="M150" s="1" t="s">
        <v>926</v>
      </c>
      <c r="N150" s="1" t="s">
        <v>144</v>
      </c>
      <c r="O150" s="1"/>
      <c r="P150" s="1"/>
      <c r="Q150" s="2"/>
      <c r="R150" s="5">
        <v>43822.628481682179</v>
      </c>
      <c r="S150" s="4">
        <v>43825</v>
      </c>
      <c r="T150" s="4">
        <v>43848</v>
      </c>
      <c r="U150" s="1" t="s">
        <v>1956</v>
      </c>
      <c r="V150" s="5">
        <v>43826.690220521479</v>
      </c>
      <c r="W150" s="1" t="s">
        <v>400</v>
      </c>
      <c r="X150" s="6">
        <v>83976</v>
      </c>
      <c r="Y150" s="4">
        <v>43831</v>
      </c>
      <c r="Z150" s="4">
        <v>44196</v>
      </c>
      <c r="AA150" s="5">
        <v>44196</v>
      </c>
      <c r="AB150" s="1" t="s">
        <v>1971</v>
      </c>
      <c r="AC150" s="1"/>
      <c r="AD150" s="1"/>
    </row>
    <row r="151" spans="1:30" hidden="1" x14ac:dyDescent="0.25">
      <c r="A151" s="1" t="s">
        <v>1421</v>
      </c>
      <c r="B151" s="1" t="s">
        <v>817</v>
      </c>
      <c r="C151" s="1" t="s">
        <v>1082</v>
      </c>
      <c r="D151" s="4">
        <v>43812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2"/>
      <c r="R151" s="5">
        <v>43850.697519170564</v>
      </c>
      <c r="S151" s="1"/>
      <c r="T151" s="1"/>
      <c r="U151" s="1" t="s">
        <v>1957</v>
      </c>
      <c r="V151" s="5">
        <v>43850.000320866879</v>
      </c>
      <c r="W151" s="1"/>
      <c r="X151" s="1"/>
      <c r="Y151" s="4">
        <v>43862</v>
      </c>
      <c r="Z151" s="4">
        <v>44196</v>
      </c>
      <c r="AA151" s="1"/>
      <c r="AB151" s="1"/>
      <c r="AC151" s="1"/>
      <c r="AD151" s="1"/>
    </row>
    <row r="152" spans="1:30" x14ac:dyDescent="0.25">
      <c r="A152" s="1" t="s">
        <v>1422</v>
      </c>
      <c r="B152" s="1" t="s">
        <v>817</v>
      </c>
      <c r="C152" s="1" t="s">
        <v>1082</v>
      </c>
      <c r="D152" s="4">
        <v>43812</v>
      </c>
      <c r="E152" s="6">
        <v>1180767</v>
      </c>
      <c r="F152" s="6"/>
      <c r="G152" s="6"/>
      <c r="H152" s="1"/>
      <c r="I152" s="6"/>
      <c r="J152" s="6"/>
      <c r="K152" s="1"/>
      <c r="L152" s="1"/>
      <c r="M152" s="1"/>
      <c r="N152" s="1"/>
      <c r="O152" s="6"/>
      <c r="P152" s="6"/>
      <c r="Q152" s="2"/>
      <c r="R152" s="5"/>
      <c r="S152" s="4"/>
      <c r="T152" s="4"/>
      <c r="U152" s="1"/>
      <c r="V152" s="5"/>
      <c r="W152" s="1"/>
      <c r="X152" s="6"/>
      <c r="Y152" s="4"/>
      <c r="Z152" s="4"/>
      <c r="AA152" s="5"/>
      <c r="AB152" s="1"/>
      <c r="AC152" s="1"/>
      <c r="AD152" s="1"/>
    </row>
    <row r="153" spans="1:30" x14ac:dyDescent="0.25">
      <c r="A153" s="1" t="s">
        <v>1376</v>
      </c>
      <c r="B153" s="1" t="s">
        <v>841</v>
      </c>
      <c r="C153" s="1" t="s">
        <v>1081</v>
      </c>
      <c r="D153" s="4">
        <v>43812</v>
      </c>
      <c r="E153" s="6">
        <v>678000</v>
      </c>
      <c r="F153" s="6"/>
      <c r="G153" s="6"/>
      <c r="H153" s="1"/>
      <c r="I153" s="6"/>
      <c r="J153" s="6"/>
      <c r="K153" s="1"/>
      <c r="L153" s="1"/>
      <c r="M153" s="1"/>
      <c r="N153" s="1"/>
      <c r="O153" s="6"/>
      <c r="P153" s="6"/>
      <c r="Q153" s="2"/>
      <c r="R153" s="5"/>
      <c r="S153" s="4"/>
      <c r="T153" s="4"/>
      <c r="U153" s="1"/>
      <c r="V153" s="5"/>
      <c r="W153" s="1"/>
      <c r="X153" s="6"/>
      <c r="Y153" s="4"/>
      <c r="Z153" s="4"/>
      <c r="AA153" s="5"/>
      <c r="AB153" s="1"/>
      <c r="AC153" s="1"/>
      <c r="AD153" s="1"/>
    </row>
    <row r="154" spans="1:30" hidden="1" x14ac:dyDescent="0.25">
      <c r="A154" s="1" t="s">
        <v>1477</v>
      </c>
      <c r="B154" s="1" t="s">
        <v>789</v>
      </c>
      <c r="C154" s="1" t="s">
        <v>1147</v>
      </c>
      <c r="D154" s="4">
        <v>43810</v>
      </c>
      <c r="E154" s="6">
        <v>70000</v>
      </c>
      <c r="F154" s="6"/>
      <c r="G154" s="6">
        <v>70000</v>
      </c>
      <c r="H154" s="1" t="s">
        <v>1649</v>
      </c>
      <c r="I154" s="6">
        <v>35000</v>
      </c>
      <c r="J154" s="6">
        <v>0.33333333333333331</v>
      </c>
      <c r="K154" s="1" t="s">
        <v>1827</v>
      </c>
      <c r="L154" s="1" t="s">
        <v>536</v>
      </c>
      <c r="M154" s="1" t="s">
        <v>946</v>
      </c>
      <c r="N154" s="1" t="s">
        <v>159</v>
      </c>
      <c r="O154" s="6">
        <v>7000</v>
      </c>
      <c r="P154" s="6">
        <v>6.6666666666666666E-2</v>
      </c>
      <c r="Q154" s="2" t="str">
        <f>HYPERLINK("https://auction.openprocurement.org/tenders/94f3a6acf4064ecf8cbdc19b0807b20b")</f>
        <v>https://auction.openprocurement.org/tenders/94f3a6acf4064ecf8cbdc19b0807b20b</v>
      </c>
      <c r="R154" s="5">
        <v>43823.499670759331</v>
      </c>
      <c r="S154" s="4">
        <v>43826</v>
      </c>
      <c r="T154" s="4">
        <v>43845</v>
      </c>
      <c r="U154" s="1" t="s">
        <v>1956</v>
      </c>
      <c r="V154" s="5">
        <v>43826.689147901663</v>
      </c>
      <c r="W154" s="1" t="s">
        <v>1038</v>
      </c>
      <c r="X154" s="6">
        <v>98000</v>
      </c>
      <c r="Y154" s="1"/>
      <c r="Z154" s="4">
        <v>43861</v>
      </c>
      <c r="AA154" s="5">
        <v>44196</v>
      </c>
      <c r="AB154" s="1" t="s">
        <v>1971</v>
      </c>
      <c r="AC154" s="1"/>
      <c r="AD154" s="1"/>
    </row>
    <row r="155" spans="1:30" hidden="1" x14ac:dyDescent="0.25">
      <c r="A155" s="1" t="s">
        <v>1247</v>
      </c>
      <c r="B155" s="1" t="s">
        <v>733</v>
      </c>
      <c r="C155" s="1" t="s">
        <v>1147</v>
      </c>
      <c r="D155" s="4">
        <v>43809</v>
      </c>
      <c r="E155" s="6">
        <v>45750</v>
      </c>
      <c r="F155" s="6"/>
      <c r="G155" s="6">
        <v>45750</v>
      </c>
      <c r="H155" s="1" t="s">
        <v>1869</v>
      </c>
      <c r="I155" s="6">
        <v>750</v>
      </c>
      <c r="J155" s="6">
        <v>1.6129032258064516E-2</v>
      </c>
      <c r="K155" s="1" t="s">
        <v>1869</v>
      </c>
      <c r="L155" s="1" t="s">
        <v>494</v>
      </c>
      <c r="M155" s="1" t="s">
        <v>953</v>
      </c>
      <c r="N155" s="1" t="s">
        <v>118</v>
      </c>
      <c r="O155" s="6">
        <v>750</v>
      </c>
      <c r="P155" s="6">
        <v>1.6129032258064516E-2</v>
      </c>
      <c r="Q155" s="2"/>
      <c r="R155" s="5">
        <v>43816.535205722583</v>
      </c>
      <c r="S155" s="4">
        <v>43818</v>
      </c>
      <c r="T155" s="4">
        <v>43842</v>
      </c>
      <c r="U155" s="1" t="s">
        <v>1956</v>
      </c>
      <c r="V155" s="5">
        <v>43818.614841095616</v>
      </c>
      <c r="W155" s="1" t="s">
        <v>364</v>
      </c>
      <c r="X155" s="6">
        <v>45750</v>
      </c>
      <c r="Y155" s="1"/>
      <c r="Z155" s="4">
        <v>43826</v>
      </c>
      <c r="AA155" s="5">
        <v>43830</v>
      </c>
      <c r="AB155" s="1" t="s">
        <v>1971</v>
      </c>
      <c r="AC155" s="1"/>
      <c r="AD155" s="1" t="s">
        <v>1168</v>
      </c>
    </row>
    <row r="156" spans="1:30" x14ac:dyDescent="0.25">
      <c r="A156" s="1" t="s">
        <v>1513</v>
      </c>
      <c r="B156" s="1" t="s">
        <v>751</v>
      </c>
      <c r="C156" s="1" t="s">
        <v>1081</v>
      </c>
      <c r="D156" s="4">
        <v>43805</v>
      </c>
      <c r="E156" s="6">
        <v>699476.83</v>
      </c>
      <c r="F156" s="6"/>
      <c r="G156" s="6"/>
      <c r="H156" s="1"/>
      <c r="I156" s="6"/>
      <c r="J156" s="6"/>
      <c r="K156" s="1"/>
      <c r="L156" s="1"/>
      <c r="M156" s="1"/>
      <c r="N156" s="1"/>
      <c r="O156" s="6"/>
      <c r="P156" s="6"/>
      <c r="Q156" s="2"/>
      <c r="R156" s="5"/>
      <c r="S156" s="4"/>
      <c r="T156" s="4"/>
      <c r="U156" s="1"/>
      <c r="V156" s="5"/>
      <c r="W156" s="1"/>
      <c r="X156" s="6"/>
      <c r="Y156" s="1"/>
      <c r="Z156" s="4"/>
      <c r="AA156" s="5"/>
      <c r="AB156" s="1"/>
      <c r="AC156" s="1"/>
      <c r="AD156" s="1"/>
    </row>
    <row r="157" spans="1:30" hidden="1" x14ac:dyDescent="0.25">
      <c r="A157" s="1" t="s">
        <v>1289</v>
      </c>
      <c r="B157" s="1" t="s">
        <v>609</v>
      </c>
      <c r="C157" s="1" t="s">
        <v>1147</v>
      </c>
      <c r="D157" s="4">
        <v>43804</v>
      </c>
      <c r="E157" s="6">
        <v>65100</v>
      </c>
      <c r="F157" s="6"/>
      <c r="G157" s="6">
        <v>1085</v>
      </c>
      <c r="H157" s="1" t="s">
        <v>1849</v>
      </c>
      <c r="I157" s="6">
        <v>600</v>
      </c>
      <c r="J157" s="6">
        <v>9.1324200913242004E-3</v>
      </c>
      <c r="K157" s="1" t="s">
        <v>1849</v>
      </c>
      <c r="L157" s="1" t="s">
        <v>447</v>
      </c>
      <c r="M157" s="1" t="s">
        <v>915</v>
      </c>
      <c r="N157" s="1" t="s">
        <v>135</v>
      </c>
      <c r="O157" s="6">
        <v>600</v>
      </c>
      <c r="P157" s="6">
        <v>9.1324200913242004E-3</v>
      </c>
      <c r="Q157" s="2"/>
      <c r="R157" s="5">
        <v>43812.482999850014</v>
      </c>
      <c r="S157" s="4">
        <v>43816</v>
      </c>
      <c r="T157" s="4">
        <v>43839</v>
      </c>
      <c r="U157" s="1" t="s">
        <v>1956</v>
      </c>
      <c r="V157" s="5">
        <v>43816.709286499245</v>
      </c>
      <c r="W157" s="1" t="s">
        <v>365</v>
      </c>
      <c r="X157" s="6">
        <v>65100</v>
      </c>
      <c r="Y157" s="1"/>
      <c r="Z157" s="4">
        <v>43826</v>
      </c>
      <c r="AA157" s="5">
        <v>43830</v>
      </c>
      <c r="AB157" s="1" t="s">
        <v>1971</v>
      </c>
      <c r="AC157" s="1"/>
      <c r="AD157" s="1" t="s">
        <v>1168</v>
      </c>
    </row>
    <row r="158" spans="1:30" hidden="1" x14ac:dyDescent="0.25">
      <c r="A158" s="1" t="s">
        <v>1547</v>
      </c>
      <c r="B158" s="1" t="s">
        <v>793</v>
      </c>
      <c r="C158" s="1" t="s">
        <v>1157</v>
      </c>
      <c r="D158" s="4">
        <v>43803</v>
      </c>
      <c r="E158" s="6">
        <v>1328235.92</v>
      </c>
      <c r="F158" s="6"/>
      <c r="G158" s="6">
        <v>1328235.92</v>
      </c>
      <c r="H158" s="1"/>
      <c r="I158" s="1"/>
      <c r="J158" s="1"/>
      <c r="K158" s="1" t="s">
        <v>1229</v>
      </c>
      <c r="L158" s="1" t="s">
        <v>490</v>
      </c>
      <c r="M158" s="1"/>
      <c r="N158" s="1" t="s">
        <v>182</v>
      </c>
      <c r="O158" s="1"/>
      <c r="P158" s="1"/>
      <c r="Q158" s="2"/>
      <c r="R158" s="1"/>
      <c r="S158" s="1"/>
      <c r="T158" s="1"/>
      <c r="U158" s="1" t="s">
        <v>1956</v>
      </c>
      <c r="V158" s="5">
        <v>43803.560255368298</v>
      </c>
      <c r="W158" s="1" t="s">
        <v>1952</v>
      </c>
      <c r="X158" s="6">
        <v>1328235.92</v>
      </c>
      <c r="Y158" s="4">
        <v>43803</v>
      </c>
      <c r="Z158" s="4">
        <v>43830</v>
      </c>
      <c r="AA158" s="5">
        <v>43830</v>
      </c>
      <c r="AB158" s="1" t="s">
        <v>1971</v>
      </c>
      <c r="AC158" s="1"/>
      <c r="AD158" s="1" t="s">
        <v>1168</v>
      </c>
    </row>
    <row r="159" spans="1:30" hidden="1" x14ac:dyDescent="0.25">
      <c r="A159" s="1" t="s">
        <v>1516</v>
      </c>
      <c r="B159" s="1" t="s">
        <v>751</v>
      </c>
      <c r="C159" s="1" t="s">
        <v>1157</v>
      </c>
      <c r="D159" s="4">
        <v>43802</v>
      </c>
      <c r="E159" s="6">
        <v>115570.26</v>
      </c>
      <c r="F159" s="6"/>
      <c r="G159" s="6">
        <v>115570.26</v>
      </c>
      <c r="H159" s="1"/>
      <c r="I159" s="1"/>
      <c r="J159" s="1"/>
      <c r="K159" s="1" t="s">
        <v>1130</v>
      </c>
      <c r="L159" s="1" t="s">
        <v>578</v>
      </c>
      <c r="M159" s="1"/>
      <c r="N159" s="1" t="s">
        <v>70</v>
      </c>
      <c r="O159" s="1"/>
      <c r="P159" s="1"/>
      <c r="Q159" s="2"/>
      <c r="R159" s="1"/>
      <c r="S159" s="1"/>
      <c r="T159" s="1"/>
      <c r="U159" s="1" t="s">
        <v>1956</v>
      </c>
      <c r="V159" s="5">
        <v>43802.539479183324</v>
      </c>
      <c r="W159" s="1" t="s">
        <v>338</v>
      </c>
      <c r="X159" s="6">
        <v>115570.26</v>
      </c>
      <c r="Y159" s="4">
        <v>43807</v>
      </c>
      <c r="Z159" s="4">
        <v>43830</v>
      </c>
      <c r="AA159" s="5">
        <v>43830</v>
      </c>
      <c r="AB159" s="1" t="s">
        <v>1971</v>
      </c>
      <c r="AC159" s="1"/>
      <c r="AD159" s="1" t="s">
        <v>1168</v>
      </c>
    </row>
    <row r="160" spans="1:30" hidden="1" x14ac:dyDescent="0.25">
      <c r="A160" s="1" t="s">
        <v>1612</v>
      </c>
      <c r="B160" s="1" t="s">
        <v>416</v>
      </c>
      <c r="C160" s="1" t="s">
        <v>1147</v>
      </c>
      <c r="D160" s="4">
        <v>43798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2"/>
      <c r="R160" s="1"/>
      <c r="S160" s="1"/>
      <c r="T160" s="1"/>
      <c r="U160" s="1" t="s">
        <v>1972</v>
      </c>
      <c r="V160" s="5">
        <v>43803.653506674607</v>
      </c>
      <c r="W160" s="1"/>
      <c r="X160" s="1"/>
      <c r="Y160" s="1"/>
      <c r="Z160" s="4">
        <v>43830</v>
      </c>
      <c r="AA160" s="1"/>
      <c r="AB160" s="1"/>
      <c r="AC160" s="1" t="s">
        <v>1083</v>
      </c>
      <c r="AD160" s="1"/>
    </row>
    <row r="161" spans="1:30" hidden="1" x14ac:dyDescent="0.25">
      <c r="A161" s="1" t="s">
        <v>1160</v>
      </c>
      <c r="B161" s="1" t="s">
        <v>604</v>
      </c>
      <c r="C161" s="1" t="s">
        <v>1147</v>
      </c>
      <c r="D161" s="4">
        <v>43797</v>
      </c>
      <c r="E161" s="6">
        <v>23145</v>
      </c>
      <c r="F161" s="6"/>
      <c r="G161" s="6">
        <v>1285.8333333333333</v>
      </c>
      <c r="H161" s="1" t="s">
        <v>1231</v>
      </c>
      <c r="I161" s="6">
        <v>939</v>
      </c>
      <c r="J161" s="6">
        <v>3.8988540109616346E-2</v>
      </c>
      <c r="K161" s="1" t="s">
        <v>1028</v>
      </c>
      <c r="L161" s="1" t="s">
        <v>644</v>
      </c>
      <c r="M161" s="1" t="s">
        <v>980</v>
      </c>
      <c r="N161" s="1" t="s">
        <v>46</v>
      </c>
      <c r="O161" s="6">
        <v>822</v>
      </c>
      <c r="P161" s="6">
        <v>3.4130543099152963E-2</v>
      </c>
      <c r="Q161" s="2" t="str">
        <f>HYPERLINK("https://auction.openprocurement.org/tenders/06abccce540146e68898ba7310fa2d93")</f>
        <v>https://auction.openprocurement.org/tenders/06abccce540146e68898ba7310fa2d93</v>
      </c>
      <c r="R161" s="5">
        <v>43805.652214502508</v>
      </c>
      <c r="S161" s="1"/>
      <c r="T161" s="1"/>
      <c r="U161" s="1" t="s">
        <v>1972</v>
      </c>
      <c r="V161" s="5">
        <v>43810.670341756944</v>
      </c>
      <c r="W161" s="1"/>
      <c r="X161" s="6">
        <v>23262</v>
      </c>
      <c r="Y161" s="1"/>
      <c r="Z161" s="4">
        <v>43830</v>
      </c>
      <c r="AA161" s="1"/>
      <c r="AB161" s="1" t="s">
        <v>1961</v>
      </c>
      <c r="AC161" s="1" t="s">
        <v>1083</v>
      </c>
      <c r="AD161" s="1"/>
    </row>
    <row r="162" spans="1:30" hidden="1" x14ac:dyDescent="0.25">
      <c r="A162" s="1" t="s">
        <v>1286</v>
      </c>
      <c r="B162" s="1" t="s">
        <v>681</v>
      </c>
      <c r="C162" s="1" t="s">
        <v>1147</v>
      </c>
      <c r="D162" s="4">
        <v>43797</v>
      </c>
      <c r="E162" s="6">
        <v>26997</v>
      </c>
      <c r="F162" s="6"/>
      <c r="G162" s="6">
        <v>1799.8</v>
      </c>
      <c r="H162" s="1" t="s">
        <v>1660</v>
      </c>
      <c r="I162" s="6">
        <v>28003</v>
      </c>
      <c r="J162" s="6">
        <v>0.50914545454545457</v>
      </c>
      <c r="K162" s="1" t="s">
        <v>1868</v>
      </c>
      <c r="L162" s="1" t="s">
        <v>512</v>
      </c>
      <c r="M162" s="1" t="s">
        <v>867</v>
      </c>
      <c r="N162" s="1" t="s">
        <v>170</v>
      </c>
      <c r="O162" s="1"/>
      <c r="P162" s="1"/>
      <c r="Q162" s="2" t="str">
        <f>HYPERLINK("https://auction.openprocurement.org/tenders/09bf5949dc8642bd9b4568e8545af31f")</f>
        <v>https://auction.openprocurement.org/tenders/09bf5949dc8642bd9b4568e8545af31f</v>
      </c>
      <c r="R162" s="5">
        <v>43809.465937423447</v>
      </c>
      <c r="S162" s="4">
        <v>43811</v>
      </c>
      <c r="T162" s="4">
        <v>43832</v>
      </c>
      <c r="U162" s="1" t="s">
        <v>1956</v>
      </c>
      <c r="V162" s="5">
        <v>43812.378305569888</v>
      </c>
      <c r="W162" s="1" t="s">
        <v>1952</v>
      </c>
      <c r="X162" s="6">
        <v>55000</v>
      </c>
      <c r="Y162" s="1"/>
      <c r="Z162" s="4">
        <v>43830</v>
      </c>
      <c r="AA162" s="5">
        <v>43830</v>
      </c>
      <c r="AB162" s="1" t="s">
        <v>1971</v>
      </c>
      <c r="AC162" s="1"/>
      <c r="AD162" s="1" t="s">
        <v>1168</v>
      </c>
    </row>
    <row r="163" spans="1:30" hidden="1" x14ac:dyDescent="0.25">
      <c r="A163" s="1" t="s">
        <v>1150</v>
      </c>
      <c r="B163" s="1" t="s">
        <v>323</v>
      </c>
      <c r="C163" s="1" t="s">
        <v>1336</v>
      </c>
      <c r="D163" s="4">
        <v>43795</v>
      </c>
      <c r="E163" s="6">
        <v>124998.46</v>
      </c>
      <c r="F163" s="6"/>
      <c r="G163" s="6">
        <v>2.2944759352399133</v>
      </c>
      <c r="H163" s="1"/>
      <c r="I163" s="1"/>
      <c r="J163" s="1"/>
      <c r="K163" s="1" t="s">
        <v>1736</v>
      </c>
      <c r="L163" s="1" t="s">
        <v>716</v>
      </c>
      <c r="M163" s="1"/>
      <c r="N163" s="1" t="s">
        <v>73</v>
      </c>
      <c r="O163" s="1"/>
      <c r="P163" s="1"/>
      <c r="Q163" s="2"/>
      <c r="R163" s="1"/>
      <c r="S163" s="4">
        <v>43801</v>
      </c>
      <c r="T163" s="4">
        <v>43816</v>
      </c>
      <c r="U163" s="1" t="s">
        <v>1956</v>
      </c>
      <c r="V163" s="5">
        <v>43802.637681564083</v>
      </c>
      <c r="W163" s="1" t="s">
        <v>220</v>
      </c>
      <c r="X163" s="6">
        <v>124998.46</v>
      </c>
      <c r="Y163" s="4">
        <v>43800</v>
      </c>
      <c r="Z163" s="4">
        <v>43830</v>
      </c>
      <c r="AA163" s="5">
        <v>43830</v>
      </c>
      <c r="AB163" s="1" t="s">
        <v>1971</v>
      </c>
      <c r="AC163" s="1"/>
      <c r="AD163" s="1" t="s">
        <v>1168</v>
      </c>
    </row>
    <row r="164" spans="1:30" hidden="1" x14ac:dyDescent="0.25">
      <c r="A164" s="1" t="s">
        <v>1331</v>
      </c>
      <c r="B164" s="1" t="s">
        <v>527</v>
      </c>
      <c r="C164" s="1" t="s">
        <v>1147</v>
      </c>
      <c r="D164" s="4">
        <v>43788</v>
      </c>
      <c r="E164" s="6">
        <v>7497</v>
      </c>
      <c r="F164" s="6"/>
      <c r="G164" s="6">
        <v>71.400000000000006</v>
      </c>
      <c r="H164" s="1" t="s">
        <v>1632</v>
      </c>
      <c r="I164" s="6">
        <v>2373</v>
      </c>
      <c r="J164" s="6">
        <v>0.2404255319148936</v>
      </c>
      <c r="K164" s="1" t="s">
        <v>1632</v>
      </c>
      <c r="L164" s="1" t="s">
        <v>673</v>
      </c>
      <c r="M164" s="1" t="s">
        <v>876</v>
      </c>
      <c r="N164" s="1" t="s">
        <v>106</v>
      </c>
      <c r="O164" s="6">
        <v>2373</v>
      </c>
      <c r="P164" s="6">
        <v>0.2404255319148936</v>
      </c>
      <c r="Q164" s="2"/>
      <c r="R164" s="5">
        <v>43796.495179644582</v>
      </c>
      <c r="S164" s="4">
        <v>43798</v>
      </c>
      <c r="T164" s="4">
        <v>43821</v>
      </c>
      <c r="U164" s="1" t="s">
        <v>1956</v>
      </c>
      <c r="V164" s="5">
        <v>43803.464261896901</v>
      </c>
      <c r="W164" s="1" t="s">
        <v>1952</v>
      </c>
      <c r="X164" s="6">
        <v>7497</v>
      </c>
      <c r="Y164" s="1"/>
      <c r="Z164" s="4">
        <v>43830</v>
      </c>
      <c r="AA164" s="5">
        <v>43830</v>
      </c>
      <c r="AB164" s="1" t="s">
        <v>1971</v>
      </c>
      <c r="AC164" s="1"/>
      <c r="AD164" s="1" t="s">
        <v>1168</v>
      </c>
    </row>
    <row r="165" spans="1:30" x14ac:dyDescent="0.25">
      <c r="A165" s="1" t="s">
        <v>1006</v>
      </c>
      <c r="B165" s="1" t="s">
        <v>753</v>
      </c>
      <c r="C165" s="1" t="s">
        <v>1081</v>
      </c>
      <c r="D165" s="4">
        <v>43784</v>
      </c>
      <c r="E165" s="6">
        <v>45232093.210000001</v>
      </c>
      <c r="F165" s="6"/>
      <c r="G165" s="6"/>
      <c r="H165" s="1"/>
      <c r="I165" s="6"/>
      <c r="J165" s="6"/>
      <c r="K165" s="1"/>
      <c r="L165" s="1"/>
      <c r="M165" s="1"/>
      <c r="N165" s="1"/>
      <c r="O165" s="6"/>
      <c r="P165" s="6"/>
      <c r="Q165" s="2"/>
      <c r="R165" s="5"/>
      <c r="S165" s="4"/>
      <c r="T165" s="4"/>
      <c r="U165" s="1"/>
      <c r="V165" s="5"/>
      <c r="W165" s="1"/>
      <c r="X165" s="6"/>
      <c r="Y165" s="1"/>
      <c r="Z165" s="4"/>
      <c r="AA165" s="5"/>
      <c r="AB165" s="1"/>
      <c r="AC165" s="1"/>
      <c r="AD165" s="1"/>
    </row>
    <row r="166" spans="1:30" hidden="1" x14ac:dyDescent="0.25">
      <c r="A166" s="1" t="s">
        <v>1055</v>
      </c>
      <c r="B166" s="1" t="s">
        <v>375</v>
      </c>
      <c r="C166" s="1" t="s">
        <v>1147</v>
      </c>
      <c r="D166" s="4">
        <v>43784</v>
      </c>
      <c r="E166" s="6">
        <v>34800</v>
      </c>
      <c r="F166" s="6"/>
      <c r="G166" s="6">
        <v>0.34799999999999998</v>
      </c>
      <c r="H166" s="1" t="s">
        <v>1658</v>
      </c>
      <c r="I166" s="6">
        <v>200</v>
      </c>
      <c r="J166" s="6">
        <v>5.7142857142857143E-3</v>
      </c>
      <c r="K166" s="1" t="s">
        <v>1658</v>
      </c>
      <c r="L166" s="1" t="s">
        <v>688</v>
      </c>
      <c r="M166" s="1" t="s">
        <v>893</v>
      </c>
      <c r="N166" s="1" t="s">
        <v>29</v>
      </c>
      <c r="O166" s="6">
        <v>200</v>
      </c>
      <c r="P166" s="6">
        <v>5.7142857142857143E-3</v>
      </c>
      <c r="Q166" s="2"/>
      <c r="R166" s="5">
        <v>43791.595481424512</v>
      </c>
      <c r="S166" s="4">
        <v>43795</v>
      </c>
      <c r="T166" s="4">
        <v>43819</v>
      </c>
      <c r="U166" s="1" t="s">
        <v>1956</v>
      </c>
      <c r="V166" s="5">
        <v>43796.707759808982</v>
      </c>
      <c r="W166" s="1" t="s">
        <v>361</v>
      </c>
      <c r="X166" s="6">
        <v>34800</v>
      </c>
      <c r="Y166" s="1"/>
      <c r="Z166" s="4">
        <v>43830</v>
      </c>
      <c r="AA166" s="5">
        <v>43830</v>
      </c>
      <c r="AB166" s="1" t="s">
        <v>1971</v>
      </c>
      <c r="AC166" s="1"/>
      <c r="AD166" s="1" t="s">
        <v>1168</v>
      </c>
    </row>
    <row r="167" spans="1:30" hidden="1" x14ac:dyDescent="0.25">
      <c r="A167" s="1" t="s">
        <v>1236</v>
      </c>
      <c r="B167" s="1" t="s">
        <v>320</v>
      </c>
      <c r="C167" s="1" t="s">
        <v>1147</v>
      </c>
      <c r="D167" s="4">
        <v>43784</v>
      </c>
      <c r="E167" s="6">
        <v>17560</v>
      </c>
      <c r="F167" s="6"/>
      <c r="G167" s="6">
        <v>195.11111111111111</v>
      </c>
      <c r="H167" s="1" t="s">
        <v>1133</v>
      </c>
      <c r="I167" s="1"/>
      <c r="J167" s="1"/>
      <c r="K167" s="1" t="s">
        <v>1133</v>
      </c>
      <c r="L167" s="1" t="s">
        <v>588</v>
      </c>
      <c r="M167" s="1" t="s">
        <v>917</v>
      </c>
      <c r="N167" s="1" t="s">
        <v>113</v>
      </c>
      <c r="O167" s="1"/>
      <c r="P167" s="1"/>
      <c r="Q167" s="2"/>
      <c r="R167" s="5">
        <v>43794.523878710788</v>
      </c>
      <c r="S167" s="4">
        <v>43796</v>
      </c>
      <c r="T167" s="4">
        <v>43819</v>
      </c>
      <c r="U167" s="1" t="s">
        <v>1956</v>
      </c>
      <c r="V167" s="5">
        <v>43797.598971142499</v>
      </c>
      <c r="W167" s="1" t="s">
        <v>1952</v>
      </c>
      <c r="X167" s="6">
        <v>17560</v>
      </c>
      <c r="Y167" s="1"/>
      <c r="Z167" s="4">
        <v>43830</v>
      </c>
      <c r="AA167" s="5">
        <v>43830</v>
      </c>
      <c r="AB167" s="1" t="s">
        <v>1971</v>
      </c>
      <c r="AC167" s="1"/>
      <c r="AD167" s="1" t="s">
        <v>1168</v>
      </c>
    </row>
    <row r="168" spans="1:30" hidden="1" x14ac:dyDescent="0.25">
      <c r="A168" s="1" t="s">
        <v>1330</v>
      </c>
      <c r="B168" s="1" t="s">
        <v>318</v>
      </c>
      <c r="C168" s="1" t="s">
        <v>1147</v>
      </c>
      <c r="D168" s="4">
        <v>43782</v>
      </c>
      <c r="E168" s="6">
        <v>37440</v>
      </c>
      <c r="F168" s="6"/>
      <c r="G168" s="6">
        <v>24.96</v>
      </c>
      <c r="H168" s="1" t="s">
        <v>1650</v>
      </c>
      <c r="I168" s="6">
        <v>3060</v>
      </c>
      <c r="J168" s="6">
        <v>7.5555555555555556E-2</v>
      </c>
      <c r="K168" s="1" t="s">
        <v>1650</v>
      </c>
      <c r="L168" s="1" t="s">
        <v>571</v>
      </c>
      <c r="M168" s="1" t="s">
        <v>936</v>
      </c>
      <c r="N168" s="1" t="s">
        <v>37</v>
      </c>
      <c r="O168" s="6">
        <v>3060</v>
      </c>
      <c r="P168" s="6">
        <v>7.5555555555555556E-2</v>
      </c>
      <c r="Q168" s="2" t="str">
        <f>HYPERLINK("https://auction.openprocurement.org/tenders/251a35ab1621412aa47d63eec7b58a0c")</f>
        <v>https://auction.openprocurement.org/tenders/251a35ab1621412aa47d63eec7b58a0c</v>
      </c>
      <c r="R168" s="5">
        <v>43791.634418107846</v>
      </c>
      <c r="S168" s="4">
        <v>43795</v>
      </c>
      <c r="T168" s="4">
        <v>43817</v>
      </c>
      <c r="U168" s="1" t="s">
        <v>1956</v>
      </c>
      <c r="V168" s="5">
        <v>43798.670331306144</v>
      </c>
      <c r="W168" s="1" t="s">
        <v>513</v>
      </c>
      <c r="X168" s="6">
        <v>37440</v>
      </c>
      <c r="Y168" s="1"/>
      <c r="Z168" s="4">
        <v>43830</v>
      </c>
      <c r="AA168" s="5">
        <v>43830</v>
      </c>
      <c r="AB168" s="1" t="s">
        <v>1971</v>
      </c>
      <c r="AC168" s="1"/>
      <c r="AD168" s="1" t="s">
        <v>1168</v>
      </c>
    </row>
    <row r="169" spans="1:30" hidden="1" x14ac:dyDescent="0.25">
      <c r="A169" s="1" t="s">
        <v>1331</v>
      </c>
      <c r="B169" s="1" t="s">
        <v>527</v>
      </c>
      <c r="C169" s="1" t="s">
        <v>1147</v>
      </c>
      <c r="D169" s="4">
        <v>43781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2"/>
      <c r="R169" s="1"/>
      <c r="S169" s="1"/>
      <c r="T169" s="1"/>
      <c r="U169" s="1" t="s">
        <v>1957</v>
      </c>
      <c r="V169" s="5">
        <v>43788.472745004154</v>
      </c>
      <c r="W169" s="1"/>
      <c r="X169" s="1"/>
      <c r="Y169" s="1"/>
      <c r="Z169" s="4">
        <v>43830</v>
      </c>
      <c r="AA169" s="1"/>
      <c r="AB169" s="1"/>
      <c r="AC169" s="1"/>
      <c r="AD169" s="1"/>
    </row>
    <row r="170" spans="1:30" x14ac:dyDescent="0.25">
      <c r="A170" s="1" t="s">
        <v>1404</v>
      </c>
      <c r="B170" s="1" t="s">
        <v>822</v>
      </c>
      <c r="C170" s="1" t="s">
        <v>1081</v>
      </c>
      <c r="D170" s="4">
        <v>43781</v>
      </c>
      <c r="E170" s="6">
        <v>497500</v>
      </c>
      <c r="F170" s="6"/>
      <c r="G170" s="6"/>
      <c r="H170" s="1"/>
      <c r="I170" s="6"/>
      <c r="J170" s="6"/>
      <c r="K170" s="1"/>
      <c r="L170" s="1"/>
      <c r="M170" s="1"/>
      <c r="N170" s="1"/>
      <c r="O170" s="6"/>
      <c r="P170" s="6"/>
      <c r="Q170" s="2"/>
      <c r="R170" s="5"/>
      <c r="S170" s="4"/>
      <c r="T170" s="4"/>
      <c r="U170" s="1"/>
      <c r="V170" s="5"/>
      <c r="W170" s="1"/>
      <c r="X170" s="6"/>
      <c r="Y170" s="4"/>
      <c r="Z170" s="4"/>
      <c r="AA170" s="5"/>
      <c r="AB170" s="1"/>
      <c r="AC170" s="1"/>
      <c r="AD170" s="1"/>
    </row>
    <row r="171" spans="1:30" hidden="1" x14ac:dyDescent="0.25">
      <c r="A171" s="1" t="s">
        <v>1438</v>
      </c>
      <c r="B171" s="1" t="s">
        <v>756</v>
      </c>
      <c r="C171" s="1" t="s">
        <v>1147</v>
      </c>
      <c r="D171" s="4">
        <v>43780</v>
      </c>
      <c r="E171" s="6">
        <v>145505.32999999999</v>
      </c>
      <c r="F171" s="6"/>
      <c r="G171" s="6">
        <v>145505.32999999999</v>
      </c>
      <c r="H171" s="1" t="s">
        <v>1869</v>
      </c>
      <c r="I171" s="6">
        <v>494.67000000001281</v>
      </c>
      <c r="J171" s="6">
        <v>3.3881506849315944E-3</v>
      </c>
      <c r="K171" s="1" t="s">
        <v>1869</v>
      </c>
      <c r="L171" s="1" t="s">
        <v>494</v>
      </c>
      <c r="M171" s="1" t="s">
        <v>953</v>
      </c>
      <c r="N171" s="1" t="s">
        <v>118</v>
      </c>
      <c r="O171" s="6">
        <v>494.67000000001281</v>
      </c>
      <c r="P171" s="6">
        <v>3.3881506849315944E-3</v>
      </c>
      <c r="Q171" s="2"/>
      <c r="R171" s="5">
        <v>43787.673187971042</v>
      </c>
      <c r="S171" s="4">
        <v>43789</v>
      </c>
      <c r="T171" s="4">
        <v>43813</v>
      </c>
      <c r="U171" s="1" t="s">
        <v>1956</v>
      </c>
      <c r="V171" s="5">
        <v>43791.388576272977</v>
      </c>
      <c r="W171" s="1" t="s">
        <v>1952</v>
      </c>
      <c r="X171" s="6">
        <v>145505.32999999999</v>
      </c>
      <c r="Y171" s="1"/>
      <c r="Z171" s="4">
        <v>43809</v>
      </c>
      <c r="AA171" s="5">
        <v>43830</v>
      </c>
      <c r="AB171" s="1" t="s">
        <v>1971</v>
      </c>
      <c r="AC171" s="1"/>
      <c r="AD171" s="1" t="s">
        <v>1168</v>
      </c>
    </row>
    <row r="172" spans="1:30" hidden="1" x14ac:dyDescent="0.25">
      <c r="A172" s="1" t="s">
        <v>1361</v>
      </c>
      <c r="B172" s="1" t="s">
        <v>751</v>
      </c>
      <c r="C172" s="1" t="s">
        <v>1147</v>
      </c>
      <c r="D172" s="4">
        <v>43780</v>
      </c>
      <c r="E172" s="6">
        <v>39950.22</v>
      </c>
      <c r="F172" s="6"/>
      <c r="G172" s="6">
        <v>39950.22</v>
      </c>
      <c r="H172" s="1" t="s">
        <v>1869</v>
      </c>
      <c r="I172" s="6">
        <v>49.779999999998836</v>
      </c>
      <c r="J172" s="6">
        <v>1.2444999999999709E-3</v>
      </c>
      <c r="K172" s="1" t="s">
        <v>1869</v>
      </c>
      <c r="L172" s="1" t="s">
        <v>494</v>
      </c>
      <c r="M172" s="1" t="s">
        <v>953</v>
      </c>
      <c r="N172" s="1" t="s">
        <v>118</v>
      </c>
      <c r="O172" s="6">
        <v>49.779999999998836</v>
      </c>
      <c r="P172" s="6">
        <v>1.2444999999999709E-3</v>
      </c>
      <c r="Q172" s="2"/>
      <c r="R172" s="5">
        <v>43787.641373828752</v>
      </c>
      <c r="S172" s="4">
        <v>43789</v>
      </c>
      <c r="T172" s="4">
        <v>43813</v>
      </c>
      <c r="U172" s="1" t="s">
        <v>1956</v>
      </c>
      <c r="V172" s="5">
        <v>43791.378242327592</v>
      </c>
      <c r="W172" s="1" t="s">
        <v>1952</v>
      </c>
      <c r="X172" s="6">
        <v>39950.22</v>
      </c>
      <c r="Y172" s="1"/>
      <c r="Z172" s="4">
        <v>43809</v>
      </c>
      <c r="AA172" s="5">
        <v>43830</v>
      </c>
      <c r="AB172" s="1" t="s">
        <v>1971</v>
      </c>
      <c r="AC172" s="1"/>
      <c r="AD172" s="1" t="s">
        <v>1168</v>
      </c>
    </row>
    <row r="173" spans="1:30" hidden="1" x14ac:dyDescent="0.25">
      <c r="A173" s="1" t="s">
        <v>1290</v>
      </c>
      <c r="B173" s="1" t="s">
        <v>609</v>
      </c>
      <c r="C173" s="1" t="s">
        <v>1147</v>
      </c>
      <c r="D173" s="4">
        <v>43775</v>
      </c>
      <c r="E173" s="6">
        <v>42984</v>
      </c>
      <c r="F173" s="6"/>
      <c r="G173" s="6">
        <v>597</v>
      </c>
      <c r="H173" s="1" t="s">
        <v>1849</v>
      </c>
      <c r="I173" s="6">
        <v>16</v>
      </c>
      <c r="J173" s="6">
        <v>3.7209302325581393E-4</v>
      </c>
      <c r="K173" s="1" t="s">
        <v>1849</v>
      </c>
      <c r="L173" s="1" t="s">
        <v>447</v>
      </c>
      <c r="M173" s="1" t="s">
        <v>915</v>
      </c>
      <c r="N173" s="1" t="s">
        <v>135</v>
      </c>
      <c r="O173" s="6">
        <v>16</v>
      </c>
      <c r="P173" s="6">
        <v>3.7209302325581393E-4</v>
      </c>
      <c r="Q173" s="2"/>
      <c r="R173" s="5">
        <v>43782.59283818007</v>
      </c>
      <c r="S173" s="4">
        <v>43784</v>
      </c>
      <c r="T173" s="4">
        <v>43810</v>
      </c>
      <c r="U173" s="1" t="s">
        <v>1956</v>
      </c>
      <c r="V173" s="5">
        <v>43787.383919483196</v>
      </c>
      <c r="W173" s="1" t="s">
        <v>1952</v>
      </c>
      <c r="X173" s="6">
        <v>42984</v>
      </c>
      <c r="Y173" s="1"/>
      <c r="Z173" s="4">
        <v>43830</v>
      </c>
      <c r="AA173" s="5">
        <v>43830</v>
      </c>
      <c r="AB173" s="1" t="s">
        <v>1971</v>
      </c>
      <c r="AC173" s="1"/>
      <c r="AD173" s="1" t="s">
        <v>1168</v>
      </c>
    </row>
    <row r="174" spans="1:30" hidden="1" x14ac:dyDescent="0.25">
      <c r="A174" s="1" t="s">
        <v>1183</v>
      </c>
      <c r="B174" s="1" t="s">
        <v>737</v>
      </c>
      <c r="C174" s="1" t="s">
        <v>1147</v>
      </c>
      <c r="D174" s="4">
        <v>43774</v>
      </c>
      <c r="E174" s="6">
        <v>46787.22</v>
      </c>
      <c r="F174" s="6"/>
      <c r="G174" s="1" t="s">
        <v>1960</v>
      </c>
      <c r="H174" s="1" t="s">
        <v>1726</v>
      </c>
      <c r="I174" s="6">
        <v>22992.78</v>
      </c>
      <c r="J174" s="6">
        <v>0.32950386930352538</v>
      </c>
      <c r="K174" s="1" t="s">
        <v>1855</v>
      </c>
      <c r="L174" s="1" t="s">
        <v>446</v>
      </c>
      <c r="M174" s="1" t="s">
        <v>918</v>
      </c>
      <c r="N174" s="1" t="s">
        <v>145</v>
      </c>
      <c r="O174" s="6">
        <v>880</v>
      </c>
      <c r="P174" s="6">
        <v>1.2611063341931785E-2</v>
      </c>
      <c r="Q174" s="2" t="str">
        <f>HYPERLINK("https://auction.openprocurement.org/tenders/534a14b383dd4394a2638e3e0d649054")</f>
        <v>https://auction.openprocurement.org/tenders/534a14b383dd4394a2638e3e0d649054</v>
      </c>
      <c r="R174" s="5">
        <v>43784.599146780194</v>
      </c>
      <c r="S174" s="4">
        <v>43788</v>
      </c>
      <c r="T174" s="4">
        <v>43807</v>
      </c>
      <c r="U174" s="1" t="s">
        <v>1956</v>
      </c>
      <c r="V174" s="5">
        <v>43790.714150261621</v>
      </c>
      <c r="W174" s="1" t="s">
        <v>1952</v>
      </c>
      <c r="X174" s="6">
        <v>68900</v>
      </c>
      <c r="Y174" s="1"/>
      <c r="Z174" s="4">
        <v>43789</v>
      </c>
      <c r="AA174" s="5">
        <v>43830</v>
      </c>
      <c r="AB174" s="1" t="s">
        <v>1971</v>
      </c>
      <c r="AC174" s="1"/>
      <c r="AD174" s="1" t="s">
        <v>1168</v>
      </c>
    </row>
    <row r="175" spans="1:30" hidden="1" x14ac:dyDescent="0.25">
      <c r="A175" s="1" t="s">
        <v>1226</v>
      </c>
      <c r="B175" s="1" t="s">
        <v>654</v>
      </c>
      <c r="C175" s="1" t="s">
        <v>1147</v>
      </c>
      <c r="D175" s="4">
        <v>43774</v>
      </c>
      <c r="E175" s="6">
        <v>3720</v>
      </c>
      <c r="F175" s="6"/>
      <c r="G175" s="6">
        <v>3720</v>
      </c>
      <c r="H175" s="1" t="s">
        <v>1769</v>
      </c>
      <c r="I175" s="6">
        <v>240</v>
      </c>
      <c r="J175" s="6">
        <v>6.0606060606060608E-2</v>
      </c>
      <c r="K175" s="1" t="s">
        <v>1855</v>
      </c>
      <c r="L175" s="1" t="s">
        <v>446</v>
      </c>
      <c r="M175" s="1" t="s">
        <v>918</v>
      </c>
      <c r="N175" s="1" t="s">
        <v>145</v>
      </c>
      <c r="O175" s="6">
        <v>160</v>
      </c>
      <c r="P175" s="6">
        <v>4.0404040404040407E-2</v>
      </c>
      <c r="Q175" s="2" t="str">
        <f>HYPERLINK("https://auction.openprocurement.org/tenders/2033849c0f8243ee81f47d55744c84d1")</f>
        <v>https://auction.openprocurement.org/tenders/2033849c0f8243ee81f47d55744c84d1</v>
      </c>
      <c r="R175" s="5">
        <v>43784.683992372316</v>
      </c>
      <c r="S175" s="4">
        <v>43788</v>
      </c>
      <c r="T175" s="4">
        <v>43807</v>
      </c>
      <c r="U175" s="1" t="s">
        <v>1956</v>
      </c>
      <c r="V175" s="5">
        <v>43790.70721817256</v>
      </c>
      <c r="W175" s="1" t="s">
        <v>1952</v>
      </c>
      <c r="X175" s="6">
        <v>3800</v>
      </c>
      <c r="Y175" s="1"/>
      <c r="Z175" s="4">
        <v>43789</v>
      </c>
      <c r="AA175" s="5">
        <v>43830</v>
      </c>
      <c r="AB175" s="1" t="s">
        <v>1971</v>
      </c>
      <c r="AC175" s="1"/>
      <c r="AD175" s="1" t="s">
        <v>1168</v>
      </c>
    </row>
    <row r="176" spans="1:30" hidden="1" x14ac:dyDescent="0.25">
      <c r="A176" s="1" t="s">
        <v>1529</v>
      </c>
      <c r="B176" s="1" t="s">
        <v>548</v>
      </c>
      <c r="C176" s="1" t="s">
        <v>1147</v>
      </c>
      <c r="D176" s="4">
        <v>43774</v>
      </c>
      <c r="E176" s="6">
        <v>14955</v>
      </c>
      <c r="F176" s="6"/>
      <c r="G176" s="6">
        <v>427.28571428571428</v>
      </c>
      <c r="H176" s="1" t="s">
        <v>1917</v>
      </c>
      <c r="I176" s="6">
        <v>11305</v>
      </c>
      <c r="J176" s="6">
        <v>0.4305026656511805</v>
      </c>
      <c r="K176" s="1" t="s">
        <v>1855</v>
      </c>
      <c r="L176" s="1" t="s">
        <v>446</v>
      </c>
      <c r="M176" s="1" t="s">
        <v>918</v>
      </c>
      <c r="N176" s="1" t="s">
        <v>145</v>
      </c>
      <c r="O176" s="6">
        <v>210</v>
      </c>
      <c r="P176" s="6">
        <v>7.9969535415079975E-3</v>
      </c>
      <c r="Q176" s="2" t="str">
        <f>HYPERLINK("https://auction.openprocurement.org/tenders/7ac71ef48440474cb59fe2e6b31e4020")</f>
        <v>https://auction.openprocurement.org/tenders/7ac71ef48440474cb59fe2e6b31e4020</v>
      </c>
      <c r="R176" s="5">
        <v>43789.424895106145</v>
      </c>
      <c r="S176" s="4">
        <v>43791</v>
      </c>
      <c r="T176" s="4">
        <v>43807</v>
      </c>
      <c r="U176" s="1" t="s">
        <v>1956</v>
      </c>
      <c r="V176" s="5">
        <v>43795.61052941758</v>
      </c>
      <c r="W176" s="1" t="s">
        <v>1952</v>
      </c>
      <c r="X176" s="6">
        <v>26050</v>
      </c>
      <c r="Y176" s="1"/>
      <c r="Z176" s="4">
        <v>43830</v>
      </c>
      <c r="AA176" s="5">
        <v>43830</v>
      </c>
      <c r="AB176" s="1" t="s">
        <v>1971</v>
      </c>
      <c r="AC176" s="1"/>
      <c r="AD176" s="1" t="s">
        <v>1168</v>
      </c>
    </row>
    <row r="177" spans="1:30" hidden="1" x14ac:dyDescent="0.25">
      <c r="A177" s="1" t="s">
        <v>1814</v>
      </c>
      <c r="B177" s="1" t="s">
        <v>609</v>
      </c>
      <c r="C177" s="1" t="s">
        <v>1147</v>
      </c>
      <c r="D177" s="4">
        <v>43767</v>
      </c>
      <c r="E177" s="6">
        <v>30600</v>
      </c>
      <c r="F177" s="6"/>
      <c r="G177" s="6">
        <v>3400</v>
      </c>
      <c r="H177" s="1" t="s">
        <v>1869</v>
      </c>
      <c r="I177" s="1"/>
      <c r="J177" s="1"/>
      <c r="K177" s="1" t="s">
        <v>1869</v>
      </c>
      <c r="L177" s="1" t="s">
        <v>494</v>
      </c>
      <c r="M177" s="1" t="s">
        <v>953</v>
      </c>
      <c r="N177" s="1" t="s">
        <v>118</v>
      </c>
      <c r="O177" s="1"/>
      <c r="P177" s="1"/>
      <c r="Q177" s="2"/>
      <c r="R177" s="5">
        <v>43775.449310556971</v>
      </c>
      <c r="S177" s="4">
        <v>43777</v>
      </c>
      <c r="T177" s="4">
        <v>43800</v>
      </c>
      <c r="U177" s="1" t="s">
        <v>1956</v>
      </c>
      <c r="V177" s="5">
        <v>43777.528660878343</v>
      </c>
      <c r="W177" s="1" t="s">
        <v>1952</v>
      </c>
      <c r="X177" s="6">
        <v>30600</v>
      </c>
      <c r="Y177" s="1"/>
      <c r="Z177" s="4">
        <v>43830</v>
      </c>
      <c r="AA177" s="5">
        <v>43830</v>
      </c>
      <c r="AB177" s="1" t="s">
        <v>1971</v>
      </c>
      <c r="AC177" s="1"/>
      <c r="AD177" s="1" t="s">
        <v>1168</v>
      </c>
    </row>
    <row r="178" spans="1:30" hidden="1" x14ac:dyDescent="0.25">
      <c r="A178" s="1" t="s">
        <v>1619</v>
      </c>
      <c r="B178" s="1" t="s">
        <v>731</v>
      </c>
      <c r="C178" s="1" t="s">
        <v>1147</v>
      </c>
      <c r="D178" s="4">
        <v>43767</v>
      </c>
      <c r="E178" s="6">
        <v>120000</v>
      </c>
      <c r="F178" s="6"/>
      <c r="G178" s="6">
        <v>1200</v>
      </c>
      <c r="H178" s="1" t="s">
        <v>1869</v>
      </c>
      <c r="I178" s="6">
        <v>2000</v>
      </c>
      <c r="J178" s="6">
        <v>1.6393442622950821E-2</v>
      </c>
      <c r="K178" s="1" t="s">
        <v>1869</v>
      </c>
      <c r="L178" s="1" t="s">
        <v>494</v>
      </c>
      <c r="M178" s="1" t="s">
        <v>953</v>
      </c>
      <c r="N178" s="1" t="s">
        <v>118</v>
      </c>
      <c r="O178" s="6">
        <v>2000</v>
      </c>
      <c r="P178" s="6">
        <v>1.6393442622950821E-2</v>
      </c>
      <c r="Q178" s="2"/>
      <c r="R178" s="5">
        <v>43774.669726109918</v>
      </c>
      <c r="S178" s="4">
        <v>43776</v>
      </c>
      <c r="T178" s="4">
        <v>43800</v>
      </c>
      <c r="U178" s="1" t="s">
        <v>1956</v>
      </c>
      <c r="V178" s="5">
        <v>43777.40775784471</v>
      </c>
      <c r="W178" s="1" t="s">
        <v>1952</v>
      </c>
      <c r="X178" s="6">
        <v>120000</v>
      </c>
      <c r="Y178" s="1"/>
      <c r="Z178" s="4">
        <v>43830</v>
      </c>
      <c r="AA178" s="5">
        <v>43830</v>
      </c>
      <c r="AB178" s="1" t="s">
        <v>1971</v>
      </c>
      <c r="AC178" s="1"/>
      <c r="AD178" s="1" t="s">
        <v>1168</v>
      </c>
    </row>
    <row r="179" spans="1:30" hidden="1" x14ac:dyDescent="0.25">
      <c r="A179" s="1" t="s">
        <v>1594</v>
      </c>
      <c r="B179" s="1" t="s">
        <v>548</v>
      </c>
      <c r="C179" s="1" t="s">
        <v>1147</v>
      </c>
      <c r="D179" s="4">
        <v>43767</v>
      </c>
      <c r="E179" s="6">
        <v>58380</v>
      </c>
      <c r="F179" s="6"/>
      <c r="G179" s="6">
        <v>29190</v>
      </c>
      <c r="H179" s="1" t="s">
        <v>1315</v>
      </c>
      <c r="I179" s="6">
        <v>2220</v>
      </c>
      <c r="J179" s="6">
        <v>3.6633663366336632E-2</v>
      </c>
      <c r="K179" s="1" t="s">
        <v>1315</v>
      </c>
      <c r="L179" s="1" t="s">
        <v>618</v>
      </c>
      <c r="M179" s="1" t="s">
        <v>977</v>
      </c>
      <c r="N179" s="1" t="s">
        <v>185</v>
      </c>
      <c r="O179" s="6">
        <v>2220</v>
      </c>
      <c r="P179" s="6">
        <v>3.6633663366336632E-2</v>
      </c>
      <c r="Q179" s="2"/>
      <c r="R179" s="5">
        <v>43774.6681953812</v>
      </c>
      <c r="S179" s="4">
        <v>43776</v>
      </c>
      <c r="T179" s="4">
        <v>43800</v>
      </c>
      <c r="U179" s="1" t="s">
        <v>1956</v>
      </c>
      <c r="V179" s="5">
        <v>43780.660238057571</v>
      </c>
      <c r="W179" s="1" t="s">
        <v>772</v>
      </c>
      <c r="X179" s="6">
        <v>58380</v>
      </c>
      <c r="Y179" s="1"/>
      <c r="Z179" s="4">
        <v>43830</v>
      </c>
      <c r="AA179" s="5">
        <v>43830</v>
      </c>
      <c r="AB179" s="1" t="s">
        <v>1971</v>
      </c>
      <c r="AC179" s="1"/>
      <c r="AD179" s="1" t="s">
        <v>1168</v>
      </c>
    </row>
    <row r="180" spans="1:30" hidden="1" x14ac:dyDescent="0.25">
      <c r="A180" s="1" t="s">
        <v>1295</v>
      </c>
      <c r="B180" s="1" t="s">
        <v>609</v>
      </c>
      <c r="C180" s="1" t="s">
        <v>1147</v>
      </c>
      <c r="D180" s="4">
        <v>43767</v>
      </c>
      <c r="E180" s="6">
        <v>24740</v>
      </c>
      <c r="F180" s="6"/>
      <c r="G180" s="6">
        <v>1374.4444444444443</v>
      </c>
      <c r="H180" s="1" t="s">
        <v>1315</v>
      </c>
      <c r="I180" s="6">
        <v>9460</v>
      </c>
      <c r="J180" s="6">
        <v>0.27660818713450291</v>
      </c>
      <c r="K180" s="1" t="s">
        <v>1315</v>
      </c>
      <c r="L180" s="1" t="s">
        <v>618</v>
      </c>
      <c r="M180" s="1" t="s">
        <v>977</v>
      </c>
      <c r="N180" s="1" t="s">
        <v>185</v>
      </c>
      <c r="O180" s="6">
        <v>9460</v>
      </c>
      <c r="P180" s="6">
        <v>0.27660818713450291</v>
      </c>
      <c r="Q180" s="2" t="str">
        <f>HYPERLINK("https://auction.openprocurement.org/tenders/00e8992f3ca049ccba91e37d6eedc282")</f>
        <v>https://auction.openprocurement.org/tenders/00e8992f3ca049ccba91e37d6eedc282</v>
      </c>
      <c r="R180" s="5">
        <v>43775.617722165465</v>
      </c>
      <c r="S180" s="4">
        <v>43777</v>
      </c>
      <c r="T180" s="4">
        <v>43800</v>
      </c>
      <c r="U180" s="1" t="s">
        <v>1956</v>
      </c>
      <c r="V180" s="5">
        <v>43780.656436063786</v>
      </c>
      <c r="W180" s="1" t="s">
        <v>420</v>
      </c>
      <c r="X180" s="6">
        <v>24740</v>
      </c>
      <c r="Y180" s="1"/>
      <c r="Z180" s="4">
        <v>43830</v>
      </c>
      <c r="AA180" s="5">
        <v>43830</v>
      </c>
      <c r="AB180" s="1" t="s">
        <v>1971</v>
      </c>
      <c r="AC180" s="1"/>
      <c r="AD180" s="1" t="s">
        <v>1168</v>
      </c>
    </row>
    <row r="181" spans="1:30" x14ac:dyDescent="0.25">
      <c r="A181" s="1" t="s">
        <v>1257</v>
      </c>
      <c r="B181" s="1" t="s">
        <v>754</v>
      </c>
      <c r="C181" s="1" t="s">
        <v>1081</v>
      </c>
      <c r="D181" s="4">
        <v>43767</v>
      </c>
      <c r="E181" s="6">
        <v>278160</v>
      </c>
      <c r="F181" s="6"/>
      <c r="G181" s="6"/>
      <c r="H181" s="1"/>
      <c r="I181" s="6"/>
      <c r="J181" s="6"/>
      <c r="K181" s="1"/>
      <c r="L181" s="1"/>
      <c r="M181" s="1"/>
      <c r="N181" s="1"/>
      <c r="O181" s="6"/>
      <c r="P181" s="6"/>
      <c r="Q181" s="2"/>
      <c r="R181" s="5"/>
      <c r="S181" s="4"/>
      <c r="T181" s="4"/>
      <c r="U181" s="1"/>
      <c r="V181" s="5"/>
      <c r="W181" s="1"/>
      <c r="X181" s="6"/>
      <c r="Y181" s="4"/>
      <c r="Z181" s="4"/>
      <c r="AA181" s="5"/>
      <c r="AB181" s="1"/>
      <c r="AC181" s="1"/>
      <c r="AD181" s="1"/>
    </row>
    <row r="182" spans="1:30" x14ac:dyDescent="0.25">
      <c r="A182" s="1" t="s">
        <v>1043</v>
      </c>
      <c r="B182" s="1" t="s">
        <v>235</v>
      </c>
      <c r="C182" s="1" t="s">
        <v>1081</v>
      </c>
      <c r="D182" s="4">
        <v>43762</v>
      </c>
      <c r="E182" s="6">
        <v>859350</v>
      </c>
      <c r="F182" s="6"/>
      <c r="G182" s="6"/>
      <c r="H182" s="1"/>
      <c r="I182" s="6"/>
      <c r="J182" s="6"/>
      <c r="K182" s="1"/>
      <c r="L182" s="1"/>
      <c r="M182" s="1"/>
      <c r="N182" s="1"/>
      <c r="O182" s="6"/>
      <c r="P182" s="6"/>
      <c r="Q182" s="2"/>
      <c r="R182" s="5"/>
      <c r="S182" s="4"/>
      <c r="T182" s="4"/>
      <c r="U182" s="1"/>
      <c r="V182" s="5"/>
      <c r="W182" s="1"/>
      <c r="X182" s="6"/>
      <c r="Y182" s="1"/>
      <c r="Z182" s="4"/>
      <c r="AA182" s="5"/>
      <c r="AB182" s="1"/>
      <c r="AC182" s="1"/>
      <c r="AD182" s="1"/>
    </row>
    <row r="183" spans="1:30" x14ac:dyDescent="0.25">
      <c r="A183" s="1" t="s">
        <v>1034</v>
      </c>
      <c r="B183" s="1" t="s">
        <v>733</v>
      </c>
      <c r="C183" s="1" t="s">
        <v>1081</v>
      </c>
      <c r="D183" s="4">
        <v>43761</v>
      </c>
      <c r="E183" s="6">
        <v>241780</v>
      </c>
      <c r="F183" s="6"/>
      <c r="G183" s="6"/>
      <c r="H183" s="1"/>
      <c r="I183" s="6"/>
      <c r="J183" s="6"/>
      <c r="K183" s="1"/>
      <c r="L183" s="1"/>
      <c r="M183" s="1"/>
      <c r="N183" s="1"/>
      <c r="O183" s="6"/>
      <c r="P183" s="6"/>
      <c r="Q183" s="2"/>
      <c r="R183" s="5"/>
      <c r="S183" s="4"/>
      <c r="T183" s="4"/>
      <c r="U183" s="1"/>
      <c r="V183" s="5"/>
      <c r="W183" s="1"/>
      <c r="X183" s="6"/>
      <c r="Y183" s="1"/>
      <c r="Z183" s="4"/>
      <c r="AA183" s="5"/>
      <c r="AB183" s="1"/>
      <c r="AC183" s="1"/>
      <c r="AD183" s="1"/>
    </row>
    <row r="184" spans="1:30" x14ac:dyDescent="0.25">
      <c r="A184" s="1" t="s">
        <v>1251</v>
      </c>
      <c r="B184" s="1" t="s">
        <v>733</v>
      </c>
      <c r="C184" s="1" t="s">
        <v>1081</v>
      </c>
      <c r="D184" s="4">
        <v>43761</v>
      </c>
      <c r="E184" s="6">
        <v>91500</v>
      </c>
      <c r="F184" s="6"/>
      <c r="G184" s="6"/>
      <c r="H184" s="1"/>
      <c r="I184" s="6"/>
      <c r="J184" s="6"/>
      <c r="K184" s="1"/>
      <c r="L184" s="1"/>
      <c r="M184" s="1"/>
      <c r="N184" s="1"/>
      <c r="O184" s="6"/>
      <c r="P184" s="6"/>
      <c r="Q184" s="2"/>
      <c r="R184" s="5"/>
      <c r="S184" s="4"/>
      <c r="T184" s="4"/>
      <c r="U184" s="1"/>
      <c r="V184" s="5"/>
      <c r="W184" s="1"/>
      <c r="X184" s="6"/>
      <c r="Y184" s="1"/>
      <c r="Z184" s="4"/>
      <c r="AA184" s="5"/>
      <c r="AB184" s="1"/>
      <c r="AC184" s="1"/>
      <c r="AD184" s="1"/>
    </row>
    <row r="185" spans="1:30" x14ac:dyDescent="0.25">
      <c r="A185" s="1" t="s">
        <v>1256</v>
      </c>
      <c r="B185" s="1" t="s">
        <v>750</v>
      </c>
      <c r="C185" s="1" t="s">
        <v>1081</v>
      </c>
      <c r="D185" s="4">
        <v>43761</v>
      </c>
      <c r="E185" s="6">
        <v>250118</v>
      </c>
      <c r="F185" s="6"/>
      <c r="G185" s="6"/>
      <c r="H185" s="1"/>
      <c r="I185" s="6"/>
      <c r="J185" s="6"/>
      <c r="K185" s="1"/>
      <c r="L185" s="1"/>
      <c r="M185" s="1"/>
      <c r="N185" s="1"/>
      <c r="O185" s="6"/>
      <c r="P185" s="6"/>
      <c r="Q185" s="2"/>
      <c r="R185" s="5"/>
      <c r="S185" s="4"/>
      <c r="T185" s="4"/>
      <c r="U185" s="1"/>
      <c r="V185" s="5"/>
      <c r="W185" s="1"/>
      <c r="X185" s="6"/>
      <c r="Y185" s="4"/>
      <c r="Z185" s="4"/>
      <c r="AA185" s="5"/>
      <c r="AB185" s="1"/>
      <c r="AC185" s="1"/>
      <c r="AD185" s="1"/>
    </row>
    <row r="186" spans="1:30" hidden="1" x14ac:dyDescent="0.25">
      <c r="A186" s="1" t="s">
        <v>1411</v>
      </c>
      <c r="B186" s="1" t="s">
        <v>822</v>
      </c>
      <c r="C186" s="1" t="s">
        <v>1147</v>
      </c>
      <c r="D186" s="4">
        <v>43760</v>
      </c>
      <c r="E186" s="6">
        <v>199000</v>
      </c>
      <c r="F186" s="6"/>
      <c r="G186" s="6">
        <v>66333.333333333328</v>
      </c>
      <c r="H186" s="1" t="s">
        <v>1851</v>
      </c>
      <c r="I186" s="1"/>
      <c r="J186" s="1"/>
      <c r="K186" s="1" t="s">
        <v>1851</v>
      </c>
      <c r="L186" s="1" t="s">
        <v>484</v>
      </c>
      <c r="M186" s="1" t="s">
        <v>913</v>
      </c>
      <c r="N186" s="1" t="s">
        <v>131</v>
      </c>
      <c r="O186" s="1"/>
      <c r="P186" s="1"/>
      <c r="Q186" s="2"/>
      <c r="R186" s="5">
        <v>43767.651843896907</v>
      </c>
      <c r="S186" s="4">
        <v>43769</v>
      </c>
      <c r="T186" s="4">
        <v>43793</v>
      </c>
      <c r="U186" s="1" t="s">
        <v>1956</v>
      </c>
      <c r="V186" s="5">
        <v>43770.710818879605</v>
      </c>
      <c r="W186" s="1" t="s">
        <v>1952</v>
      </c>
      <c r="X186" s="6">
        <v>199000</v>
      </c>
      <c r="Y186" s="4">
        <v>43769</v>
      </c>
      <c r="Z186" s="4">
        <v>43774</v>
      </c>
      <c r="AA186" s="5">
        <v>43830</v>
      </c>
      <c r="AB186" s="1" t="s">
        <v>1971</v>
      </c>
      <c r="AC186" s="1"/>
      <c r="AD186" s="1" t="s">
        <v>1168</v>
      </c>
    </row>
    <row r="187" spans="1:30" hidden="1" x14ac:dyDescent="0.25">
      <c r="A187" s="1" t="s">
        <v>1097</v>
      </c>
      <c r="B187" s="1" t="s">
        <v>743</v>
      </c>
      <c r="C187" s="1" t="s">
        <v>1147</v>
      </c>
      <c r="D187" s="4">
        <v>43759</v>
      </c>
      <c r="E187" s="6">
        <v>2599</v>
      </c>
      <c r="F187" s="6"/>
      <c r="G187" s="6">
        <v>433.16666666666669</v>
      </c>
      <c r="H187" s="1" t="s">
        <v>1178</v>
      </c>
      <c r="I187" s="6">
        <v>551</v>
      </c>
      <c r="J187" s="6">
        <v>0.17492063492063492</v>
      </c>
      <c r="K187" s="1" t="s">
        <v>1028</v>
      </c>
      <c r="L187" s="1" t="s">
        <v>644</v>
      </c>
      <c r="M187" s="1" t="s">
        <v>980</v>
      </c>
      <c r="N187" s="1" t="s">
        <v>46</v>
      </c>
      <c r="O187" s="6">
        <v>252</v>
      </c>
      <c r="P187" s="6">
        <v>0.08</v>
      </c>
      <c r="Q187" s="2" t="str">
        <f>HYPERLINK("https://auction.openprocurement.org/tenders/cc183fc0d4aa4cf6aac01ad7cb0f4345")</f>
        <v>https://auction.openprocurement.org/tenders/cc183fc0d4aa4cf6aac01ad7cb0f4345</v>
      </c>
      <c r="R187" s="5">
        <v>43773.518886494836</v>
      </c>
      <c r="S187" s="4">
        <v>43775</v>
      </c>
      <c r="T187" s="4">
        <v>43792</v>
      </c>
      <c r="U187" s="1" t="s">
        <v>1956</v>
      </c>
      <c r="V187" s="5">
        <v>43775.637340250651</v>
      </c>
      <c r="W187" s="1" t="s">
        <v>1952</v>
      </c>
      <c r="X187" s="6">
        <v>2898</v>
      </c>
      <c r="Y187" s="1"/>
      <c r="Z187" s="4">
        <v>43830</v>
      </c>
      <c r="AA187" s="5">
        <v>43830</v>
      </c>
      <c r="AB187" s="1" t="s">
        <v>1971</v>
      </c>
      <c r="AC187" s="1"/>
      <c r="AD187" s="1" t="s">
        <v>1168</v>
      </c>
    </row>
    <row r="188" spans="1:30" hidden="1" x14ac:dyDescent="0.25">
      <c r="A188" s="1" t="s">
        <v>1097</v>
      </c>
      <c r="B188" s="1" t="s">
        <v>741</v>
      </c>
      <c r="C188" s="1" t="s">
        <v>1147</v>
      </c>
      <c r="D188" s="4">
        <v>43759</v>
      </c>
      <c r="E188" s="6">
        <v>9412</v>
      </c>
      <c r="F188" s="6"/>
      <c r="G188" s="6">
        <v>154.29508196721312</v>
      </c>
      <c r="H188" s="1" t="s">
        <v>1893</v>
      </c>
      <c r="I188" s="6">
        <v>942</v>
      </c>
      <c r="J188" s="6">
        <v>9.0979331659262128E-2</v>
      </c>
      <c r="K188" s="1" t="s">
        <v>1028</v>
      </c>
      <c r="L188" s="1" t="s">
        <v>644</v>
      </c>
      <c r="M188" s="1" t="s">
        <v>980</v>
      </c>
      <c r="N188" s="1" t="s">
        <v>46</v>
      </c>
      <c r="O188" s="6">
        <v>280</v>
      </c>
      <c r="P188" s="6">
        <v>2.7042688815916555E-2</v>
      </c>
      <c r="Q188" s="2" t="str">
        <f>HYPERLINK("https://auction.openprocurement.org/tenders/f1af6510bab849b0876459752272990a")</f>
        <v>https://auction.openprocurement.org/tenders/f1af6510bab849b0876459752272990a</v>
      </c>
      <c r="R188" s="5">
        <v>43770.419566486249</v>
      </c>
      <c r="S188" s="4">
        <v>43774</v>
      </c>
      <c r="T188" s="4">
        <v>43792</v>
      </c>
      <c r="U188" s="1" t="s">
        <v>1956</v>
      </c>
      <c r="V188" s="5">
        <v>43781.669637572893</v>
      </c>
      <c r="W188" s="1" t="s">
        <v>1952</v>
      </c>
      <c r="X188" s="6">
        <v>10074</v>
      </c>
      <c r="Y188" s="1"/>
      <c r="Z188" s="4">
        <v>43830</v>
      </c>
      <c r="AA188" s="5">
        <v>43830</v>
      </c>
      <c r="AB188" s="1" t="s">
        <v>1971</v>
      </c>
      <c r="AC188" s="1"/>
      <c r="AD188" s="1" t="s">
        <v>1168</v>
      </c>
    </row>
    <row r="189" spans="1:30" hidden="1" x14ac:dyDescent="0.25">
      <c r="A189" s="1" t="s">
        <v>1153</v>
      </c>
      <c r="B189" s="1" t="s">
        <v>727</v>
      </c>
      <c r="C189" s="1" t="s">
        <v>1147</v>
      </c>
      <c r="D189" s="4">
        <v>43759</v>
      </c>
      <c r="E189" s="6">
        <v>26946</v>
      </c>
      <c r="F189" s="6"/>
      <c r="G189" s="6">
        <v>3849.4285714285716</v>
      </c>
      <c r="H189" s="1" t="s">
        <v>1743</v>
      </c>
      <c r="I189" s="6">
        <v>7122</v>
      </c>
      <c r="J189" s="6">
        <v>0.20905248326875661</v>
      </c>
      <c r="K189" s="1" t="s">
        <v>1028</v>
      </c>
      <c r="L189" s="1" t="s">
        <v>644</v>
      </c>
      <c r="M189" s="1" t="s">
        <v>980</v>
      </c>
      <c r="N189" s="1" t="s">
        <v>46</v>
      </c>
      <c r="O189" s="6">
        <v>1418</v>
      </c>
      <c r="P189" s="6">
        <v>4.1622637078783609E-2</v>
      </c>
      <c r="Q189" s="2" t="str">
        <f>HYPERLINK("https://auction.openprocurement.org/tenders/46f47296e5814b51b8eeeba0d693e3b1")</f>
        <v>https://auction.openprocurement.org/tenders/46f47296e5814b51b8eeeba0d693e3b1</v>
      </c>
      <c r="R189" s="5">
        <v>43776.447598312581</v>
      </c>
      <c r="S189" s="4">
        <v>43780</v>
      </c>
      <c r="T189" s="4">
        <v>43792</v>
      </c>
      <c r="U189" s="1" t="s">
        <v>1956</v>
      </c>
      <c r="V189" s="5">
        <v>43780.668613785172</v>
      </c>
      <c r="W189" s="1" t="s">
        <v>1952</v>
      </c>
      <c r="X189" s="6">
        <v>32649.96</v>
      </c>
      <c r="Y189" s="1"/>
      <c r="Z189" s="4">
        <v>43830</v>
      </c>
      <c r="AA189" s="5">
        <v>43830</v>
      </c>
      <c r="AB189" s="1" t="s">
        <v>1971</v>
      </c>
      <c r="AC189" s="1"/>
      <c r="AD189" s="1" t="s">
        <v>1168</v>
      </c>
    </row>
    <row r="190" spans="1:30" hidden="1" x14ac:dyDescent="0.25">
      <c r="A190" s="1" t="s">
        <v>1208</v>
      </c>
      <c r="B190" s="1" t="s">
        <v>717</v>
      </c>
      <c r="C190" s="1" t="s">
        <v>1147</v>
      </c>
      <c r="D190" s="4">
        <v>43759</v>
      </c>
      <c r="E190" s="6">
        <v>5329</v>
      </c>
      <c r="F190" s="6"/>
      <c r="G190" s="6">
        <v>5329</v>
      </c>
      <c r="H190" s="1" t="s">
        <v>1901</v>
      </c>
      <c r="I190" s="6">
        <v>827</v>
      </c>
      <c r="J190" s="6">
        <v>0.13434048083170891</v>
      </c>
      <c r="K190" s="1" t="s">
        <v>1893</v>
      </c>
      <c r="L190" s="1" t="s">
        <v>540</v>
      </c>
      <c r="M190" s="1" t="s">
        <v>995</v>
      </c>
      <c r="N190" s="1" t="s">
        <v>184</v>
      </c>
      <c r="O190" s="6">
        <v>311</v>
      </c>
      <c r="P190" s="6">
        <v>5.051981806367771E-2</v>
      </c>
      <c r="Q190" s="2" t="str">
        <f>HYPERLINK("https://auction.openprocurement.org/tenders/8c10bbe5052c4be089375506f44eec9b")</f>
        <v>https://auction.openprocurement.org/tenders/8c10bbe5052c4be089375506f44eec9b</v>
      </c>
      <c r="R190" s="5">
        <v>43774.584300266761</v>
      </c>
      <c r="S190" s="4">
        <v>43776</v>
      </c>
      <c r="T190" s="4">
        <v>43792</v>
      </c>
      <c r="U190" s="1" t="s">
        <v>1956</v>
      </c>
      <c r="V190" s="5">
        <v>43783.70580101719</v>
      </c>
      <c r="W190" s="1" t="s">
        <v>1952</v>
      </c>
      <c r="X190" s="6">
        <v>5845</v>
      </c>
      <c r="Y190" s="1"/>
      <c r="Z190" s="4">
        <v>43830</v>
      </c>
      <c r="AA190" s="5">
        <v>43830</v>
      </c>
      <c r="AB190" s="1" t="s">
        <v>1971</v>
      </c>
      <c r="AC190" s="1"/>
      <c r="AD190" s="1" t="s">
        <v>1168</v>
      </c>
    </row>
    <row r="191" spans="1:30" x14ac:dyDescent="0.25">
      <c r="A191" s="1" t="s">
        <v>1042</v>
      </c>
      <c r="B191" s="1" t="s">
        <v>235</v>
      </c>
      <c r="C191" s="1" t="s">
        <v>1081</v>
      </c>
      <c r="D191" s="4">
        <v>43756</v>
      </c>
      <c r="E191" s="6">
        <v>113440</v>
      </c>
      <c r="F191" s="6"/>
      <c r="G191" s="6"/>
      <c r="H191" s="1"/>
      <c r="I191" s="6"/>
      <c r="J191" s="6"/>
      <c r="K191" s="1"/>
      <c r="L191" s="1"/>
      <c r="M191" s="1"/>
      <c r="N191" s="1"/>
      <c r="O191" s="6"/>
      <c r="P191" s="6"/>
      <c r="Q191" s="2"/>
      <c r="R191" s="5"/>
      <c r="S191" s="4"/>
      <c r="T191" s="4"/>
      <c r="U191" s="1"/>
      <c r="V191" s="5"/>
      <c r="W191" s="1"/>
      <c r="X191" s="6"/>
      <c r="Y191" s="1"/>
      <c r="Z191" s="4"/>
      <c r="AA191" s="5"/>
      <c r="AB191" s="1"/>
      <c r="AC191" s="1"/>
      <c r="AD191" s="1"/>
    </row>
    <row r="192" spans="1:30" hidden="1" x14ac:dyDescent="0.25">
      <c r="A192" s="1" t="s">
        <v>1616</v>
      </c>
      <c r="B192" s="1" t="s">
        <v>754</v>
      </c>
      <c r="C192" s="1" t="s">
        <v>1157</v>
      </c>
      <c r="D192" s="4">
        <v>43755</v>
      </c>
      <c r="E192" s="6">
        <v>68640</v>
      </c>
      <c r="F192" s="6"/>
      <c r="G192" s="6">
        <v>68640</v>
      </c>
      <c r="H192" s="1"/>
      <c r="I192" s="1"/>
      <c r="J192" s="1"/>
      <c r="K192" s="1" t="s">
        <v>1024</v>
      </c>
      <c r="L192" s="1" t="s">
        <v>465</v>
      </c>
      <c r="M192" s="1"/>
      <c r="N192" s="1" t="s">
        <v>272</v>
      </c>
      <c r="O192" s="1"/>
      <c r="P192" s="1"/>
      <c r="Q192" s="2"/>
      <c r="R192" s="1"/>
      <c r="S192" s="1"/>
      <c r="T192" s="1"/>
      <c r="U192" s="1" t="s">
        <v>1956</v>
      </c>
      <c r="V192" s="5">
        <v>43755.711783679319</v>
      </c>
      <c r="W192" s="1" t="s">
        <v>196</v>
      </c>
      <c r="X192" s="6">
        <v>68640</v>
      </c>
      <c r="Y192" s="1"/>
      <c r="Z192" s="4">
        <v>44196</v>
      </c>
      <c r="AA192" s="5">
        <v>44196</v>
      </c>
      <c r="AB192" s="1" t="s">
        <v>1971</v>
      </c>
      <c r="AC192" s="1"/>
      <c r="AD192" s="1"/>
    </row>
    <row r="193" spans="1:30" hidden="1" x14ac:dyDescent="0.25">
      <c r="A193" s="1" t="s">
        <v>1611</v>
      </c>
      <c r="B193" s="1" t="s">
        <v>412</v>
      </c>
      <c r="C193" s="1" t="s">
        <v>1147</v>
      </c>
      <c r="D193" s="4">
        <v>43754</v>
      </c>
      <c r="E193" s="6">
        <v>57552</v>
      </c>
      <c r="F193" s="6"/>
      <c r="G193" s="6">
        <v>1199</v>
      </c>
      <c r="H193" s="1" t="s">
        <v>1909</v>
      </c>
      <c r="I193" s="6">
        <v>86448</v>
      </c>
      <c r="J193" s="6">
        <v>0.60033333333333339</v>
      </c>
      <c r="K193" s="1" t="s">
        <v>1312</v>
      </c>
      <c r="L193" s="1" t="s">
        <v>562</v>
      </c>
      <c r="M193" s="1" t="s">
        <v>969</v>
      </c>
      <c r="N193" s="1" t="s">
        <v>116</v>
      </c>
      <c r="O193" s="6">
        <v>68287.679999999993</v>
      </c>
      <c r="P193" s="6">
        <v>0.47421999999999997</v>
      </c>
      <c r="Q193" s="2" t="str">
        <f>HYPERLINK("https://auction.openprocurement.org/tenders/d6747f8c27b7413292032b2b0043e50a")</f>
        <v>https://auction.openprocurement.org/tenders/d6747f8c27b7413292032b2b0043e50a</v>
      </c>
      <c r="R193" s="5">
        <v>43774.454137975947</v>
      </c>
      <c r="S193" s="4">
        <v>43776</v>
      </c>
      <c r="T193" s="4">
        <v>43789</v>
      </c>
      <c r="U193" s="1" t="s">
        <v>1956</v>
      </c>
      <c r="V193" s="5">
        <v>43780.692506316875</v>
      </c>
      <c r="W193" s="1" t="s">
        <v>1952</v>
      </c>
      <c r="X193" s="6">
        <v>75712.320000000007</v>
      </c>
      <c r="Y193" s="1"/>
      <c r="Z193" s="4">
        <v>43830</v>
      </c>
      <c r="AA193" s="5">
        <v>43830</v>
      </c>
      <c r="AB193" s="1" t="s">
        <v>1971</v>
      </c>
      <c r="AC193" s="1"/>
      <c r="AD193" s="1" t="s">
        <v>1168</v>
      </c>
    </row>
    <row r="194" spans="1:30" hidden="1" x14ac:dyDescent="0.25">
      <c r="A194" s="1" t="s">
        <v>1102</v>
      </c>
      <c r="B194" s="1" t="s">
        <v>428</v>
      </c>
      <c r="C194" s="1" t="s">
        <v>1147</v>
      </c>
      <c r="D194" s="4">
        <v>43754</v>
      </c>
      <c r="E194" s="6">
        <v>3176.04</v>
      </c>
      <c r="F194" s="6"/>
      <c r="G194" s="6">
        <v>52.933999999999997</v>
      </c>
      <c r="H194" s="1" t="s">
        <v>1694</v>
      </c>
      <c r="I194" s="6">
        <v>63.960000000000036</v>
      </c>
      <c r="J194" s="6">
        <v>1.9740740740740753E-2</v>
      </c>
      <c r="K194" s="1" t="s">
        <v>1028</v>
      </c>
      <c r="L194" s="1" t="s">
        <v>644</v>
      </c>
      <c r="M194" s="1" t="s">
        <v>980</v>
      </c>
      <c r="N194" s="1" t="s">
        <v>46</v>
      </c>
      <c r="O194" s="6">
        <v>45</v>
      </c>
      <c r="P194" s="6">
        <v>1.3888888888888888E-2</v>
      </c>
      <c r="Q194" s="2" t="str">
        <f>HYPERLINK("https://auction.openprocurement.org/tenders/a08ed158e6484c08b19a37e71c500474")</f>
        <v>https://auction.openprocurement.org/tenders/a08ed158e6484c08b19a37e71c500474</v>
      </c>
      <c r="R194" s="5">
        <v>43766.628748773677</v>
      </c>
      <c r="S194" s="4">
        <v>43768</v>
      </c>
      <c r="T194" s="4">
        <v>43789</v>
      </c>
      <c r="U194" s="1" t="s">
        <v>1956</v>
      </c>
      <c r="V194" s="5">
        <v>43774.441829324736</v>
      </c>
      <c r="W194" s="1" t="s">
        <v>1952</v>
      </c>
      <c r="X194" s="6">
        <v>3194.88</v>
      </c>
      <c r="Y194" s="1"/>
      <c r="Z194" s="4">
        <v>43830</v>
      </c>
      <c r="AA194" s="5">
        <v>43830</v>
      </c>
      <c r="AB194" s="1" t="s">
        <v>1971</v>
      </c>
      <c r="AC194" s="1"/>
      <c r="AD194" s="1" t="s">
        <v>1168</v>
      </c>
    </row>
    <row r="195" spans="1:30" hidden="1" x14ac:dyDescent="0.25">
      <c r="A195" s="1" t="s">
        <v>1097</v>
      </c>
      <c r="B195" s="1" t="s">
        <v>739</v>
      </c>
      <c r="C195" s="1" t="s">
        <v>1147</v>
      </c>
      <c r="D195" s="4">
        <v>43754</v>
      </c>
      <c r="E195" s="6">
        <v>3312</v>
      </c>
      <c r="F195" s="6"/>
      <c r="G195" s="6">
        <v>1656</v>
      </c>
      <c r="H195" s="1" t="s">
        <v>1028</v>
      </c>
      <c r="I195" s="6">
        <v>42</v>
      </c>
      <c r="J195" s="6">
        <v>1.2522361359570662E-2</v>
      </c>
      <c r="K195" s="1" t="s">
        <v>1028</v>
      </c>
      <c r="L195" s="1" t="s">
        <v>644</v>
      </c>
      <c r="M195" s="1" t="s">
        <v>980</v>
      </c>
      <c r="N195" s="1" t="s">
        <v>46</v>
      </c>
      <c r="O195" s="6">
        <v>42</v>
      </c>
      <c r="P195" s="6">
        <v>1.2522361359570662E-2</v>
      </c>
      <c r="Q195" s="2"/>
      <c r="R195" s="5">
        <v>43763.591127119988</v>
      </c>
      <c r="S195" s="4">
        <v>43767</v>
      </c>
      <c r="T195" s="4">
        <v>43789</v>
      </c>
      <c r="U195" s="1" t="s">
        <v>1956</v>
      </c>
      <c r="V195" s="5">
        <v>43773.522731146149</v>
      </c>
      <c r="W195" s="1" t="s">
        <v>1952</v>
      </c>
      <c r="X195" s="6">
        <v>3312</v>
      </c>
      <c r="Y195" s="1"/>
      <c r="Z195" s="4">
        <v>43830</v>
      </c>
      <c r="AA195" s="5">
        <v>43830</v>
      </c>
      <c r="AB195" s="1" t="s">
        <v>1971</v>
      </c>
      <c r="AC195" s="1"/>
      <c r="AD195" s="1" t="s">
        <v>1168</v>
      </c>
    </row>
    <row r="196" spans="1:30" hidden="1" x14ac:dyDescent="0.25">
      <c r="A196" s="1" t="s">
        <v>1102</v>
      </c>
      <c r="B196" s="1" t="s">
        <v>742</v>
      </c>
      <c r="C196" s="1" t="s">
        <v>1147</v>
      </c>
      <c r="D196" s="4">
        <v>43754</v>
      </c>
      <c r="E196" s="6">
        <v>4833</v>
      </c>
      <c r="F196" s="6"/>
      <c r="G196" s="6">
        <v>58.2289156626506</v>
      </c>
      <c r="H196" s="1" t="s">
        <v>1178</v>
      </c>
      <c r="I196" s="6">
        <v>3819</v>
      </c>
      <c r="J196" s="6">
        <v>0.44140083217753123</v>
      </c>
      <c r="K196" s="1" t="s">
        <v>1028</v>
      </c>
      <c r="L196" s="1" t="s">
        <v>644</v>
      </c>
      <c r="M196" s="1" t="s">
        <v>980</v>
      </c>
      <c r="N196" s="1" t="s">
        <v>46</v>
      </c>
      <c r="O196" s="6">
        <v>42</v>
      </c>
      <c r="P196" s="6">
        <v>4.8543689320388345E-3</v>
      </c>
      <c r="Q196" s="2" t="str">
        <f>HYPERLINK("https://auction.openprocurement.org/tenders/cd7dc4d79dcf4c5a95157e4a12862cfa")</f>
        <v>https://auction.openprocurement.org/tenders/cd7dc4d79dcf4c5a95157e4a12862cfa</v>
      </c>
      <c r="R196" s="5">
        <v>43766.635054117141</v>
      </c>
      <c r="S196" s="4">
        <v>43768</v>
      </c>
      <c r="T196" s="4">
        <v>43789</v>
      </c>
      <c r="U196" s="1" t="s">
        <v>1956</v>
      </c>
      <c r="V196" s="5">
        <v>43769.665311435972</v>
      </c>
      <c r="W196" s="1" t="s">
        <v>1952</v>
      </c>
      <c r="X196" s="6">
        <v>8610</v>
      </c>
      <c r="Y196" s="1"/>
      <c r="Z196" s="4">
        <v>43830</v>
      </c>
      <c r="AA196" s="5">
        <v>43830</v>
      </c>
      <c r="AB196" s="1" t="s">
        <v>1971</v>
      </c>
      <c r="AC196" s="1"/>
      <c r="AD196" s="1" t="s">
        <v>1168</v>
      </c>
    </row>
    <row r="197" spans="1:30" hidden="1" x14ac:dyDescent="0.25">
      <c r="A197" s="1" t="s">
        <v>1184</v>
      </c>
      <c r="B197" s="1" t="s">
        <v>737</v>
      </c>
      <c r="C197" s="1" t="s">
        <v>1147</v>
      </c>
      <c r="D197" s="4">
        <v>43754</v>
      </c>
      <c r="E197" s="6">
        <v>9680</v>
      </c>
      <c r="F197" s="6"/>
      <c r="G197" s="6">
        <v>1210</v>
      </c>
      <c r="H197" s="1" t="s">
        <v>1228</v>
      </c>
      <c r="I197" s="6">
        <v>4456</v>
      </c>
      <c r="J197" s="6">
        <v>0.31522354272778719</v>
      </c>
      <c r="K197" s="1" t="s">
        <v>1028</v>
      </c>
      <c r="L197" s="1" t="s">
        <v>644</v>
      </c>
      <c r="M197" s="1" t="s">
        <v>980</v>
      </c>
      <c r="N197" s="1" t="s">
        <v>46</v>
      </c>
      <c r="O197" s="6">
        <v>180</v>
      </c>
      <c r="P197" s="6">
        <v>1.2733446519524618E-2</v>
      </c>
      <c r="Q197" s="2" t="str">
        <f>HYPERLINK("https://auction.openprocurement.org/tenders/bd5a08a778d84360930430adb81febc8")</f>
        <v>https://auction.openprocurement.org/tenders/bd5a08a778d84360930430adb81febc8</v>
      </c>
      <c r="R197" s="5">
        <v>43763.590247263994</v>
      </c>
      <c r="S197" s="4">
        <v>43767</v>
      </c>
      <c r="T197" s="4">
        <v>43789</v>
      </c>
      <c r="U197" s="1" t="s">
        <v>1956</v>
      </c>
      <c r="V197" s="5">
        <v>43773.531137731225</v>
      </c>
      <c r="W197" s="1" t="s">
        <v>1952</v>
      </c>
      <c r="X197" s="6">
        <v>13956</v>
      </c>
      <c r="Y197" s="1"/>
      <c r="Z197" s="4">
        <v>43830</v>
      </c>
      <c r="AA197" s="5">
        <v>43830</v>
      </c>
      <c r="AB197" s="1" t="s">
        <v>1971</v>
      </c>
      <c r="AC197" s="1"/>
      <c r="AD197" s="1" t="s">
        <v>1168</v>
      </c>
    </row>
    <row r="198" spans="1:30" hidden="1" x14ac:dyDescent="0.25">
      <c r="A198" s="1" t="s">
        <v>1162</v>
      </c>
      <c r="B198" s="1" t="s">
        <v>397</v>
      </c>
      <c r="C198" s="1" t="s">
        <v>1147</v>
      </c>
      <c r="D198" s="4">
        <v>43745</v>
      </c>
      <c r="E198" s="6">
        <v>40735.08</v>
      </c>
      <c r="F198" s="6"/>
      <c r="G198" s="6">
        <v>558.01479452054798</v>
      </c>
      <c r="H198" s="1" t="s">
        <v>1133</v>
      </c>
      <c r="I198" s="6">
        <v>4.9199999999982538</v>
      </c>
      <c r="J198" s="6">
        <v>1.2076583210599544E-4</v>
      </c>
      <c r="K198" s="1" t="s">
        <v>1133</v>
      </c>
      <c r="L198" s="1" t="s">
        <v>588</v>
      </c>
      <c r="M198" s="1" t="s">
        <v>960</v>
      </c>
      <c r="N198" s="1" t="s">
        <v>113</v>
      </c>
      <c r="O198" s="6">
        <v>4.9199999999982538</v>
      </c>
      <c r="P198" s="6">
        <v>1.2076583210599544E-4</v>
      </c>
      <c r="Q198" s="2"/>
      <c r="R198" s="5">
        <v>43753.481535020634</v>
      </c>
      <c r="S198" s="4">
        <v>43755</v>
      </c>
      <c r="T198" s="4">
        <v>43778</v>
      </c>
      <c r="U198" s="1" t="s">
        <v>1956</v>
      </c>
      <c r="V198" s="5">
        <v>43760.641787648958</v>
      </c>
      <c r="W198" s="1" t="s">
        <v>1952</v>
      </c>
      <c r="X198" s="6">
        <v>40735.08</v>
      </c>
      <c r="Y198" s="1"/>
      <c r="Z198" s="4">
        <v>43830</v>
      </c>
      <c r="AA198" s="5">
        <v>43830</v>
      </c>
      <c r="AB198" s="1" t="s">
        <v>1971</v>
      </c>
      <c r="AC198" s="1"/>
      <c r="AD198" s="1" t="s">
        <v>1168</v>
      </c>
    </row>
    <row r="199" spans="1:30" x14ac:dyDescent="0.25">
      <c r="A199" s="1" t="s">
        <v>1511</v>
      </c>
      <c r="B199" s="1" t="s">
        <v>751</v>
      </c>
      <c r="C199" s="1" t="s">
        <v>1081</v>
      </c>
      <c r="D199" s="4">
        <v>43741</v>
      </c>
      <c r="E199" s="6">
        <v>329900</v>
      </c>
      <c r="F199" s="6"/>
      <c r="G199" s="6"/>
      <c r="H199" s="1"/>
      <c r="I199" s="6"/>
      <c r="J199" s="6"/>
      <c r="K199" s="1"/>
      <c r="L199" s="1"/>
      <c r="M199" s="1"/>
      <c r="N199" s="1"/>
      <c r="O199" s="6"/>
      <c r="P199" s="6"/>
      <c r="Q199" s="2"/>
      <c r="R199" s="5"/>
      <c r="S199" s="4"/>
      <c r="T199" s="4"/>
      <c r="U199" s="1"/>
      <c r="V199" s="5"/>
      <c r="W199" s="1"/>
      <c r="X199" s="6"/>
      <c r="Y199" s="1"/>
      <c r="Z199" s="4"/>
      <c r="AA199" s="5"/>
      <c r="AB199" s="1"/>
      <c r="AC199" s="1"/>
      <c r="AD199" s="1"/>
    </row>
    <row r="200" spans="1:30" hidden="1" x14ac:dyDescent="0.25">
      <c r="A200" s="1" t="s">
        <v>1404</v>
      </c>
      <c r="B200" s="1" t="s">
        <v>822</v>
      </c>
      <c r="C200" s="1" t="s">
        <v>1081</v>
      </c>
      <c r="D200" s="4">
        <v>43741</v>
      </c>
      <c r="E200" s="6">
        <v>199000</v>
      </c>
      <c r="F200" s="6"/>
      <c r="G200" s="6">
        <v>66333.333333333328</v>
      </c>
      <c r="H200" s="1" t="s">
        <v>1851</v>
      </c>
      <c r="I200" s="6">
        <v>1000</v>
      </c>
      <c r="J200" s="6">
        <v>5.0000000000000001E-3</v>
      </c>
      <c r="K200" s="1"/>
      <c r="L200" s="1"/>
      <c r="M200" s="1"/>
      <c r="N200" s="1"/>
      <c r="O200" s="1"/>
      <c r="P200" s="1"/>
      <c r="Q200" s="2" t="str">
        <f>HYPERLINK("https://auction.openprocurement.org/tenders/d5f97adbee204754a30a2983e3c857ff")</f>
        <v>https://auction.openprocurement.org/tenders/d5f97adbee204754a30a2983e3c857ff</v>
      </c>
      <c r="R200" s="5">
        <v>43760.393572122164</v>
      </c>
      <c r="S200" s="1"/>
      <c r="T200" s="1"/>
      <c r="U200" s="1" t="s">
        <v>1957</v>
      </c>
      <c r="V200" s="5">
        <v>43770.961510995105</v>
      </c>
      <c r="W200" s="1"/>
      <c r="X200" s="1"/>
      <c r="Y200" s="4">
        <v>43763</v>
      </c>
      <c r="Z200" s="4">
        <v>43769</v>
      </c>
      <c r="AA200" s="1"/>
      <c r="AB200" s="1"/>
      <c r="AC200" s="1"/>
      <c r="AD200" s="1"/>
    </row>
    <row r="201" spans="1:30" hidden="1" x14ac:dyDescent="0.25">
      <c r="A201" s="1" t="s">
        <v>1088</v>
      </c>
      <c r="B201" s="1" t="s">
        <v>391</v>
      </c>
      <c r="C201" s="1" t="s">
        <v>1147</v>
      </c>
      <c r="D201" s="4">
        <v>43740</v>
      </c>
      <c r="E201" s="6">
        <v>21999</v>
      </c>
      <c r="F201" s="6"/>
      <c r="G201" s="6">
        <v>21999</v>
      </c>
      <c r="H201" s="1" t="s">
        <v>1133</v>
      </c>
      <c r="I201" s="1"/>
      <c r="J201" s="1"/>
      <c r="K201" s="1" t="s">
        <v>1133</v>
      </c>
      <c r="L201" s="1" t="s">
        <v>588</v>
      </c>
      <c r="M201" s="1" t="s">
        <v>960</v>
      </c>
      <c r="N201" s="1" t="s">
        <v>113</v>
      </c>
      <c r="O201" s="1"/>
      <c r="P201" s="1"/>
      <c r="Q201" s="2"/>
      <c r="R201" s="5">
        <v>43748.678378334029</v>
      </c>
      <c r="S201" s="4">
        <v>43753</v>
      </c>
      <c r="T201" s="4">
        <v>43775</v>
      </c>
      <c r="U201" s="1" t="s">
        <v>1956</v>
      </c>
      <c r="V201" s="5">
        <v>43760.675664528484</v>
      </c>
      <c r="W201" s="1" t="s">
        <v>1952</v>
      </c>
      <c r="X201" s="6">
        <v>21999</v>
      </c>
      <c r="Y201" s="1"/>
      <c r="Z201" s="4">
        <v>43830</v>
      </c>
      <c r="AA201" s="5">
        <v>43830</v>
      </c>
      <c r="AB201" s="1" t="s">
        <v>1971</v>
      </c>
      <c r="AC201" s="1"/>
      <c r="AD201" s="1" t="s">
        <v>1168</v>
      </c>
    </row>
    <row r="202" spans="1:30" hidden="1" x14ac:dyDescent="0.25">
      <c r="A202" s="1" t="s">
        <v>1609</v>
      </c>
      <c r="B202" s="1" t="s">
        <v>602</v>
      </c>
      <c r="C202" s="1" t="s">
        <v>1147</v>
      </c>
      <c r="D202" s="4">
        <v>43740</v>
      </c>
      <c r="E202" s="6">
        <v>49920</v>
      </c>
      <c r="F202" s="6"/>
      <c r="G202" s="6">
        <v>24960</v>
      </c>
      <c r="H202" s="1" t="s">
        <v>1660</v>
      </c>
      <c r="I202" s="6">
        <v>9580</v>
      </c>
      <c r="J202" s="6">
        <v>0.16100840336134453</v>
      </c>
      <c r="K202" s="1" t="s">
        <v>1660</v>
      </c>
      <c r="L202" s="1" t="s">
        <v>572</v>
      </c>
      <c r="M202" s="1" t="s">
        <v>911</v>
      </c>
      <c r="N202" s="1" t="s">
        <v>326</v>
      </c>
      <c r="O202" s="6">
        <v>9580</v>
      </c>
      <c r="P202" s="6">
        <v>0.16100840336134453</v>
      </c>
      <c r="Q202" s="2" t="str">
        <f>HYPERLINK("https://auction.openprocurement.org/tenders/22b4dd6469814cfdb2500c3e47006be5")</f>
        <v>https://auction.openprocurement.org/tenders/22b4dd6469814cfdb2500c3e47006be5</v>
      </c>
      <c r="R202" s="5">
        <v>43753.622964505485</v>
      </c>
      <c r="S202" s="4">
        <v>43755</v>
      </c>
      <c r="T202" s="4">
        <v>43775</v>
      </c>
      <c r="U202" s="1" t="s">
        <v>1956</v>
      </c>
      <c r="V202" s="5">
        <v>43759.690676281956</v>
      </c>
      <c r="W202" s="1" t="s">
        <v>1952</v>
      </c>
      <c r="X202" s="6">
        <v>49920</v>
      </c>
      <c r="Y202" s="1"/>
      <c r="Z202" s="4">
        <v>43830</v>
      </c>
      <c r="AA202" s="5">
        <v>43830</v>
      </c>
      <c r="AB202" s="1" t="s">
        <v>1971</v>
      </c>
      <c r="AC202" s="1"/>
      <c r="AD202" s="1" t="s">
        <v>1168</v>
      </c>
    </row>
    <row r="203" spans="1:30" hidden="1" x14ac:dyDescent="0.25">
      <c r="A203" s="1" t="s">
        <v>1437</v>
      </c>
      <c r="B203" s="1" t="s">
        <v>762</v>
      </c>
      <c r="C203" s="1" t="s">
        <v>1147</v>
      </c>
      <c r="D203" s="4">
        <v>43738</v>
      </c>
      <c r="E203" s="6">
        <v>29070.79</v>
      </c>
      <c r="F203" s="6"/>
      <c r="G203" s="6">
        <v>29070.79</v>
      </c>
      <c r="H203" s="1" t="s">
        <v>1664</v>
      </c>
      <c r="I203" s="6">
        <v>929.20999999999913</v>
      </c>
      <c r="J203" s="6">
        <v>3.0973666666666639E-2</v>
      </c>
      <c r="K203" s="1" t="s">
        <v>1664</v>
      </c>
      <c r="L203" s="1" t="s">
        <v>718</v>
      </c>
      <c r="M203" s="1" t="s">
        <v>957</v>
      </c>
      <c r="N203" s="1" t="s">
        <v>104</v>
      </c>
      <c r="O203" s="6">
        <v>929.20999999999913</v>
      </c>
      <c r="P203" s="6">
        <v>3.0973666666666639E-2</v>
      </c>
      <c r="Q203" s="2"/>
      <c r="R203" s="5">
        <v>43746.631801070267</v>
      </c>
      <c r="S203" s="4">
        <v>43748</v>
      </c>
      <c r="T203" s="4">
        <v>43771</v>
      </c>
      <c r="U203" s="1" t="s">
        <v>1956</v>
      </c>
      <c r="V203" s="5">
        <v>43759.671149116519</v>
      </c>
      <c r="W203" s="1" t="s">
        <v>691</v>
      </c>
      <c r="X203" s="6">
        <v>29070.79</v>
      </c>
      <c r="Y203" s="1"/>
      <c r="Z203" s="4">
        <v>43830</v>
      </c>
      <c r="AA203" s="5">
        <v>43830</v>
      </c>
      <c r="AB203" s="1" t="s">
        <v>1971</v>
      </c>
      <c r="AC203" s="1"/>
      <c r="AD203" s="1" t="s">
        <v>1168</v>
      </c>
    </row>
    <row r="204" spans="1:30" hidden="1" x14ac:dyDescent="0.25">
      <c r="A204" s="1" t="s">
        <v>1023</v>
      </c>
      <c r="B204" s="1" t="s">
        <v>739</v>
      </c>
      <c r="C204" s="1" t="s">
        <v>1147</v>
      </c>
      <c r="D204" s="4">
        <v>43738</v>
      </c>
      <c r="E204" s="6">
        <v>40695</v>
      </c>
      <c r="F204" s="6"/>
      <c r="G204" s="6">
        <v>452.16666666666669</v>
      </c>
      <c r="H204" s="1" t="s">
        <v>1699</v>
      </c>
      <c r="I204" s="6">
        <v>29305</v>
      </c>
      <c r="J204" s="6">
        <v>0.41864285714285715</v>
      </c>
      <c r="K204" s="1" t="s">
        <v>1664</v>
      </c>
      <c r="L204" s="1" t="s">
        <v>718</v>
      </c>
      <c r="M204" s="1" t="s">
        <v>957</v>
      </c>
      <c r="N204" s="1" t="s">
        <v>104</v>
      </c>
      <c r="O204" s="6">
        <v>108.5</v>
      </c>
      <c r="P204" s="6">
        <v>1.5499999999999999E-3</v>
      </c>
      <c r="Q204" s="2" t="str">
        <f>HYPERLINK("https://auction.openprocurement.org/tenders/dc8c39df39f14e29864b01943a07482b")</f>
        <v>https://auction.openprocurement.org/tenders/dc8c39df39f14e29864b01943a07482b</v>
      </c>
      <c r="R204" s="5">
        <v>43748.705404121873</v>
      </c>
      <c r="S204" s="4">
        <v>43753</v>
      </c>
      <c r="T204" s="4">
        <v>43771</v>
      </c>
      <c r="U204" s="1" t="s">
        <v>1956</v>
      </c>
      <c r="V204" s="5">
        <v>43759.67515367506</v>
      </c>
      <c r="W204" s="1" t="s">
        <v>433</v>
      </c>
      <c r="X204" s="6">
        <v>69891.5</v>
      </c>
      <c r="Y204" s="1"/>
      <c r="Z204" s="4">
        <v>43830</v>
      </c>
      <c r="AA204" s="5">
        <v>43830</v>
      </c>
      <c r="AB204" s="1" t="s">
        <v>1971</v>
      </c>
      <c r="AC204" s="1"/>
      <c r="AD204" s="1" t="s">
        <v>1168</v>
      </c>
    </row>
    <row r="205" spans="1:30" hidden="1" x14ac:dyDescent="0.25">
      <c r="A205" s="1" t="s">
        <v>1537</v>
      </c>
      <c r="B205" s="1" t="s">
        <v>788</v>
      </c>
      <c r="C205" s="1" t="s">
        <v>1157</v>
      </c>
      <c r="D205" s="4">
        <v>43733</v>
      </c>
      <c r="E205" s="6">
        <v>360000</v>
      </c>
      <c r="F205" s="6"/>
      <c r="G205" s="6">
        <v>360000</v>
      </c>
      <c r="H205" s="1"/>
      <c r="I205" s="1"/>
      <c r="J205" s="1"/>
      <c r="K205" s="1" t="s">
        <v>1912</v>
      </c>
      <c r="L205" s="1" t="s">
        <v>491</v>
      </c>
      <c r="M205" s="1"/>
      <c r="N205" s="1" t="s">
        <v>307</v>
      </c>
      <c r="O205" s="1"/>
      <c r="P205" s="1"/>
      <c r="Q205" s="2"/>
      <c r="R205" s="1"/>
      <c r="S205" s="1"/>
      <c r="T205" s="1"/>
      <c r="U205" s="1" t="s">
        <v>1956</v>
      </c>
      <c r="V205" s="5">
        <v>43733.589838263244</v>
      </c>
      <c r="W205" s="1" t="s">
        <v>479</v>
      </c>
      <c r="X205" s="6">
        <v>360000</v>
      </c>
      <c r="Y205" s="1"/>
      <c r="Z205" s="4">
        <v>43830</v>
      </c>
      <c r="AA205" s="5">
        <v>43830</v>
      </c>
      <c r="AB205" s="1" t="s">
        <v>1971</v>
      </c>
      <c r="AC205" s="1"/>
      <c r="AD205" s="1" t="s">
        <v>1168</v>
      </c>
    </row>
    <row r="206" spans="1:30" hidden="1" x14ac:dyDescent="0.25">
      <c r="A206" s="1" t="s">
        <v>1056</v>
      </c>
      <c r="B206" s="1" t="s">
        <v>375</v>
      </c>
      <c r="C206" s="1" t="s">
        <v>1147</v>
      </c>
      <c r="D206" s="4">
        <v>43733</v>
      </c>
      <c r="E206" s="6">
        <v>24900</v>
      </c>
      <c r="F206" s="6"/>
      <c r="G206" s="6">
        <v>0.249</v>
      </c>
      <c r="H206" s="1" t="s">
        <v>1862</v>
      </c>
      <c r="I206" s="6">
        <v>10100</v>
      </c>
      <c r="J206" s="6">
        <v>0.28857142857142859</v>
      </c>
      <c r="K206" s="1" t="s">
        <v>1658</v>
      </c>
      <c r="L206" s="1" t="s">
        <v>688</v>
      </c>
      <c r="M206" s="1" t="s">
        <v>893</v>
      </c>
      <c r="N206" s="1" t="s">
        <v>29</v>
      </c>
      <c r="O206" s="6">
        <v>200</v>
      </c>
      <c r="P206" s="6">
        <v>5.7142857142857143E-3</v>
      </c>
      <c r="Q206" s="2" t="str">
        <f>HYPERLINK("https://auction.openprocurement.org/tenders/a70f003667ab4b7abaa65591d0aa0de4")</f>
        <v>https://auction.openprocurement.org/tenders/a70f003667ab4b7abaa65591d0aa0de4</v>
      </c>
      <c r="R206" s="5">
        <v>43742.636220391585</v>
      </c>
      <c r="S206" s="4">
        <v>43746</v>
      </c>
      <c r="T206" s="4">
        <v>43768</v>
      </c>
      <c r="U206" s="1" t="s">
        <v>1956</v>
      </c>
      <c r="V206" s="5">
        <v>43756.613490910466</v>
      </c>
      <c r="W206" s="1" t="s">
        <v>410</v>
      </c>
      <c r="X206" s="6">
        <v>34800</v>
      </c>
      <c r="Y206" s="1"/>
      <c r="Z206" s="4">
        <v>43769</v>
      </c>
      <c r="AA206" s="5">
        <v>43830</v>
      </c>
      <c r="AB206" s="1" t="s">
        <v>1971</v>
      </c>
      <c r="AC206" s="1"/>
      <c r="AD206" s="1" t="s">
        <v>1168</v>
      </c>
    </row>
    <row r="207" spans="1:30" x14ac:dyDescent="0.25">
      <c r="A207" s="1" t="s">
        <v>1600</v>
      </c>
      <c r="B207" s="1" t="s">
        <v>548</v>
      </c>
      <c r="C207" s="1" t="s">
        <v>1081</v>
      </c>
      <c r="D207" s="4">
        <v>43731</v>
      </c>
      <c r="E207" s="6">
        <v>963050</v>
      </c>
      <c r="F207" s="6"/>
      <c r="G207" s="6"/>
      <c r="H207" s="1"/>
      <c r="I207" s="6"/>
      <c r="J207" s="6"/>
      <c r="K207" s="1"/>
      <c r="L207" s="1"/>
      <c r="M207" s="1"/>
      <c r="N207" s="1"/>
      <c r="O207" s="6"/>
      <c r="P207" s="6"/>
      <c r="Q207" s="2"/>
      <c r="R207" s="5"/>
      <c r="S207" s="4"/>
      <c r="T207" s="4"/>
      <c r="U207" s="1"/>
      <c r="V207" s="5"/>
      <c r="W207" s="1"/>
      <c r="X207" s="6"/>
      <c r="Y207" s="1"/>
      <c r="Z207" s="4"/>
      <c r="AA207" s="5"/>
      <c r="AB207" s="1"/>
      <c r="AC207" s="1"/>
      <c r="AD207" s="1"/>
    </row>
    <row r="208" spans="1:30" hidden="1" x14ac:dyDescent="0.25">
      <c r="A208" s="1" t="s">
        <v>1377</v>
      </c>
      <c r="B208" s="1" t="s">
        <v>841</v>
      </c>
      <c r="C208" s="1" t="s">
        <v>1147</v>
      </c>
      <c r="D208" s="4">
        <v>43731</v>
      </c>
      <c r="E208" s="6">
        <v>49000</v>
      </c>
      <c r="F208" s="6"/>
      <c r="G208" s="6">
        <v>24500</v>
      </c>
      <c r="H208" s="1" t="s">
        <v>1825</v>
      </c>
      <c r="I208" s="1"/>
      <c r="J208" s="1"/>
      <c r="K208" s="1" t="s">
        <v>1825</v>
      </c>
      <c r="L208" s="1" t="s">
        <v>502</v>
      </c>
      <c r="M208" s="1" t="s">
        <v>872</v>
      </c>
      <c r="N208" s="1" t="s">
        <v>647</v>
      </c>
      <c r="O208" s="1"/>
      <c r="P208" s="1"/>
      <c r="Q208" s="2"/>
      <c r="R208" s="5">
        <v>43738.587449609688</v>
      </c>
      <c r="S208" s="4">
        <v>43740</v>
      </c>
      <c r="T208" s="4">
        <v>43764</v>
      </c>
      <c r="U208" s="1" t="s">
        <v>1956</v>
      </c>
      <c r="V208" s="5">
        <v>43741.673347114396</v>
      </c>
      <c r="W208" s="1" t="s">
        <v>745</v>
      </c>
      <c r="X208" s="6">
        <v>49000</v>
      </c>
      <c r="Y208" s="4">
        <v>43789</v>
      </c>
      <c r="Z208" s="4">
        <v>43830</v>
      </c>
      <c r="AA208" s="5">
        <v>43830</v>
      </c>
      <c r="AB208" s="1" t="s">
        <v>1971</v>
      </c>
      <c r="AC208" s="1"/>
      <c r="AD208" s="1" t="s">
        <v>1168</v>
      </c>
    </row>
    <row r="209" spans="1:30" x14ac:dyDescent="0.25">
      <c r="A209" s="1" t="s">
        <v>1447</v>
      </c>
      <c r="B209" s="1" t="s">
        <v>834</v>
      </c>
      <c r="C209" s="1" t="s">
        <v>1081</v>
      </c>
      <c r="D209" s="4">
        <v>43728</v>
      </c>
      <c r="E209" s="6">
        <v>150150</v>
      </c>
      <c r="F209" s="6"/>
      <c r="G209" s="6"/>
      <c r="H209" s="1"/>
      <c r="I209" s="6"/>
      <c r="J209" s="6"/>
      <c r="K209" s="1"/>
      <c r="L209" s="1"/>
      <c r="M209" s="1"/>
      <c r="N209" s="1"/>
      <c r="O209" s="6"/>
      <c r="P209" s="6"/>
      <c r="Q209" s="2"/>
      <c r="R209" s="5"/>
      <c r="S209" s="4"/>
      <c r="T209" s="4"/>
      <c r="U209" s="1"/>
      <c r="V209" s="5"/>
      <c r="W209" s="1"/>
      <c r="X209" s="6"/>
      <c r="Y209" s="1"/>
      <c r="Z209" s="4"/>
      <c r="AA209" s="5"/>
      <c r="AB209" s="1"/>
      <c r="AC209" s="1"/>
      <c r="AD209" s="1"/>
    </row>
    <row r="210" spans="1:30" hidden="1" x14ac:dyDescent="0.25">
      <c r="A210" s="1" t="s">
        <v>1404</v>
      </c>
      <c r="B210" s="1" t="s">
        <v>822</v>
      </c>
      <c r="C210" s="1" t="s">
        <v>1081</v>
      </c>
      <c r="D210" s="4">
        <v>43727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2"/>
      <c r="R210" s="1"/>
      <c r="S210" s="1"/>
      <c r="T210" s="1"/>
      <c r="U210" s="1" t="s">
        <v>1972</v>
      </c>
      <c r="V210" s="5">
        <v>43738.629356271493</v>
      </c>
      <c r="W210" s="1"/>
      <c r="X210" s="1"/>
      <c r="Y210" s="4">
        <v>43763</v>
      </c>
      <c r="Z210" s="4">
        <v>43819</v>
      </c>
      <c r="AA210" s="1"/>
      <c r="AB210" s="1"/>
      <c r="AC210" s="1" t="s">
        <v>1789</v>
      </c>
      <c r="AD210" s="1"/>
    </row>
    <row r="211" spans="1:30" hidden="1" x14ac:dyDescent="0.25">
      <c r="A211" s="1" t="s">
        <v>1377</v>
      </c>
      <c r="B211" s="1" t="s">
        <v>841</v>
      </c>
      <c r="C211" s="1" t="s">
        <v>1147</v>
      </c>
      <c r="D211" s="4">
        <v>43725</v>
      </c>
      <c r="E211" s="6">
        <v>60000</v>
      </c>
      <c r="F211" s="6"/>
      <c r="G211" s="6">
        <v>20000</v>
      </c>
      <c r="H211" s="1" t="s">
        <v>1844</v>
      </c>
      <c r="I211" s="1"/>
      <c r="J211" s="1"/>
      <c r="K211" s="1" t="s">
        <v>1844</v>
      </c>
      <c r="L211" s="1" t="s">
        <v>457</v>
      </c>
      <c r="M211" s="1" t="s">
        <v>909</v>
      </c>
      <c r="N211" s="1" t="s">
        <v>126</v>
      </c>
      <c r="O211" s="1"/>
      <c r="P211" s="1"/>
      <c r="Q211" s="2"/>
      <c r="R211" s="5">
        <v>43732.648294967665</v>
      </c>
      <c r="S211" s="4">
        <v>43734</v>
      </c>
      <c r="T211" s="4">
        <v>43758</v>
      </c>
      <c r="U211" s="1" t="s">
        <v>1956</v>
      </c>
      <c r="V211" s="5">
        <v>43738.673071664918</v>
      </c>
      <c r="W211" s="1" t="s">
        <v>1952</v>
      </c>
      <c r="X211" s="6">
        <v>60000</v>
      </c>
      <c r="Y211" s="4">
        <v>43739</v>
      </c>
      <c r="Z211" s="4">
        <v>43830</v>
      </c>
      <c r="AA211" s="5">
        <v>43830</v>
      </c>
      <c r="AB211" s="1" t="s">
        <v>1971</v>
      </c>
      <c r="AC211" s="1"/>
      <c r="AD211" s="1" t="s">
        <v>1168</v>
      </c>
    </row>
    <row r="212" spans="1:30" hidden="1" x14ac:dyDescent="0.25">
      <c r="A212" s="1" t="s">
        <v>1415</v>
      </c>
      <c r="B212" s="1" t="s">
        <v>785</v>
      </c>
      <c r="C212" s="1" t="s">
        <v>1147</v>
      </c>
      <c r="D212" s="4">
        <v>43721</v>
      </c>
      <c r="E212" s="6">
        <v>45000</v>
      </c>
      <c r="F212" s="6"/>
      <c r="G212" s="6">
        <v>15000</v>
      </c>
      <c r="H212" s="1" t="s">
        <v>1673</v>
      </c>
      <c r="I212" s="1"/>
      <c r="J212" s="1"/>
      <c r="K212" s="1" t="s">
        <v>1673</v>
      </c>
      <c r="L212" s="1" t="s">
        <v>715</v>
      </c>
      <c r="M212" s="1" t="s">
        <v>932</v>
      </c>
      <c r="N212" s="1" t="s">
        <v>121</v>
      </c>
      <c r="O212" s="1"/>
      <c r="P212" s="1"/>
      <c r="Q212" s="2"/>
      <c r="R212" s="5">
        <v>43731.430125077255</v>
      </c>
      <c r="S212" s="4">
        <v>43733</v>
      </c>
      <c r="T212" s="4">
        <v>43756</v>
      </c>
      <c r="U212" s="1" t="s">
        <v>1956</v>
      </c>
      <c r="V212" s="5">
        <v>43733.596398675218</v>
      </c>
      <c r="W212" s="1" t="s">
        <v>1952</v>
      </c>
      <c r="X212" s="6">
        <v>45000</v>
      </c>
      <c r="Y212" s="4">
        <v>43739</v>
      </c>
      <c r="Z212" s="4">
        <v>43830</v>
      </c>
      <c r="AA212" s="5">
        <v>43830</v>
      </c>
      <c r="AB212" s="1" t="s">
        <v>1971</v>
      </c>
      <c r="AC212" s="1"/>
      <c r="AD212" s="1" t="s">
        <v>1168</v>
      </c>
    </row>
    <row r="213" spans="1:30" hidden="1" x14ac:dyDescent="0.25">
      <c r="A213" s="1" t="s">
        <v>1377</v>
      </c>
      <c r="B213" s="1" t="s">
        <v>841</v>
      </c>
      <c r="C213" s="1" t="s">
        <v>1147</v>
      </c>
      <c r="D213" s="4">
        <v>43718</v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2"/>
      <c r="R213" s="1"/>
      <c r="S213" s="1"/>
      <c r="T213" s="1"/>
      <c r="U213" s="1" t="s">
        <v>1957</v>
      </c>
      <c r="V213" s="5">
        <v>43725.459597288551</v>
      </c>
      <c r="W213" s="1"/>
      <c r="X213" s="1"/>
      <c r="Y213" s="4">
        <v>43739</v>
      </c>
      <c r="Z213" s="4">
        <v>43830</v>
      </c>
      <c r="AA213" s="1"/>
      <c r="AB213" s="1"/>
      <c r="AC213" s="1"/>
      <c r="AD213" s="1"/>
    </row>
    <row r="214" spans="1:30" hidden="1" x14ac:dyDescent="0.25">
      <c r="A214" s="1" t="s">
        <v>1545</v>
      </c>
      <c r="B214" s="1" t="s">
        <v>793</v>
      </c>
      <c r="C214" s="1" t="s">
        <v>1157</v>
      </c>
      <c r="D214" s="4">
        <v>43705</v>
      </c>
      <c r="E214" s="6">
        <v>1373673</v>
      </c>
      <c r="F214" s="6"/>
      <c r="G214" s="6">
        <v>1373673</v>
      </c>
      <c r="H214" s="1"/>
      <c r="I214" s="1"/>
      <c r="J214" s="1"/>
      <c r="K214" s="1" t="s">
        <v>1324</v>
      </c>
      <c r="L214" s="1" t="s">
        <v>576</v>
      </c>
      <c r="M214" s="1"/>
      <c r="N214" s="1" t="s">
        <v>297</v>
      </c>
      <c r="O214" s="1"/>
      <c r="P214" s="1"/>
      <c r="Q214" s="2"/>
      <c r="R214" s="1"/>
      <c r="S214" s="1"/>
      <c r="T214" s="1"/>
      <c r="U214" s="1" t="s">
        <v>1956</v>
      </c>
      <c r="V214" s="5">
        <v>43705.568825988914</v>
      </c>
      <c r="W214" s="1" t="s">
        <v>1628</v>
      </c>
      <c r="X214" s="6">
        <v>1373673</v>
      </c>
      <c r="Y214" s="4">
        <v>43704</v>
      </c>
      <c r="Z214" s="4">
        <v>43830</v>
      </c>
      <c r="AA214" s="5">
        <v>43830</v>
      </c>
      <c r="AB214" s="1" t="s">
        <v>1971</v>
      </c>
      <c r="AC214" s="1"/>
      <c r="AD214" s="1"/>
    </row>
    <row r="215" spans="1:30" hidden="1" x14ac:dyDescent="0.25">
      <c r="A215" s="1" t="s">
        <v>1029</v>
      </c>
      <c r="B215" s="1" t="s">
        <v>788</v>
      </c>
      <c r="C215" s="1" t="s">
        <v>1157</v>
      </c>
      <c r="D215" s="4">
        <v>43705</v>
      </c>
      <c r="E215" s="6">
        <v>382518</v>
      </c>
      <c r="F215" s="6"/>
      <c r="G215" s="6">
        <v>382518</v>
      </c>
      <c r="H215" s="1"/>
      <c r="I215" s="1"/>
      <c r="J215" s="1"/>
      <c r="K215" s="1" t="s">
        <v>1930</v>
      </c>
      <c r="L215" s="1" t="s">
        <v>492</v>
      </c>
      <c r="M215" s="1"/>
      <c r="N215" s="1" t="s">
        <v>307</v>
      </c>
      <c r="O215" s="1"/>
      <c r="P215" s="1"/>
      <c r="Q215" s="2"/>
      <c r="R215" s="1"/>
      <c r="S215" s="1"/>
      <c r="T215" s="1"/>
      <c r="U215" s="1" t="s">
        <v>1956</v>
      </c>
      <c r="V215" s="5">
        <v>43705.552997555613</v>
      </c>
      <c r="W215" s="1" t="s">
        <v>1026</v>
      </c>
      <c r="X215" s="6">
        <v>382518</v>
      </c>
      <c r="Y215" s="4">
        <v>43704</v>
      </c>
      <c r="Z215" s="4">
        <v>43830</v>
      </c>
      <c r="AA215" s="5">
        <v>43830</v>
      </c>
      <c r="AB215" s="1" t="s">
        <v>1971</v>
      </c>
      <c r="AC215" s="1"/>
      <c r="AD215" s="1"/>
    </row>
    <row r="216" spans="1:30" x14ac:dyDescent="0.25">
      <c r="A216" s="1" t="s">
        <v>1002</v>
      </c>
      <c r="B216" s="1" t="s">
        <v>755</v>
      </c>
      <c r="C216" s="1" t="s">
        <v>1081</v>
      </c>
      <c r="D216" s="4">
        <v>43705</v>
      </c>
      <c r="E216" s="6">
        <v>352444.26</v>
      </c>
      <c r="F216" s="6"/>
      <c r="G216" s="6"/>
      <c r="H216" s="1"/>
      <c r="I216" s="6"/>
      <c r="J216" s="6"/>
      <c r="K216" s="1"/>
      <c r="L216" s="1"/>
      <c r="M216" s="1"/>
      <c r="N216" s="1"/>
      <c r="O216" s="6"/>
      <c r="P216" s="6"/>
      <c r="Q216" s="2"/>
      <c r="R216" s="5"/>
      <c r="S216" s="4"/>
      <c r="T216" s="4"/>
      <c r="U216" s="1"/>
      <c r="V216" s="5"/>
      <c r="W216" s="1"/>
      <c r="X216" s="6"/>
      <c r="Y216" s="1"/>
      <c r="Z216" s="4"/>
      <c r="AA216" s="5"/>
      <c r="AB216" s="1"/>
      <c r="AC216" s="1"/>
      <c r="AD216" s="1"/>
    </row>
    <row r="217" spans="1:30" hidden="1" x14ac:dyDescent="0.25">
      <c r="A217" s="1" t="s">
        <v>1414</v>
      </c>
      <c r="B217" s="1" t="s">
        <v>785</v>
      </c>
      <c r="C217" s="1" t="s">
        <v>1081</v>
      </c>
      <c r="D217" s="4">
        <v>43705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2"/>
      <c r="R217" s="1"/>
      <c r="S217" s="1"/>
      <c r="T217" s="1"/>
      <c r="U217" s="1" t="s">
        <v>1957</v>
      </c>
      <c r="V217" s="5">
        <v>43720.501812113347</v>
      </c>
      <c r="W217" s="1"/>
      <c r="X217" s="1"/>
      <c r="Y217" s="4">
        <v>43739</v>
      </c>
      <c r="Z217" s="4">
        <v>43830</v>
      </c>
      <c r="AA217" s="1"/>
      <c r="AB217" s="1"/>
      <c r="AC217" s="1"/>
      <c r="AD217" s="1"/>
    </row>
    <row r="218" spans="1:30" x14ac:dyDescent="0.25">
      <c r="A218" s="1" t="s">
        <v>1248</v>
      </c>
      <c r="B218" s="1" t="s">
        <v>733</v>
      </c>
      <c r="C218" s="1" t="s">
        <v>1081</v>
      </c>
      <c r="D218" s="4">
        <v>43704</v>
      </c>
      <c r="E218" s="6">
        <v>219000</v>
      </c>
      <c r="F218" s="6"/>
      <c r="G218" s="6"/>
      <c r="H218" s="1"/>
      <c r="I218" s="6"/>
      <c r="J218" s="6"/>
      <c r="K218" s="1"/>
      <c r="L218" s="1"/>
      <c r="M218" s="1"/>
      <c r="N218" s="1"/>
      <c r="O218" s="6"/>
      <c r="P218" s="6"/>
      <c r="Q218" s="2"/>
      <c r="R218" s="5"/>
      <c r="S218" s="4"/>
      <c r="T218" s="4"/>
      <c r="U218" s="1"/>
      <c r="V218" s="5"/>
      <c r="W218" s="1"/>
      <c r="X218" s="6"/>
      <c r="Y218" s="1"/>
      <c r="Z218" s="4"/>
      <c r="AA218" s="5"/>
      <c r="AB218" s="1"/>
      <c r="AC218" s="1"/>
      <c r="AD218" s="1"/>
    </row>
    <row r="219" spans="1:30" x14ac:dyDescent="0.25">
      <c r="A219" s="1" t="s">
        <v>1248</v>
      </c>
      <c r="B219" s="1" t="s">
        <v>733</v>
      </c>
      <c r="C219" s="1" t="s">
        <v>1081</v>
      </c>
      <c r="D219" s="4">
        <v>43699</v>
      </c>
      <c r="E219" s="6">
        <v>349950</v>
      </c>
      <c r="F219" s="6"/>
      <c r="G219" s="6"/>
      <c r="H219" s="1"/>
      <c r="I219" s="6"/>
      <c r="J219" s="6"/>
      <c r="K219" s="1"/>
      <c r="L219" s="1"/>
      <c r="M219" s="1"/>
      <c r="N219" s="1"/>
      <c r="O219" s="6"/>
      <c r="P219" s="6"/>
      <c r="Q219" s="2"/>
      <c r="R219" s="5"/>
      <c r="S219" s="4"/>
      <c r="T219" s="4"/>
      <c r="U219" s="1"/>
      <c r="V219" s="5"/>
      <c r="W219" s="1"/>
      <c r="X219" s="6"/>
      <c r="Y219" s="1"/>
      <c r="Z219" s="4"/>
      <c r="AA219" s="5"/>
      <c r="AB219" s="1"/>
      <c r="AC219" s="1"/>
      <c r="AD219" s="1"/>
    </row>
    <row r="220" spans="1:30" x14ac:dyDescent="0.25">
      <c r="A220" s="1" t="s">
        <v>1291</v>
      </c>
      <c r="B220" s="1" t="s">
        <v>609</v>
      </c>
      <c r="C220" s="1" t="s">
        <v>1081</v>
      </c>
      <c r="D220" s="4">
        <v>43692</v>
      </c>
      <c r="E220" s="6">
        <v>113240</v>
      </c>
      <c r="F220" s="6"/>
      <c r="G220" s="6"/>
      <c r="H220" s="1"/>
      <c r="I220" s="6"/>
      <c r="J220" s="6"/>
      <c r="K220" s="1"/>
      <c r="L220" s="1"/>
      <c r="M220" s="1"/>
      <c r="N220" s="1"/>
      <c r="O220" s="6"/>
      <c r="P220" s="6"/>
      <c r="Q220" s="2"/>
      <c r="R220" s="5"/>
      <c r="S220" s="4"/>
      <c r="T220" s="4"/>
      <c r="U220" s="1"/>
      <c r="V220" s="5"/>
      <c r="W220" s="1"/>
      <c r="X220" s="6"/>
      <c r="Y220" s="1"/>
      <c r="Z220" s="4"/>
      <c r="AA220" s="5"/>
      <c r="AB220" s="1"/>
      <c r="AC220" s="1"/>
      <c r="AD220" s="1"/>
    </row>
    <row r="221" spans="1:30" hidden="1" x14ac:dyDescent="0.25">
      <c r="A221" s="1" t="s">
        <v>1188</v>
      </c>
      <c r="B221" s="1" t="s">
        <v>737</v>
      </c>
      <c r="C221" s="1" t="s">
        <v>1147</v>
      </c>
      <c r="D221" s="4">
        <v>43692</v>
      </c>
      <c r="E221" s="6">
        <v>3103.14</v>
      </c>
      <c r="F221" s="6"/>
      <c r="G221" s="1" t="s">
        <v>1960</v>
      </c>
      <c r="H221" s="1" t="s">
        <v>1868</v>
      </c>
      <c r="I221" s="6">
        <v>46.860000000000127</v>
      </c>
      <c r="J221" s="6">
        <v>1.4876190476190517E-2</v>
      </c>
      <c r="K221" s="1" t="s">
        <v>1868</v>
      </c>
      <c r="L221" s="1" t="s">
        <v>512</v>
      </c>
      <c r="M221" s="1" t="s">
        <v>867</v>
      </c>
      <c r="N221" s="1" t="s">
        <v>170</v>
      </c>
      <c r="O221" s="6">
        <v>46.860000000000127</v>
      </c>
      <c r="P221" s="6">
        <v>1.4876190476190517E-2</v>
      </c>
      <c r="Q221" s="2"/>
      <c r="R221" s="5">
        <v>43699.522363462282</v>
      </c>
      <c r="S221" s="4">
        <v>43704</v>
      </c>
      <c r="T221" s="4">
        <v>43726</v>
      </c>
      <c r="U221" s="1" t="s">
        <v>1956</v>
      </c>
      <c r="V221" s="5">
        <v>43710.617804890993</v>
      </c>
      <c r="W221" s="1" t="s">
        <v>1952</v>
      </c>
      <c r="X221" s="6">
        <v>3103.14</v>
      </c>
      <c r="Y221" s="1"/>
      <c r="Z221" s="4">
        <v>43830</v>
      </c>
      <c r="AA221" s="5">
        <v>43830</v>
      </c>
      <c r="AB221" s="1" t="s">
        <v>1971</v>
      </c>
      <c r="AC221" s="1"/>
      <c r="AD221" s="1" t="s">
        <v>1168</v>
      </c>
    </row>
    <row r="222" spans="1:30" hidden="1" x14ac:dyDescent="0.25">
      <c r="A222" s="1" t="s">
        <v>1057</v>
      </c>
      <c r="B222" s="1" t="s">
        <v>744</v>
      </c>
      <c r="C222" s="1" t="s">
        <v>1147</v>
      </c>
      <c r="D222" s="4">
        <v>43692</v>
      </c>
      <c r="E222" s="6">
        <v>26615.54</v>
      </c>
      <c r="F222" s="6"/>
      <c r="G222" s="1" t="s">
        <v>1960</v>
      </c>
      <c r="H222" s="1" t="s">
        <v>1868</v>
      </c>
      <c r="I222" s="6">
        <v>404.45999999999913</v>
      </c>
      <c r="J222" s="6">
        <v>1.4968911917098413E-2</v>
      </c>
      <c r="K222" s="1" t="s">
        <v>1868</v>
      </c>
      <c r="L222" s="1" t="s">
        <v>512</v>
      </c>
      <c r="M222" s="1" t="s">
        <v>867</v>
      </c>
      <c r="N222" s="1" t="s">
        <v>170</v>
      </c>
      <c r="O222" s="6">
        <v>404.45999999999913</v>
      </c>
      <c r="P222" s="6">
        <v>1.4968911917098413E-2</v>
      </c>
      <c r="Q222" s="2"/>
      <c r="R222" s="5">
        <v>43699.523246485311</v>
      </c>
      <c r="S222" s="4">
        <v>43704</v>
      </c>
      <c r="T222" s="4">
        <v>43726</v>
      </c>
      <c r="U222" s="1" t="s">
        <v>1956</v>
      </c>
      <c r="V222" s="5">
        <v>43710.623153853507</v>
      </c>
      <c r="W222" s="1" t="s">
        <v>1952</v>
      </c>
      <c r="X222" s="6">
        <v>26615.54</v>
      </c>
      <c r="Y222" s="1"/>
      <c r="Z222" s="4">
        <v>43830</v>
      </c>
      <c r="AA222" s="5">
        <v>43830</v>
      </c>
      <c r="AB222" s="1" t="s">
        <v>1971</v>
      </c>
      <c r="AC222" s="1"/>
      <c r="AD222" s="1" t="s">
        <v>1168</v>
      </c>
    </row>
    <row r="223" spans="1:30" x14ac:dyDescent="0.25">
      <c r="A223" s="1" t="s">
        <v>1001</v>
      </c>
      <c r="B223" s="1" t="s">
        <v>821</v>
      </c>
      <c r="C223" s="1" t="s">
        <v>1081</v>
      </c>
      <c r="D223" s="4">
        <v>43691</v>
      </c>
      <c r="E223" s="6">
        <v>268650</v>
      </c>
      <c r="F223" s="6"/>
      <c r="G223" s="6"/>
      <c r="H223" s="1"/>
      <c r="I223" s="6"/>
      <c r="J223" s="6"/>
      <c r="K223" s="1"/>
      <c r="L223" s="1"/>
      <c r="M223" s="1"/>
      <c r="N223" s="1"/>
      <c r="O223" s="6"/>
      <c r="P223" s="6"/>
      <c r="Q223" s="2"/>
      <c r="R223" s="5"/>
      <c r="S223" s="4"/>
      <c r="T223" s="4"/>
      <c r="U223" s="1"/>
      <c r="V223" s="5"/>
      <c r="W223" s="1"/>
      <c r="X223" s="6"/>
      <c r="Y223" s="1"/>
      <c r="Z223" s="4"/>
      <c r="AA223" s="5"/>
      <c r="AB223" s="1"/>
      <c r="AC223" s="1"/>
      <c r="AD223" s="1"/>
    </row>
    <row r="224" spans="1:30" x14ac:dyDescent="0.25">
      <c r="A224" s="1" t="s">
        <v>1815</v>
      </c>
      <c r="B224" s="1" t="s">
        <v>609</v>
      </c>
      <c r="C224" s="1" t="s">
        <v>1081</v>
      </c>
      <c r="D224" s="4">
        <v>43691</v>
      </c>
      <c r="E224" s="6">
        <v>78200</v>
      </c>
      <c r="F224" s="6"/>
      <c r="G224" s="6"/>
      <c r="H224" s="1"/>
      <c r="I224" s="6"/>
      <c r="J224" s="6"/>
      <c r="K224" s="1"/>
      <c r="L224" s="1"/>
      <c r="M224" s="1"/>
      <c r="N224" s="1"/>
      <c r="O224" s="6"/>
      <c r="P224" s="6"/>
      <c r="Q224" s="2"/>
      <c r="R224" s="5"/>
      <c r="S224" s="4"/>
      <c r="T224" s="4"/>
      <c r="U224" s="1"/>
      <c r="V224" s="5"/>
      <c r="W224" s="1"/>
      <c r="X224" s="6"/>
      <c r="Y224" s="1"/>
      <c r="Z224" s="4"/>
      <c r="AA224" s="5"/>
      <c r="AB224" s="1"/>
      <c r="AC224" s="1"/>
      <c r="AD224" s="1"/>
    </row>
    <row r="225" spans="1:30" hidden="1" x14ac:dyDescent="0.25">
      <c r="A225" s="1" t="s">
        <v>1414</v>
      </c>
      <c r="B225" s="1" t="s">
        <v>785</v>
      </c>
      <c r="C225" s="1" t="s">
        <v>1081</v>
      </c>
      <c r="D225" s="4">
        <v>43689</v>
      </c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"/>
      <c r="R225" s="1"/>
      <c r="S225" s="1"/>
      <c r="T225" s="1"/>
      <c r="U225" s="1" t="s">
        <v>1957</v>
      </c>
      <c r="V225" s="5">
        <v>43704.723323000704</v>
      </c>
      <c r="W225" s="1"/>
      <c r="X225" s="1"/>
      <c r="Y225" s="4">
        <v>43709</v>
      </c>
      <c r="Z225" s="4">
        <v>43830</v>
      </c>
      <c r="AA225" s="1"/>
      <c r="AB225" s="1"/>
      <c r="AC225" s="1"/>
      <c r="AD225" s="1"/>
    </row>
    <row r="226" spans="1:30" x14ac:dyDescent="0.25">
      <c r="A226" s="1" t="s">
        <v>1238</v>
      </c>
      <c r="B226" s="1" t="s">
        <v>729</v>
      </c>
      <c r="C226" s="1" t="s">
        <v>1081</v>
      </c>
      <c r="D226" s="4">
        <v>43689</v>
      </c>
      <c r="E226" s="6">
        <v>27605.279999999999</v>
      </c>
      <c r="F226" s="6"/>
      <c r="G226" s="1"/>
      <c r="H226" s="1"/>
      <c r="I226" s="6"/>
      <c r="J226" s="6"/>
      <c r="K226" s="1"/>
      <c r="L226" s="1"/>
      <c r="M226" s="1"/>
      <c r="N226" s="1"/>
      <c r="O226" s="6"/>
      <c r="P226" s="6"/>
      <c r="Q226" s="2"/>
      <c r="R226" s="5"/>
      <c r="S226" s="4"/>
      <c r="T226" s="4"/>
      <c r="U226" s="1"/>
      <c r="V226" s="5"/>
      <c r="W226" s="1"/>
      <c r="X226" s="6"/>
      <c r="Y226" s="1"/>
      <c r="Z226" s="4"/>
      <c r="AA226" s="5"/>
      <c r="AB226" s="1"/>
      <c r="AC226" s="1"/>
      <c r="AD226" s="1"/>
    </row>
    <row r="227" spans="1:30" hidden="1" x14ac:dyDescent="0.25">
      <c r="A227" s="1" t="s">
        <v>1475</v>
      </c>
      <c r="B227" s="1" t="s">
        <v>789</v>
      </c>
      <c r="C227" s="1" t="s">
        <v>1147</v>
      </c>
      <c r="D227" s="4">
        <v>43682</v>
      </c>
      <c r="E227" s="6">
        <v>21000</v>
      </c>
      <c r="F227" s="6"/>
      <c r="G227" s="6">
        <v>21000</v>
      </c>
      <c r="H227" s="1" t="s">
        <v>1710</v>
      </c>
      <c r="I227" s="6">
        <v>6000</v>
      </c>
      <c r="J227" s="6">
        <v>0.22222222222222221</v>
      </c>
      <c r="K227" s="1" t="s">
        <v>1826</v>
      </c>
      <c r="L227" s="1" t="s">
        <v>541</v>
      </c>
      <c r="M227" s="1" t="s">
        <v>965</v>
      </c>
      <c r="N227" s="1" t="s">
        <v>174</v>
      </c>
      <c r="O227" s="6">
        <v>2000</v>
      </c>
      <c r="P227" s="6">
        <v>7.407407407407407E-2</v>
      </c>
      <c r="Q227" s="2" t="str">
        <f>HYPERLINK("https://auction.openprocurement.org/tenders/5fd195f29d2942239a804602a43f03fe")</f>
        <v>https://auction.openprocurement.org/tenders/5fd195f29d2942239a804602a43f03fe</v>
      </c>
      <c r="R227" s="5">
        <v>43693.488661700059</v>
      </c>
      <c r="S227" s="4">
        <v>43697</v>
      </c>
      <c r="T227" s="4">
        <v>43715</v>
      </c>
      <c r="U227" s="1" t="s">
        <v>1956</v>
      </c>
      <c r="V227" s="5">
        <v>43700.613320093471</v>
      </c>
      <c r="W227" s="1" t="s">
        <v>317</v>
      </c>
      <c r="X227" s="6">
        <v>25000</v>
      </c>
      <c r="Y227" s="1"/>
      <c r="Z227" s="4">
        <v>43700</v>
      </c>
      <c r="AA227" s="5">
        <v>43830</v>
      </c>
      <c r="AB227" s="1" t="s">
        <v>1971</v>
      </c>
      <c r="AC227" s="1"/>
      <c r="AD227" s="1" t="s">
        <v>1168</v>
      </c>
    </row>
    <row r="228" spans="1:30" hidden="1" x14ac:dyDescent="0.25">
      <c r="A228" s="1" t="s">
        <v>1087</v>
      </c>
      <c r="B228" s="1" t="s">
        <v>234</v>
      </c>
      <c r="C228" s="1" t="s">
        <v>1147</v>
      </c>
      <c r="D228" s="4">
        <v>43677</v>
      </c>
      <c r="E228" s="6">
        <v>64750</v>
      </c>
      <c r="F228" s="6"/>
      <c r="G228" s="6">
        <v>175</v>
      </c>
      <c r="H228" s="1" t="s">
        <v>1850</v>
      </c>
      <c r="I228" s="1"/>
      <c r="J228" s="1"/>
      <c r="K228" s="1" t="s">
        <v>1850</v>
      </c>
      <c r="L228" s="1" t="s">
        <v>601</v>
      </c>
      <c r="M228" s="1" t="s">
        <v>908</v>
      </c>
      <c r="N228" s="1" t="s">
        <v>165</v>
      </c>
      <c r="O228" s="1"/>
      <c r="P228" s="1"/>
      <c r="Q228" s="2"/>
      <c r="R228" s="5">
        <v>43685.438633430327</v>
      </c>
      <c r="S228" s="4">
        <v>43689</v>
      </c>
      <c r="T228" s="4">
        <v>43712</v>
      </c>
      <c r="U228" s="1" t="s">
        <v>1956</v>
      </c>
      <c r="V228" s="5">
        <v>43689.538764273406</v>
      </c>
      <c r="W228" s="1" t="s">
        <v>349</v>
      </c>
      <c r="X228" s="6">
        <v>64750</v>
      </c>
      <c r="Y228" s="1"/>
      <c r="Z228" s="4">
        <v>43709</v>
      </c>
      <c r="AA228" s="5">
        <v>43830</v>
      </c>
      <c r="AB228" s="1" t="s">
        <v>1971</v>
      </c>
      <c r="AC228" s="1"/>
      <c r="AD228" s="1" t="s">
        <v>1168</v>
      </c>
    </row>
    <row r="229" spans="1:30" x14ac:dyDescent="0.25">
      <c r="A229" s="1" t="s">
        <v>996</v>
      </c>
      <c r="B229" s="1" t="s">
        <v>753</v>
      </c>
      <c r="C229" s="1" t="s">
        <v>1081</v>
      </c>
      <c r="D229" s="4">
        <v>43669</v>
      </c>
      <c r="E229" s="6">
        <v>107944367</v>
      </c>
      <c r="F229" s="6"/>
      <c r="G229" s="6"/>
      <c r="H229" s="1"/>
      <c r="I229" s="6"/>
      <c r="J229" s="6"/>
      <c r="K229" s="1"/>
      <c r="L229" s="1"/>
      <c r="M229" s="1"/>
      <c r="N229" s="1"/>
      <c r="O229" s="6"/>
      <c r="P229" s="6"/>
      <c r="Q229" s="2"/>
      <c r="R229" s="5"/>
      <c r="S229" s="4"/>
      <c r="T229" s="4"/>
      <c r="U229" s="1"/>
      <c r="V229" s="5"/>
      <c r="W229" s="1"/>
      <c r="X229" s="6"/>
      <c r="Y229" s="1"/>
      <c r="Z229" s="4"/>
      <c r="AA229" s="5"/>
      <c r="AB229" s="1"/>
      <c r="AC229" s="1"/>
      <c r="AD229" s="1"/>
    </row>
    <row r="230" spans="1:30" hidden="1" x14ac:dyDescent="0.25">
      <c r="A230" s="1" t="s">
        <v>1784</v>
      </c>
      <c r="B230" s="1" t="s">
        <v>675</v>
      </c>
      <c r="C230" s="1" t="s">
        <v>1081</v>
      </c>
      <c r="D230" s="4">
        <v>43668</v>
      </c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2"/>
      <c r="R230" s="1"/>
      <c r="S230" s="1"/>
      <c r="T230" s="1"/>
      <c r="U230" s="1" t="s">
        <v>1972</v>
      </c>
      <c r="V230" s="5">
        <v>43684.388220128967</v>
      </c>
      <c r="W230" s="1"/>
      <c r="X230" s="1"/>
      <c r="Y230" s="1"/>
      <c r="Z230" s="4">
        <v>43738</v>
      </c>
      <c r="AA230" s="1"/>
      <c r="AB230" s="1"/>
      <c r="AC230" s="1" t="s">
        <v>1158</v>
      </c>
      <c r="AD230" s="1"/>
    </row>
    <row r="231" spans="1:30" x14ac:dyDescent="0.25">
      <c r="A231" s="1" t="s">
        <v>1389</v>
      </c>
      <c r="B231" s="1" t="s">
        <v>834</v>
      </c>
      <c r="C231" s="1" t="s">
        <v>1081</v>
      </c>
      <c r="D231" s="4">
        <v>43663</v>
      </c>
      <c r="E231" s="6">
        <v>77751</v>
      </c>
      <c r="F231" s="6"/>
      <c r="G231" s="6"/>
      <c r="H231" s="1"/>
      <c r="I231" s="6"/>
      <c r="J231" s="6"/>
      <c r="K231" s="1"/>
      <c r="L231" s="1"/>
      <c r="M231" s="1"/>
      <c r="N231" s="1"/>
      <c r="O231" s="6"/>
      <c r="P231" s="6"/>
      <c r="Q231" s="2"/>
      <c r="R231" s="5"/>
      <c r="S231" s="4"/>
      <c r="T231" s="4"/>
      <c r="U231" s="1"/>
      <c r="V231" s="5"/>
      <c r="W231" s="1"/>
      <c r="X231" s="6"/>
      <c r="Y231" s="1"/>
      <c r="Z231" s="4"/>
      <c r="AA231" s="5"/>
      <c r="AB231" s="1"/>
      <c r="AC231" s="1"/>
      <c r="AD231" s="1"/>
    </row>
    <row r="232" spans="1:30" x14ac:dyDescent="0.25">
      <c r="A232" s="1" t="s">
        <v>1374</v>
      </c>
      <c r="B232" s="1" t="s">
        <v>810</v>
      </c>
      <c r="C232" s="1" t="s">
        <v>1081</v>
      </c>
      <c r="D232" s="4">
        <v>43663</v>
      </c>
      <c r="E232" s="6">
        <v>249480</v>
      </c>
      <c r="F232" s="6"/>
      <c r="G232" s="6"/>
      <c r="H232" s="1"/>
      <c r="I232" s="6"/>
      <c r="J232" s="6"/>
      <c r="K232" s="1"/>
      <c r="L232" s="1"/>
      <c r="M232" s="1"/>
      <c r="N232" s="1"/>
      <c r="O232" s="6"/>
      <c r="P232" s="6"/>
      <c r="Q232" s="2"/>
      <c r="R232" s="5"/>
      <c r="S232" s="4"/>
      <c r="T232" s="4"/>
      <c r="U232" s="1"/>
      <c r="V232" s="5"/>
      <c r="W232" s="1"/>
      <c r="X232" s="6"/>
      <c r="Y232" s="1"/>
      <c r="Z232" s="4"/>
      <c r="AA232" s="5"/>
      <c r="AB232" s="1"/>
      <c r="AC232" s="1"/>
      <c r="AD232" s="1"/>
    </row>
    <row r="233" spans="1:30" x14ac:dyDescent="0.25">
      <c r="A233" s="1" t="s">
        <v>1385</v>
      </c>
      <c r="B233" s="1" t="s">
        <v>808</v>
      </c>
      <c r="C233" s="1" t="s">
        <v>1081</v>
      </c>
      <c r="D233" s="4">
        <v>43663</v>
      </c>
      <c r="E233" s="6">
        <v>75830</v>
      </c>
      <c r="F233" s="6"/>
      <c r="G233" s="6"/>
      <c r="H233" s="1"/>
      <c r="I233" s="6"/>
      <c r="J233" s="6"/>
      <c r="K233" s="1"/>
      <c r="L233" s="1"/>
      <c r="M233" s="1"/>
      <c r="N233" s="1"/>
      <c r="O233" s="6"/>
      <c r="P233" s="6"/>
      <c r="Q233" s="2"/>
      <c r="R233" s="5"/>
      <c r="S233" s="4"/>
      <c r="T233" s="4"/>
      <c r="U233" s="1"/>
      <c r="V233" s="5"/>
      <c r="W233" s="1"/>
      <c r="X233" s="6"/>
      <c r="Y233" s="1"/>
      <c r="Z233" s="4"/>
      <c r="AA233" s="5"/>
      <c r="AB233" s="1"/>
      <c r="AC233" s="1"/>
      <c r="AD233" s="1"/>
    </row>
    <row r="234" spans="1:30" hidden="1" x14ac:dyDescent="0.25">
      <c r="A234" s="1" t="s">
        <v>1191</v>
      </c>
      <c r="B234" s="1" t="s">
        <v>527</v>
      </c>
      <c r="C234" s="1" t="s">
        <v>1147</v>
      </c>
      <c r="D234" s="4">
        <v>43656</v>
      </c>
      <c r="E234" s="6">
        <v>8945.2800000000007</v>
      </c>
      <c r="F234" s="6"/>
      <c r="G234" s="6">
        <v>12.982989840348331</v>
      </c>
      <c r="H234" s="1" t="s">
        <v>1689</v>
      </c>
      <c r="I234" s="6">
        <v>2588.7199999999993</v>
      </c>
      <c r="J234" s="6">
        <v>0.22444251777353905</v>
      </c>
      <c r="K234" s="1" t="s">
        <v>1689</v>
      </c>
      <c r="L234" s="1" t="s">
        <v>629</v>
      </c>
      <c r="M234" s="1" t="s">
        <v>935</v>
      </c>
      <c r="N234" s="1" t="s">
        <v>459</v>
      </c>
      <c r="O234" s="6">
        <v>2588.7199999999993</v>
      </c>
      <c r="P234" s="6">
        <v>0.22444251777353905</v>
      </c>
      <c r="Q234" s="2"/>
      <c r="R234" s="5">
        <v>43664.420500923203</v>
      </c>
      <c r="S234" s="4">
        <v>43668</v>
      </c>
      <c r="T234" s="4">
        <v>43691</v>
      </c>
      <c r="U234" s="1" t="s">
        <v>1956</v>
      </c>
      <c r="V234" s="5">
        <v>43670.650929028852</v>
      </c>
      <c r="W234" s="1" t="s">
        <v>1952</v>
      </c>
      <c r="X234" s="6">
        <v>8945.2800000000007</v>
      </c>
      <c r="Y234" s="1"/>
      <c r="Z234" s="4">
        <v>43692</v>
      </c>
      <c r="AA234" s="5">
        <v>43830</v>
      </c>
      <c r="AB234" s="1" t="s">
        <v>1971</v>
      </c>
      <c r="AC234" s="1"/>
      <c r="AD234" s="1" t="s">
        <v>1168</v>
      </c>
    </row>
    <row r="235" spans="1:30" x14ac:dyDescent="0.25">
      <c r="A235" s="1" t="s">
        <v>1232</v>
      </c>
      <c r="B235" s="1" t="s">
        <v>733</v>
      </c>
      <c r="C235" s="1" t="s">
        <v>1081</v>
      </c>
      <c r="D235" s="4">
        <v>43655</v>
      </c>
      <c r="E235" s="6">
        <v>47940</v>
      </c>
      <c r="F235" s="6"/>
      <c r="G235" s="6"/>
      <c r="H235" s="1"/>
      <c r="I235" s="6"/>
      <c r="J235" s="6"/>
      <c r="K235" s="1"/>
      <c r="L235" s="1"/>
      <c r="M235" s="1"/>
      <c r="N235" s="1"/>
      <c r="O235" s="6"/>
      <c r="P235" s="6"/>
      <c r="Q235" s="2"/>
      <c r="R235" s="5"/>
      <c r="S235" s="4"/>
      <c r="T235" s="4"/>
      <c r="U235" s="1"/>
      <c r="V235" s="5"/>
      <c r="W235" s="1"/>
      <c r="X235" s="6"/>
      <c r="Y235" s="1"/>
      <c r="Z235" s="4"/>
      <c r="AA235" s="5"/>
      <c r="AB235" s="1"/>
      <c r="AC235" s="1"/>
      <c r="AD235" s="1"/>
    </row>
    <row r="236" spans="1:30" x14ac:dyDescent="0.25">
      <c r="A236" s="1" t="s">
        <v>1035</v>
      </c>
      <c r="B236" s="1" t="s">
        <v>733</v>
      </c>
      <c r="C236" s="1" t="s">
        <v>1081</v>
      </c>
      <c r="D236" s="4">
        <v>43655</v>
      </c>
      <c r="E236" s="6">
        <v>200000</v>
      </c>
      <c r="F236" s="6"/>
      <c r="G236" s="6"/>
      <c r="H236" s="1"/>
      <c r="I236" s="6"/>
      <c r="J236" s="6"/>
      <c r="K236" s="1"/>
      <c r="L236" s="1"/>
      <c r="M236" s="1"/>
      <c r="N236" s="1"/>
      <c r="O236" s="6"/>
      <c r="P236" s="6"/>
      <c r="Q236" s="2"/>
      <c r="R236" s="5"/>
      <c r="S236" s="4"/>
      <c r="T236" s="4"/>
      <c r="U236" s="1"/>
      <c r="V236" s="5"/>
      <c r="W236" s="1"/>
      <c r="X236" s="6"/>
      <c r="Y236" s="1"/>
      <c r="Z236" s="4"/>
      <c r="AA236" s="5"/>
      <c r="AB236" s="1"/>
      <c r="AC236" s="1"/>
      <c r="AD236" s="1"/>
    </row>
    <row r="237" spans="1:30" hidden="1" x14ac:dyDescent="0.25">
      <c r="A237" s="1" t="s">
        <v>1046</v>
      </c>
      <c r="B237" s="1" t="s">
        <v>679</v>
      </c>
      <c r="C237" s="1" t="s">
        <v>1147</v>
      </c>
      <c r="D237" s="4">
        <v>43655</v>
      </c>
      <c r="E237" s="6">
        <v>9600</v>
      </c>
      <c r="F237" s="6"/>
      <c r="G237" s="6">
        <v>800</v>
      </c>
      <c r="H237" s="1" t="s">
        <v>1868</v>
      </c>
      <c r="I237" s="1"/>
      <c r="J237" s="1"/>
      <c r="K237" s="1" t="s">
        <v>1868</v>
      </c>
      <c r="L237" s="1" t="s">
        <v>512</v>
      </c>
      <c r="M237" s="1" t="s">
        <v>867</v>
      </c>
      <c r="N237" s="1" t="s">
        <v>170</v>
      </c>
      <c r="O237" s="1"/>
      <c r="P237" s="1"/>
      <c r="Q237" s="2"/>
      <c r="R237" s="5">
        <v>43663.395772299569</v>
      </c>
      <c r="S237" s="4">
        <v>43665</v>
      </c>
      <c r="T237" s="4">
        <v>43688</v>
      </c>
      <c r="U237" s="1" t="s">
        <v>1956</v>
      </c>
      <c r="V237" s="5">
        <v>43669.416157533124</v>
      </c>
      <c r="W237" s="1" t="s">
        <v>1952</v>
      </c>
      <c r="X237" s="6">
        <v>9600</v>
      </c>
      <c r="Y237" s="1"/>
      <c r="Z237" s="4">
        <v>43709</v>
      </c>
      <c r="AA237" s="5">
        <v>43830</v>
      </c>
      <c r="AB237" s="1" t="s">
        <v>1971</v>
      </c>
      <c r="AC237" s="1"/>
      <c r="AD237" s="1" t="s">
        <v>1168</v>
      </c>
    </row>
    <row r="238" spans="1:30" x14ac:dyDescent="0.25">
      <c r="A238" s="1" t="s">
        <v>1618</v>
      </c>
      <c r="B238" s="1" t="s">
        <v>731</v>
      </c>
      <c r="C238" s="1" t="s">
        <v>1081</v>
      </c>
      <c r="D238" s="4">
        <v>43654</v>
      </c>
      <c r="E238" s="6">
        <v>185000</v>
      </c>
      <c r="F238" s="6"/>
      <c r="G238" s="6"/>
      <c r="H238" s="1"/>
      <c r="I238" s="6"/>
      <c r="J238" s="6"/>
      <c r="K238" s="1"/>
      <c r="L238" s="1"/>
      <c r="M238" s="1"/>
      <c r="N238" s="1"/>
      <c r="O238" s="6"/>
      <c r="P238" s="6"/>
      <c r="Q238" s="2"/>
      <c r="R238" s="5"/>
      <c r="S238" s="4"/>
      <c r="T238" s="4"/>
      <c r="U238" s="1"/>
      <c r="V238" s="5"/>
      <c r="W238" s="1"/>
      <c r="X238" s="6"/>
      <c r="Y238" s="1"/>
      <c r="Z238" s="4"/>
      <c r="AA238" s="5"/>
      <c r="AB238" s="1"/>
      <c r="AC238" s="1"/>
      <c r="AD238" s="1"/>
    </row>
    <row r="239" spans="1:30" x14ac:dyDescent="0.25">
      <c r="A239" s="1" t="s">
        <v>1590</v>
      </c>
      <c r="B239" s="1" t="s">
        <v>661</v>
      </c>
      <c r="C239" s="1" t="s">
        <v>1081</v>
      </c>
      <c r="D239" s="4">
        <v>43654</v>
      </c>
      <c r="E239" s="6">
        <v>89995.5</v>
      </c>
      <c r="F239" s="6"/>
      <c r="G239" s="6"/>
      <c r="H239" s="1"/>
      <c r="I239" s="6"/>
      <c r="J239" s="6"/>
      <c r="K239" s="1"/>
      <c r="L239" s="1"/>
      <c r="M239" s="1"/>
      <c r="N239" s="1"/>
      <c r="O239" s="6"/>
      <c r="P239" s="6"/>
      <c r="Q239" s="2"/>
      <c r="R239" s="5"/>
      <c r="S239" s="4"/>
      <c r="T239" s="4"/>
      <c r="U239" s="1"/>
      <c r="V239" s="5"/>
      <c r="W239" s="1"/>
      <c r="X239" s="6"/>
      <c r="Y239" s="1"/>
      <c r="Z239" s="4"/>
      <c r="AA239" s="5"/>
      <c r="AB239" s="1"/>
      <c r="AC239" s="1"/>
      <c r="AD239" s="1"/>
    </row>
    <row r="240" spans="1:30" hidden="1" x14ac:dyDescent="0.25">
      <c r="A240" s="1" t="s">
        <v>1104</v>
      </c>
      <c r="B240" s="1" t="s">
        <v>728</v>
      </c>
      <c r="C240" s="1" t="s">
        <v>1147</v>
      </c>
      <c r="D240" s="4">
        <v>43651</v>
      </c>
      <c r="E240" s="6">
        <v>16500</v>
      </c>
      <c r="F240" s="6"/>
      <c r="G240" s="6">
        <v>868.42105263157896</v>
      </c>
      <c r="H240" s="1" t="s">
        <v>1862</v>
      </c>
      <c r="I240" s="6">
        <v>1006</v>
      </c>
      <c r="J240" s="6">
        <v>5.7466011653147492E-2</v>
      </c>
      <c r="K240" s="1" t="s">
        <v>1868</v>
      </c>
      <c r="L240" s="1" t="s">
        <v>512</v>
      </c>
      <c r="M240" s="1" t="s">
        <v>867</v>
      </c>
      <c r="N240" s="1" t="s">
        <v>170</v>
      </c>
      <c r="O240" s="1"/>
      <c r="P240" s="1"/>
      <c r="Q240" s="2" t="str">
        <f>HYPERLINK("https://auction.openprocurement.org/tenders/95c5ee544eb04e78a61b0b2733fc0270")</f>
        <v>https://auction.openprocurement.org/tenders/95c5ee544eb04e78a61b0b2733fc0270</v>
      </c>
      <c r="R240" s="5">
        <v>43663.618957843646</v>
      </c>
      <c r="S240" s="4">
        <v>43665</v>
      </c>
      <c r="T240" s="4">
        <v>43686</v>
      </c>
      <c r="U240" s="1" t="s">
        <v>1956</v>
      </c>
      <c r="V240" s="5">
        <v>43669.727154365326</v>
      </c>
      <c r="W240" s="1" t="s">
        <v>1952</v>
      </c>
      <c r="X240" s="6">
        <v>17506</v>
      </c>
      <c r="Y240" s="1"/>
      <c r="Z240" s="4">
        <v>43679</v>
      </c>
      <c r="AA240" s="5">
        <v>43830</v>
      </c>
      <c r="AB240" s="1" t="s">
        <v>1971</v>
      </c>
      <c r="AC240" s="1"/>
      <c r="AD240" s="1" t="s">
        <v>1168</v>
      </c>
    </row>
    <row r="241" spans="1:30" x14ac:dyDescent="0.25">
      <c r="A241" s="1" t="s">
        <v>1239</v>
      </c>
      <c r="B241" s="1" t="s">
        <v>729</v>
      </c>
      <c r="C241" s="1" t="s">
        <v>1081</v>
      </c>
      <c r="D241" s="4">
        <v>43650</v>
      </c>
      <c r="E241" s="6">
        <v>116390</v>
      </c>
      <c r="F241" s="6"/>
      <c r="G241" s="1"/>
      <c r="H241" s="1"/>
      <c r="I241" s="6"/>
      <c r="J241" s="6"/>
      <c r="K241" s="1"/>
      <c r="L241" s="1"/>
      <c r="M241" s="1"/>
      <c r="N241" s="1"/>
      <c r="O241" s="6"/>
      <c r="P241" s="6"/>
      <c r="Q241" s="2"/>
      <c r="R241" s="5"/>
      <c r="S241" s="4"/>
      <c r="T241" s="4"/>
      <c r="U241" s="1"/>
      <c r="V241" s="5"/>
      <c r="W241" s="1"/>
      <c r="X241" s="6"/>
      <c r="Y241" s="1"/>
      <c r="Z241" s="4"/>
      <c r="AA241" s="5"/>
      <c r="AB241" s="1"/>
      <c r="AC241" s="1"/>
      <c r="AD241" s="1"/>
    </row>
    <row r="242" spans="1:30" hidden="1" x14ac:dyDescent="0.25">
      <c r="A242" s="1" t="s">
        <v>1103</v>
      </c>
      <c r="B242" s="1" t="s">
        <v>728</v>
      </c>
      <c r="C242" s="1" t="s">
        <v>1147</v>
      </c>
      <c r="D242" s="4">
        <v>43650</v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2"/>
      <c r="R242" s="1"/>
      <c r="S242" s="1"/>
      <c r="T242" s="1"/>
      <c r="U242" s="1" t="s">
        <v>1972</v>
      </c>
      <c r="V242" s="5">
        <v>43650.592705676725</v>
      </c>
      <c r="W242" s="1"/>
      <c r="X242" s="1"/>
      <c r="Y242" s="1"/>
      <c r="Z242" s="4">
        <v>43679</v>
      </c>
      <c r="AA242" s="1"/>
      <c r="AB242" s="1"/>
      <c r="AC242" s="1" t="s">
        <v>1977</v>
      </c>
      <c r="AD242" s="1"/>
    </row>
    <row r="243" spans="1:30" hidden="1" x14ac:dyDescent="0.25">
      <c r="A243" s="1" t="s">
        <v>1223</v>
      </c>
      <c r="B243" s="1" t="s">
        <v>660</v>
      </c>
      <c r="C243" s="1" t="s">
        <v>1147</v>
      </c>
      <c r="D243" s="4">
        <v>43650</v>
      </c>
      <c r="E243" s="6">
        <v>110000</v>
      </c>
      <c r="F243" s="6"/>
      <c r="G243" s="6">
        <v>4400</v>
      </c>
      <c r="H243" s="1" t="s">
        <v>1869</v>
      </c>
      <c r="I243" s="1"/>
      <c r="J243" s="1"/>
      <c r="K243" s="1" t="s">
        <v>1869</v>
      </c>
      <c r="L243" s="1" t="s">
        <v>494</v>
      </c>
      <c r="M243" s="1" t="s">
        <v>953</v>
      </c>
      <c r="N243" s="1" t="s">
        <v>118</v>
      </c>
      <c r="O243" s="1"/>
      <c r="P243" s="1"/>
      <c r="Q243" s="2"/>
      <c r="R243" s="5">
        <v>43657.601375711114</v>
      </c>
      <c r="S243" s="4">
        <v>43661</v>
      </c>
      <c r="T243" s="4">
        <v>43685</v>
      </c>
      <c r="U243" s="1" t="s">
        <v>1956</v>
      </c>
      <c r="V243" s="5">
        <v>43662.386270192546</v>
      </c>
      <c r="W243" s="1" t="s">
        <v>384</v>
      </c>
      <c r="X243" s="6">
        <v>110000</v>
      </c>
      <c r="Y243" s="1"/>
      <c r="Z243" s="4">
        <v>43709</v>
      </c>
      <c r="AA243" s="5">
        <v>43830</v>
      </c>
      <c r="AB243" s="1" t="s">
        <v>1971</v>
      </c>
      <c r="AC243" s="1"/>
      <c r="AD243" s="1" t="s">
        <v>1168</v>
      </c>
    </row>
    <row r="244" spans="1:30" x14ac:dyDescent="0.25">
      <c r="A244" s="1" t="s">
        <v>1590</v>
      </c>
      <c r="B244" s="1" t="s">
        <v>675</v>
      </c>
      <c r="C244" s="1" t="s">
        <v>1081</v>
      </c>
      <c r="D244" s="4">
        <v>43637</v>
      </c>
      <c r="E244" s="6">
        <v>229900</v>
      </c>
      <c r="F244" s="6"/>
      <c r="G244" s="6"/>
      <c r="H244" s="1"/>
      <c r="I244" s="6"/>
      <c r="J244" s="6"/>
      <c r="K244" s="1"/>
      <c r="L244" s="1"/>
      <c r="M244" s="1"/>
      <c r="N244" s="1"/>
      <c r="O244" s="6"/>
      <c r="P244" s="6"/>
      <c r="Q244" s="2"/>
      <c r="R244" s="5"/>
      <c r="S244" s="4"/>
      <c r="T244" s="4"/>
      <c r="U244" s="1"/>
      <c r="V244" s="5"/>
      <c r="W244" s="1"/>
      <c r="X244" s="6"/>
      <c r="Y244" s="1"/>
      <c r="Z244" s="4"/>
      <c r="AA244" s="5"/>
      <c r="AB244" s="1"/>
      <c r="AC244" s="1"/>
      <c r="AD244" s="1"/>
    </row>
    <row r="245" spans="1:30" hidden="1" x14ac:dyDescent="0.25">
      <c r="A245" s="1" t="s">
        <v>1815</v>
      </c>
      <c r="B245" s="1" t="s">
        <v>609</v>
      </c>
      <c r="C245" s="1" t="s">
        <v>1081</v>
      </c>
      <c r="D245" s="4">
        <v>43637</v>
      </c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2"/>
      <c r="R245" s="1"/>
      <c r="S245" s="1"/>
      <c r="T245" s="1"/>
      <c r="U245" s="1" t="s">
        <v>1972</v>
      </c>
      <c r="V245" s="5">
        <v>43649.422991623556</v>
      </c>
      <c r="W245" s="1"/>
      <c r="X245" s="1"/>
      <c r="Y245" s="1"/>
      <c r="Z245" s="4">
        <v>43709</v>
      </c>
      <c r="AA245" s="1"/>
      <c r="AB245" s="1"/>
      <c r="AC245" s="1" t="s">
        <v>1808</v>
      </c>
      <c r="AD245" s="1"/>
    </row>
    <row r="246" spans="1:30" hidden="1" x14ac:dyDescent="0.25">
      <c r="A246" s="1" t="s">
        <v>1240</v>
      </c>
      <c r="B246" s="1" t="s">
        <v>717</v>
      </c>
      <c r="C246" s="1" t="s">
        <v>1147</v>
      </c>
      <c r="D246" s="4">
        <v>43637</v>
      </c>
      <c r="E246" s="6">
        <v>7260</v>
      </c>
      <c r="F246" s="6"/>
      <c r="G246" s="6">
        <v>7260</v>
      </c>
      <c r="H246" s="1" t="s">
        <v>1028</v>
      </c>
      <c r="I246" s="6">
        <v>240</v>
      </c>
      <c r="J246" s="6">
        <v>3.2000000000000001E-2</v>
      </c>
      <c r="K246" s="1" t="s">
        <v>1028</v>
      </c>
      <c r="L246" s="1" t="s">
        <v>644</v>
      </c>
      <c r="M246" s="1" t="s">
        <v>980</v>
      </c>
      <c r="N246" s="1" t="s">
        <v>46</v>
      </c>
      <c r="O246" s="6">
        <v>240</v>
      </c>
      <c r="P246" s="6">
        <v>3.2000000000000001E-2</v>
      </c>
      <c r="Q246" s="2"/>
      <c r="R246" s="5">
        <v>43647.639868005033</v>
      </c>
      <c r="S246" s="4">
        <v>43649</v>
      </c>
      <c r="T246" s="4">
        <v>43671</v>
      </c>
      <c r="U246" s="1" t="s">
        <v>1956</v>
      </c>
      <c r="V246" s="5">
        <v>43650.382201719978</v>
      </c>
      <c r="W246" s="1" t="s">
        <v>1952</v>
      </c>
      <c r="X246" s="6">
        <v>7260</v>
      </c>
      <c r="Y246" s="1"/>
      <c r="Z246" s="4">
        <v>43677</v>
      </c>
      <c r="AA246" s="5">
        <v>43830</v>
      </c>
      <c r="AB246" s="1" t="s">
        <v>1971</v>
      </c>
      <c r="AC246" s="1"/>
      <c r="AD246" s="1" t="s">
        <v>1168</v>
      </c>
    </row>
    <row r="247" spans="1:30" x14ac:dyDescent="0.25">
      <c r="A247" s="1" t="s">
        <v>1410</v>
      </c>
      <c r="B247" s="1" t="s">
        <v>822</v>
      </c>
      <c r="C247" s="1" t="s">
        <v>1081</v>
      </c>
      <c r="D247" s="4">
        <v>43634</v>
      </c>
      <c r="E247" s="6">
        <v>480000</v>
      </c>
      <c r="F247" s="6"/>
      <c r="G247" s="6"/>
      <c r="H247" s="1"/>
      <c r="I247" s="6"/>
      <c r="J247" s="6"/>
      <c r="K247" s="1"/>
      <c r="L247" s="1"/>
      <c r="M247" s="1"/>
      <c r="N247" s="1"/>
      <c r="O247" s="1"/>
      <c r="P247" s="1"/>
      <c r="Q247" s="2"/>
      <c r="R247" s="5"/>
      <c r="S247" s="4"/>
      <c r="T247" s="4"/>
      <c r="U247" s="1"/>
      <c r="V247" s="5"/>
      <c r="W247" s="1"/>
      <c r="X247" s="6"/>
      <c r="Y247" s="4"/>
      <c r="Z247" s="4"/>
      <c r="AA247" s="5"/>
      <c r="AB247" s="1"/>
      <c r="AC247" s="1"/>
      <c r="AD247" s="1"/>
    </row>
    <row r="248" spans="1:30" x14ac:dyDescent="0.25">
      <c r="A248" s="1" t="s">
        <v>1206</v>
      </c>
      <c r="B248" s="1" t="s">
        <v>732</v>
      </c>
      <c r="C248" s="1" t="s">
        <v>1081</v>
      </c>
      <c r="D248" s="4">
        <v>43634</v>
      </c>
      <c r="E248" s="6">
        <v>341600</v>
      </c>
      <c r="F248" s="6"/>
      <c r="G248" s="6"/>
      <c r="H248" s="1"/>
      <c r="I248" s="6"/>
      <c r="J248" s="6"/>
      <c r="K248" s="1"/>
      <c r="L248" s="1"/>
      <c r="M248" s="1"/>
      <c r="N248" s="1"/>
      <c r="O248" s="6"/>
      <c r="P248" s="6"/>
      <c r="Q248" s="2"/>
      <c r="R248" s="5"/>
      <c r="S248" s="4"/>
      <c r="T248" s="4"/>
      <c r="U248" s="1"/>
      <c r="V248" s="5"/>
      <c r="W248" s="1"/>
      <c r="X248" s="6"/>
      <c r="Y248" s="1"/>
      <c r="Z248" s="4"/>
      <c r="AA248" s="5"/>
      <c r="AB248" s="1"/>
      <c r="AC248" s="1"/>
      <c r="AD248" s="1"/>
    </row>
    <row r="249" spans="1:30" hidden="1" x14ac:dyDescent="0.25">
      <c r="A249" s="1" t="s">
        <v>1053</v>
      </c>
      <c r="B249" s="1" t="s">
        <v>732</v>
      </c>
      <c r="C249" s="1" t="s">
        <v>1081</v>
      </c>
      <c r="D249" s="4">
        <v>43630</v>
      </c>
      <c r="E249" s="6">
        <v>197600</v>
      </c>
      <c r="F249" s="6"/>
      <c r="G249" s="6">
        <v>98800</v>
      </c>
      <c r="H249" s="1" t="s">
        <v>1869</v>
      </c>
      <c r="I249" s="6">
        <v>2400</v>
      </c>
      <c r="J249" s="6">
        <v>1.2E-2</v>
      </c>
      <c r="K249" s="1" t="s">
        <v>1869</v>
      </c>
      <c r="L249" s="1" t="s">
        <v>494</v>
      </c>
      <c r="M249" s="1" t="s">
        <v>953</v>
      </c>
      <c r="N249" s="1" t="s">
        <v>118</v>
      </c>
      <c r="O249" s="6">
        <v>2400</v>
      </c>
      <c r="P249" s="6">
        <v>1.2E-2</v>
      </c>
      <c r="Q249" s="2" t="str">
        <f>HYPERLINK("https://auction.openprocurement.org/tenders/1d964509e3444c5ab64bacfb5e725ae7")</f>
        <v>https://auction.openprocurement.org/tenders/1d964509e3444c5ab64bacfb5e725ae7</v>
      </c>
      <c r="R249" s="5">
        <v>43648.550890773127</v>
      </c>
      <c r="S249" s="1"/>
      <c r="T249" s="1"/>
      <c r="U249" s="1" t="s">
        <v>1972</v>
      </c>
      <c r="V249" s="5">
        <v>43649.419956705635</v>
      </c>
      <c r="W249" s="1"/>
      <c r="X249" s="6">
        <v>197600</v>
      </c>
      <c r="Y249" s="1"/>
      <c r="Z249" s="4">
        <v>43709</v>
      </c>
      <c r="AA249" s="1"/>
      <c r="AB249" s="1" t="s">
        <v>1961</v>
      </c>
      <c r="AC249" s="1" t="s">
        <v>1808</v>
      </c>
      <c r="AD249" s="1"/>
    </row>
    <row r="250" spans="1:30" x14ac:dyDescent="0.25">
      <c r="A250" s="1" t="s">
        <v>1144</v>
      </c>
      <c r="B250" s="1" t="s">
        <v>639</v>
      </c>
      <c r="C250" s="1" t="s">
        <v>1081</v>
      </c>
      <c r="D250" s="4">
        <v>43630</v>
      </c>
      <c r="E250" s="6">
        <v>386000</v>
      </c>
      <c r="F250" s="6"/>
      <c r="G250" s="6"/>
      <c r="H250" s="1"/>
      <c r="I250" s="6"/>
      <c r="J250" s="6"/>
      <c r="K250" s="1"/>
      <c r="L250" s="1"/>
      <c r="M250" s="1"/>
      <c r="N250" s="1"/>
      <c r="O250" s="6"/>
      <c r="P250" s="6"/>
      <c r="Q250" s="2"/>
      <c r="R250" s="5"/>
      <c r="S250" s="4"/>
      <c r="T250" s="4"/>
      <c r="U250" s="1"/>
      <c r="V250" s="5"/>
      <c r="W250" s="1"/>
      <c r="X250" s="6"/>
      <c r="Y250" s="1"/>
      <c r="Z250" s="4"/>
      <c r="AA250" s="5"/>
      <c r="AB250" s="1"/>
      <c r="AC250" s="1"/>
      <c r="AD250" s="1"/>
    </row>
    <row r="251" spans="1:30" hidden="1" x14ac:dyDescent="0.25">
      <c r="A251" s="1" t="s">
        <v>1486</v>
      </c>
      <c r="B251" s="1" t="s">
        <v>795</v>
      </c>
      <c r="C251" s="1" t="s">
        <v>1157</v>
      </c>
      <c r="D251" s="4">
        <v>43628</v>
      </c>
      <c r="E251" s="6">
        <v>5700</v>
      </c>
      <c r="F251" s="6"/>
      <c r="G251" s="6">
        <v>5700</v>
      </c>
      <c r="H251" s="1"/>
      <c r="I251" s="1"/>
      <c r="J251" s="1"/>
      <c r="K251" s="1" t="s">
        <v>1334</v>
      </c>
      <c r="L251" s="1" t="s">
        <v>537</v>
      </c>
      <c r="M251" s="1"/>
      <c r="N251" s="1" t="s">
        <v>269</v>
      </c>
      <c r="O251" s="1"/>
      <c r="P251" s="1"/>
      <c r="Q251" s="2"/>
      <c r="R251" s="1"/>
      <c r="S251" s="1"/>
      <c r="T251" s="1"/>
      <c r="U251" s="1" t="s">
        <v>1956</v>
      </c>
      <c r="V251" s="5">
        <v>43628.592134473503</v>
      </c>
      <c r="W251" s="1" t="s">
        <v>419</v>
      </c>
      <c r="X251" s="6">
        <v>5700</v>
      </c>
      <c r="Y251" s="1"/>
      <c r="Z251" s="4">
        <v>44043</v>
      </c>
      <c r="AA251" s="5">
        <v>44043</v>
      </c>
      <c r="AB251" s="1" t="s">
        <v>1971</v>
      </c>
      <c r="AC251" s="1"/>
      <c r="AD251" s="1"/>
    </row>
    <row r="252" spans="1:30" hidden="1" x14ac:dyDescent="0.25">
      <c r="A252" s="1" t="s">
        <v>1000</v>
      </c>
      <c r="B252" s="1" t="s">
        <v>787</v>
      </c>
      <c r="C252" s="1" t="s">
        <v>1147</v>
      </c>
      <c r="D252" s="4">
        <v>43623</v>
      </c>
      <c r="E252" s="6">
        <v>41900</v>
      </c>
      <c r="F252" s="6"/>
      <c r="G252" s="6">
        <v>41900</v>
      </c>
      <c r="H252" s="1" t="s">
        <v>1676</v>
      </c>
      <c r="I252" s="6">
        <v>4000</v>
      </c>
      <c r="J252" s="6">
        <v>8.714596949891068E-2</v>
      </c>
      <c r="K252" s="1" t="s">
        <v>1635</v>
      </c>
      <c r="L252" s="1" t="s">
        <v>598</v>
      </c>
      <c r="M252" s="1" t="s">
        <v>941</v>
      </c>
      <c r="N252" s="1" t="s">
        <v>133</v>
      </c>
      <c r="O252" s="6">
        <v>3900</v>
      </c>
      <c r="P252" s="6">
        <v>8.4967320261437912E-2</v>
      </c>
      <c r="Q252" s="2" t="str">
        <f>HYPERLINK("https://auction.openprocurement.org/tenders/71378fc4f0f84960be040e058c210cf9")</f>
        <v>https://auction.openprocurement.org/tenders/71378fc4f0f84960be040e058c210cf9</v>
      </c>
      <c r="R252" s="5">
        <v>43635.662813165232</v>
      </c>
      <c r="S252" s="4">
        <v>43637</v>
      </c>
      <c r="T252" s="4">
        <v>43658</v>
      </c>
      <c r="U252" s="1" t="s">
        <v>1956</v>
      </c>
      <c r="V252" s="5">
        <v>43648.645728071737</v>
      </c>
      <c r="W252" s="1" t="s">
        <v>469</v>
      </c>
      <c r="X252" s="6">
        <v>42000</v>
      </c>
      <c r="Y252" s="1"/>
      <c r="Z252" s="4">
        <v>43666</v>
      </c>
      <c r="AA252" s="5">
        <v>43830</v>
      </c>
      <c r="AB252" s="1" t="s">
        <v>1971</v>
      </c>
      <c r="AC252" s="1"/>
      <c r="AD252" s="1" t="s">
        <v>1168</v>
      </c>
    </row>
    <row r="253" spans="1:30" hidden="1" x14ac:dyDescent="0.25">
      <c r="A253" s="1" t="s">
        <v>1098</v>
      </c>
      <c r="B253" s="1" t="s">
        <v>604</v>
      </c>
      <c r="C253" s="1" t="s">
        <v>1147</v>
      </c>
      <c r="D253" s="4">
        <v>43620</v>
      </c>
      <c r="E253" s="6">
        <v>3312</v>
      </c>
      <c r="F253" s="6"/>
      <c r="G253" s="6">
        <v>3312</v>
      </c>
      <c r="H253" s="1" t="s">
        <v>1028</v>
      </c>
      <c r="I253" s="1"/>
      <c r="J253" s="1"/>
      <c r="K253" s="1" t="s">
        <v>1028</v>
      </c>
      <c r="L253" s="1" t="s">
        <v>644</v>
      </c>
      <c r="M253" s="1" t="s">
        <v>980</v>
      </c>
      <c r="N253" s="1" t="s">
        <v>46</v>
      </c>
      <c r="O253" s="1"/>
      <c r="P253" s="1"/>
      <c r="Q253" s="2"/>
      <c r="R253" s="5">
        <v>43628.632043187747</v>
      </c>
      <c r="S253" s="4">
        <v>43630</v>
      </c>
      <c r="T253" s="4">
        <v>43653</v>
      </c>
      <c r="U253" s="1" t="s">
        <v>1956</v>
      </c>
      <c r="V253" s="5">
        <v>43635.658864747653</v>
      </c>
      <c r="W253" s="1" t="s">
        <v>1952</v>
      </c>
      <c r="X253" s="6">
        <v>3312</v>
      </c>
      <c r="Y253" s="1"/>
      <c r="Z253" s="4">
        <v>43678</v>
      </c>
      <c r="AA253" s="5">
        <v>43830</v>
      </c>
      <c r="AB253" s="1" t="s">
        <v>1971</v>
      </c>
      <c r="AC253" s="1"/>
      <c r="AD253" s="1" t="s">
        <v>1168</v>
      </c>
    </row>
    <row r="254" spans="1:30" hidden="1" x14ac:dyDescent="0.25">
      <c r="A254" s="1" t="s">
        <v>1095</v>
      </c>
      <c r="B254" s="1" t="s">
        <v>608</v>
      </c>
      <c r="C254" s="1" t="s">
        <v>1147</v>
      </c>
      <c r="D254" s="4">
        <v>43620</v>
      </c>
      <c r="E254" s="6">
        <v>3500</v>
      </c>
      <c r="F254" s="6"/>
      <c r="G254" s="6">
        <v>1750</v>
      </c>
      <c r="H254" s="1" t="s">
        <v>1838</v>
      </c>
      <c r="I254" s="6">
        <v>1450</v>
      </c>
      <c r="J254" s="6">
        <v>0.29292929292929293</v>
      </c>
      <c r="K254" s="1" t="s">
        <v>1028</v>
      </c>
      <c r="L254" s="1" t="s">
        <v>644</v>
      </c>
      <c r="M254" s="1" t="s">
        <v>980</v>
      </c>
      <c r="N254" s="1" t="s">
        <v>46</v>
      </c>
      <c r="O254" s="1"/>
      <c r="P254" s="1"/>
      <c r="Q254" s="2" t="str">
        <f>HYPERLINK("https://auction.openprocurement.org/tenders/d87cb8cd8cbd46f6afc92b6aa6047456")</f>
        <v>https://auction.openprocurement.org/tenders/d87cb8cd8cbd46f6afc92b6aa6047456</v>
      </c>
      <c r="R254" s="5">
        <v>43629.635572720501</v>
      </c>
      <c r="S254" s="4">
        <v>43634</v>
      </c>
      <c r="T254" s="4">
        <v>43653</v>
      </c>
      <c r="U254" s="1" t="s">
        <v>1956</v>
      </c>
      <c r="V254" s="5">
        <v>43635.668586816253</v>
      </c>
      <c r="W254" s="1" t="s">
        <v>1952</v>
      </c>
      <c r="X254" s="6">
        <v>4950</v>
      </c>
      <c r="Y254" s="1"/>
      <c r="Z254" s="4">
        <v>43678</v>
      </c>
      <c r="AA254" s="5">
        <v>43830</v>
      </c>
      <c r="AB254" s="1" t="s">
        <v>1971</v>
      </c>
      <c r="AC254" s="1"/>
      <c r="AD254" s="1" t="s">
        <v>1168</v>
      </c>
    </row>
    <row r="255" spans="1:30" hidden="1" x14ac:dyDescent="0.25">
      <c r="A255" s="1" t="s">
        <v>1095</v>
      </c>
      <c r="B255" s="1" t="s">
        <v>741</v>
      </c>
      <c r="C255" s="1" t="s">
        <v>1147</v>
      </c>
      <c r="D255" s="4">
        <v>43620</v>
      </c>
      <c r="E255" s="6">
        <v>3093</v>
      </c>
      <c r="F255" s="6"/>
      <c r="G255" s="6">
        <v>31.88659793814433</v>
      </c>
      <c r="H255" s="1" t="s">
        <v>1838</v>
      </c>
      <c r="I255" s="6">
        <v>3507</v>
      </c>
      <c r="J255" s="6">
        <v>0.53136363636363637</v>
      </c>
      <c r="K255" s="1" t="s">
        <v>1028</v>
      </c>
      <c r="L255" s="1" t="s">
        <v>644</v>
      </c>
      <c r="M255" s="1" t="s">
        <v>980</v>
      </c>
      <c r="N255" s="1" t="s">
        <v>46</v>
      </c>
      <c r="O255" s="6">
        <v>33</v>
      </c>
      <c r="P255" s="6">
        <v>5.0000000000000001E-3</v>
      </c>
      <c r="Q255" s="2" t="str">
        <f>HYPERLINK("https://auction.openprocurement.org/tenders/618d2190280c4ba3b00a31fab5c51b7a")</f>
        <v>https://auction.openprocurement.org/tenders/618d2190280c4ba3b00a31fab5c51b7a</v>
      </c>
      <c r="R255" s="5">
        <v>43629.723545246976</v>
      </c>
      <c r="S255" s="4">
        <v>43634</v>
      </c>
      <c r="T255" s="4">
        <v>43653</v>
      </c>
      <c r="U255" s="1" t="s">
        <v>1956</v>
      </c>
      <c r="V255" s="5">
        <v>43635.675905945936</v>
      </c>
      <c r="W255" s="1" t="s">
        <v>1952</v>
      </c>
      <c r="X255" s="6">
        <v>6567</v>
      </c>
      <c r="Y255" s="1"/>
      <c r="Z255" s="4">
        <v>43678</v>
      </c>
      <c r="AA255" s="5">
        <v>43830</v>
      </c>
      <c r="AB255" s="1" t="s">
        <v>1971</v>
      </c>
      <c r="AC255" s="1"/>
      <c r="AD255" s="1" t="s">
        <v>1168</v>
      </c>
    </row>
    <row r="256" spans="1:30" hidden="1" x14ac:dyDescent="0.25">
      <c r="A256" s="1" t="s">
        <v>1021</v>
      </c>
      <c r="B256" s="1" t="s">
        <v>739</v>
      </c>
      <c r="C256" s="1" t="s">
        <v>1147</v>
      </c>
      <c r="D256" s="4">
        <v>43620</v>
      </c>
      <c r="E256" s="6">
        <v>68476.3</v>
      </c>
      <c r="F256" s="6"/>
      <c r="G256" s="6">
        <v>964.45492957746478</v>
      </c>
      <c r="H256" s="1" t="s">
        <v>1719</v>
      </c>
      <c r="I256" s="6">
        <v>11523.699999999997</v>
      </c>
      <c r="J256" s="6">
        <v>0.14404624999999996</v>
      </c>
      <c r="K256" s="1" t="s">
        <v>1664</v>
      </c>
      <c r="L256" s="1" t="s">
        <v>718</v>
      </c>
      <c r="M256" s="1" t="s">
        <v>957</v>
      </c>
      <c r="N256" s="1" t="s">
        <v>104</v>
      </c>
      <c r="O256" s="1"/>
      <c r="P256" s="1"/>
      <c r="Q256" s="2" t="str">
        <f>HYPERLINK("https://auction.openprocurement.org/tenders/6b6f096001da4d89b71bac324d745437")</f>
        <v>https://auction.openprocurement.org/tenders/6b6f096001da4d89b71bac324d745437</v>
      </c>
      <c r="R256" s="5">
        <v>43629.626113843668</v>
      </c>
      <c r="S256" s="4">
        <v>43634</v>
      </c>
      <c r="T256" s="4">
        <v>43653</v>
      </c>
      <c r="U256" s="1" t="s">
        <v>1956</v>
      </c>
      <c r="V256" s="5">
        <v>43640.435733624436</v>
      </c>
      <c r="W256" s="1" t="s">
        <v>434</v>
      </c>
      <c r="X256" s="6">
        <v>80000</v>
      </c>
      <c r="Y256" s="1"/>
      <c r="Z256" s="4">
        <v>43678</v>
      </c>
      <c r="AA256" s="5">
        <v>43830</v>
      </c>
      <c r="AB256" s="1" t="s">
        <v>1971</v>
      </c>
      <c r="AC256" s="1"/>
      <c r="AD256" s="1" t="s">
        <v>1168</v>
      </c>
    </row>
    <row r="257" spans="1:30" x14ac:dyDescent="0.25">
      <c r="A257" s="1" t="s">
        <v>1379</v>
      </c>
      <c r="B257" s="1" t="s">
        <v>840</v>
      </c>
      <c r="C257" s="1" t="s">
        <v>1081</v>
      </c>
      <c r="D257" s="4">
        <v>43619</v>
      </c>
      <c r="E257" s="6">
        <v>151200</v>
      </c>
      <c r="F257" s="6"/>
      <c r="G257" s="6"/>
      <c r="H257" s="1"/>
      <c r="I257" s="6"/>
      <c r="J257" s="6"/>
      <c r="K257" s="1"/>
      <c r="L257" s="1"/>
      <c r="M257" s="1"/>
      <c r="N257" s="1"/>
      <c r="O257" s="6"/>
      <c r="P257" s="6"/>
      <c r="Q257" s="2"/>
      <c r="R257" s="5"/>
      <c r="S257" s="4"/>
      <c r="T257" s="4"/>
      <c r="U257" s="1"/>
      <c r="V257" s="5"/>
      <c r="W257" s="1"/>
      <c r="X257" s="6"/>
      <c r="Y257" s="1"/>
      <c r="Z257" s="4"/>
      <c r="AA257" s="5"/>
      <c r="AB257" s="1"/>
      <c r="AC257" s="1"/>
      <c r="AD257" s="1"/>
    </row>
    <row r="258" spans="1:30" hidden="1" x14ac:dyDescent="0.25">
      <c r="A258" s="1" t="s">
        <v>1765</v>
      </c>
      <c r="B258" s="1" t="s">
        <v>793</v>
      </c>
      <c r="C258" s="1" t="s">
        <v>1157</v>
      </c>
      <c r="D258" s="4">
        <v>43615</v>
      </c>
      <c r="E258" s="6">
        <v>38500</v>
      </c>
      <c r="F258" s="6"/>
      <c r="G258" s="6">
        <v>38500</v>
      </c>
      <c r="H258" s="1"/>
      <c r="I258" s="1"/>
      <c r="J258" s="1"/>
      <c r="K258" s="1" t="s">
        <v>1266</v>
      </c>
      <c r="L258" s="1" t="s">
        <v>490</v>
      </c>
      <c r="M258" s="1"/>
      <c r="N258" s="1" t="s">
        <v>301</v>
      </c>
      <c r="O258" s="1"/>
      <c r="P258" s="1"/>
      <c r="Q258" s="2"/>
      <c r="R258" s="1"/>
      <c r="S258" s="1"/>
      <c r="T258" s="1"/>
      <c r="U258" s="1" t="s">
        <v>1956</v>
      </c>
      <c r="V258" s="5">
        <v>43615.455846001576</v>
      </c>
      <c r="W258" s="1" t="s">
        <v>1952</v>
      </c>
      <c r="X258" s="6">
        <v>38500</v>
      </c>
      <c r="Y258" s="4">
        <v>43615</v>
      </c>
      <c r="Z258" s="4">
        <v>43830</v>
      </c>
      <c r="AA258" s="5">
        <v>43830</v>
      </c>
      <c r="AB258" s="1" t="s">
        <v>1971</v>
      </c>
      <c r="AC258" s="1"/>
      <c r="AD258" s="1" t="s">
        <v>1168</v>
      </c>
    </row>
    <row r="259" spans="1:30" hidden="1" x14ac:dyDescent="0.25">
      <c r="A259" s="1" t="s">
        <v>999</v>
      </c>
      <c r="B259" s="1" t="s">
        <v>787</v>
      </c>
      <c r="C259" s="1" t="s">
        <v>1147</v>
      </c>
      <c r="D259" s="4">
        <v>43612</v>
      </c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2"/>
      <c r="R259" s="1"/>
      <c r="S259" s="1"/>
      <c r="T259" s="1"/>
      <c r="U259" s="1" t="s">
        <v>1972</v>
      </c>
      <c r="V259" s="5">
        <v>43619.387978588704</v>
      </c>
      <c r="W259" s="1"/>
      <c r="X259" s="1"/>
      <c r="Y259" s="1"/>
      <c r="Z259" s="4">
        <v>43646</v>
      </c>
      <c r="AA259" s="1"/>
      <c r="AB259" s="1"/>
      <c r="AC259" s="1" t="s">
        <v>1785</v>
      </c>
      <c r="AD259" s="1"/>
    </row>
    <row r="260" spans="1:30" hidden="1" x14ac:dyDescent="0.25">
      <c r="A260" s="1" t="s">
        <v>1493</v>
      </c>
      <c r="B260" s="1" t="s">
        <v>747</v>
      </c>
      <c r="C260" s="1" t="s">
        <v>1147</v>
      </c>
      <c r="D260" s="4">
        <v>43612</v>
      </c>
      <c r="E260" s="6">
        <v>84046.68</v>
      </c>
      <c r="F260" s="6"/>
      <c r="G260" s="6">
        <v>84046.68</v>
      </c>
      <c r="H260" s="1" t="s">
        <v>1654</v>
      </c>
      <c r="I260" s="6">
        <v>0.32000000000698492</v>
      </c>
      <c r="J260" s="6">
        <v>3.80739348230139E-6</v>
      </c>
      <c r="K260" s="1" t="s">
        <v>1654</v>
      </c>
      <c r="L260" s="1" t="s">
        <v>704</v>
      </c>
      <c r="M260" s="1" t="s">
        <v>889</v>
      </c>
      <c r="N260" s="1" t="s">
        <v>100</v>
      </c>
      <c r="O260" s="6">
        <v>0.32000000000698492</v>
      </c>
      <c r="P260" s="6">
        <v>3.80739348230139E-6</v>
      </c>
      <c r="Q260" s="2"/>
      <c r="R260" s="5">
        <v>43620.520076607543</v>
      </c>
      <c r="S260" s="4">
        <v>43622</v>
      </c>
      <c r="T260" s="4">
        <v>43645</v>
      </c>
      <c r="U260" s="1" t="s">
        <v>1956</v>
      </c>
      <c r="V260" s="5">
        <v>43627.611281371333</v>
      </c>
      <c r="W260" s="1" t="s">
        <v>1952</v>
      </c>
      <c r="X260" s="6">
        <v>84046.68</v>
      </c>
      <c r="Y260" s="1"/>
      <c r="Z260" s="4">
        <v>43646</v>
      </c>
      <c r="AA260" s="5">
        <v>43830</v>
      </c>
      <c r="AB260" s="1" t="s">
        <v>1971</v>
      </c>
      <c r="AC260" s="1"/>
      <c r="AD260" s="1" t="s">
        <v>1168</v>
      </c>
    </row>
    <row r="261" spans="1:30" hidden="1" x14ac:dyDescent="0.25">
      <c r="A261" s="1" t="s">
        <v>1560</v>
      </c>
      <c r="B261" s="1" t="s">
        <v>788</v>
      </c>
      <c r="C261" s="1" t="s">
        <v>1157</v>
      </c>
      <c r="D261" s="4">
        <v>43609</v>
      </c>
      <c r="E261" s="6">
        <v>4863.04</v>
      </c>
      <c r="F261" s="6"/>
      <c r="G261" s="6">
        <v>4863.04</v>
      </c>
      <c r="H261" s="1"/>
      <c r="I261" s="1"/>
      <c r="J261" s="1"/>
      <c r="K261" s="1" t="s">
        <v>1752</v>
      </c>
      <c r="L261" s="1" t="s">
        <v>711</v>
      </c>
      <c r="M261" s="1"/>
      <c r="N261" s="1" t="s">
        <v>306</v>
      </c>
      <c r="O261" s="1"/>
      <c r="P261" s="1"/>
      <c r="Q261" s="2"/>
      <c r="R261" s="1"/>
      <c r="S261" s="1"/>
      <c r="T261" s="1"/>
      <c r="U261" s="1" t="s">
        <v>1956</v>
      </c>
      <c r="V261" s="5">
        <v>43609.651371434928</v>
      </c>
      <c r="W261" s="1" t="s">
        <v>1952</v>
      </c>
      <c r="X261" s="6">
        <v>4863.04</v>
      </c>
      <c r="Y261" s="1"/>
      <c r="Z261" s="4">
        <v>43830</v>
      </c>
      <c r="AA261" s="5">
        <v>43830</v>
      </c>
      <c r="AB261" s="1" t="s">
        <v>1971</v>
      </c>
      <c r="AC261" s="1"/>
      <c r="AD261" s="1" t="s">
        <v>1168</v>
      </c>
    </row>
    <row r="262" spans="1:30" x14ac:dyDescent="0.25">
      <c r="A262" s="1" t="s">
        <v>1420</v>
      </c>
      <c r="B262" s="1" t="s">
        <v>817</v>
      </c>
      <c r="C262" s="1" t="s">
        <v>1082</v>
      </c>
      <c r="D262" s="4">
        <v>43607</v>
      </c>
      <c r="E262" s="6">
        <v>2210000</v>
      </c>
      <c r="F262" s="6"/>
      <c r="G262" s="6"/>
      <c r="H262" s="1"/>
      <c r="I262" s="6"/>
      <c r="J262" s="6"/>
      <c r="K262" s="1"/>
      <c r="L262" s="1"/>
      <c r="M262" s="1"/>
      <c r="N262" s="1"/>
      <c r="O262" s="6"/>
      <c r="P262" s="6"/>
      <c r="Q262" s="2"/>
      <c r="R262" s="5"/>
      <c r="S262" s="4"/>
      <c r="T262" s="4"/>
      <c r="U262" s="1"/>
      <c r="V262" s="5"/>
      <c r="W262" s="1"/>
      <c r="X262" s="6"/>
      <c r="Y262" s="4"/>
      <c r="Z262" s="4"/>
      <c r="AA262" s="5"/>
      <c r="AB262" s="1"/>
      <c r="AC262" s="1"/>
      <c r="AD262" s="1"/>
    </row>
    <row r="263" spans="1:30" x14ac:dyDescent="0.25">
      <c r="A263" s="1" t="s">
        <v>1003</v>
      </c>
      <c r="B263" s="1" t="s">
        <v>751</v>
      </c>
      <c r="C263" s="1" t="s">
        <v>1081</v>
      </c>
      <c r="D263" s="4">
        <v>43607</v>
      </c>
      <c r="E263" s="6">
        <v>304067.71000000002</v>
      </c>
      <c r="F263" s="6"/>
      <c r="G263" s="6"/>
      <c r="H263" s="1"/>
      <c r="I263" s="6"/>
      <c r="J263" s="6"/>
      <c r="K263" s="1"/>
      <c r="L263" s="1"/>
      <c r="M263" s="1"/>
      <c r="N263" s="1"/>
      <c r="O263" s="6"/>
      <c r="P263" s="6"/>
      <c r="Q263" s="2"/>
      <c r="R263" s="5"/>
      <c r="S263" s="4"/>
      <c r="T263" s="4"/>
      <c r="U263" s="1"/>
      <c r="V263" s="5"/>
      <c r="W263" s="1"/>
      <c r="X263" s="6"/>
      <c r="Y263" s="1"/>
      <c r="Z263" s="4"/>
      <c r="AA263" s="5"/>
      <c r="AB263" s="1"/>
      <c r="AC263" s="1"/>
      <c r="AD263" s="1"/>
    </row>
    <row r="264" spans="1:30" hidden="1" x14ac:dyDescent="0.25">
      <c r="A264" s="1" t="s">
        <v>1262</v>
      </c>
      <c r="B264" s="1" t="s">
        <v>761</v>
      </c>
      <c r="C264" s="1" t="s">
        <v>1147</v>
      </c>
      <c r="D264" s="4">
        <v>43607</v>
      </c>
      <c r="E264" s="6">
        <v>43600</v>
      </c>
      <c r="F264" s="6"/>
      <c r="G264" s="6">
        <v>21800</v>
      </c>
      <c r="H264" s="1" t="s">
        <v>1879</v>
      </c>
      <c r="I264" s="6">
        <v>400</v>
      </c>
      <c r="J264" s="6">
        <v>9.0909090909090905E-3</v>
      </c>
      <c r="K264" s="1" t="s">
        <v>1879</v>
      </c>
      <c r="L264" s="1" t="s">
        <v>550</v>
      </c>
      <c r="M264" s="1" t="s">
        <v>880</v>
      </c>
      <c r="N264" s="1" t="s">
        <v>97</v>
      </c>
      <c r="O264" s="6">
        <v>400</v>
      </c>
      <c r="P264" s="6">
        <v>9.0909090909090905E-3</v>
      </c>
      <c r="Q264" s="2"/>
      <c r="R264" s="5">
        <v>43615.661889236377</v>
      </c>
      <c r="S264" s="4">
        <v>43619</v>
      </c>
      <c r="T264" s="4">
        <v>43642</v>
      </c>
      <c r="U264" s="1" t="s">
        <v>1956</v>
      </c>
      <c r="V264" s="5">
        <v>43620.63512546134</v>
      </c>
      <c r="W264" s="1" t="s">
        <v>1952</v>
      </c>
      <c r="X264" s="6">
        <v>43600</v>
      </c>
      <c r="Y264" s="4">
        <v>43626</v>
      </c>
      <c r="Z264" s="4">
        <v>43714</v>
      </c>
      <c r="AA264" s="5">
        <v>43830</v>
      </c>
      <c r="AB264" s="1" t="s">
        <v>1971</v>
      </c>
      <c r="AC264" s="1"/>
      <c r="AD264" s="1" t="s">
        <v>1168</v>
      </c>
    </row>
    <row r="265" spans="1:30" hidden="1" x14ac:dyDescent="0.25">
      <c r="A265" s="1" t="s">
        <v>1506</v>
      </c>
      <c r="B265" s="1" t="s">
        <v>758</v>
      </c>
      <c r="C265" s="1" t="s">
        <v>1147</v>
      </c>
      <c r="D265" s="4">
        <v>43606</v>
      </c>
      <c r="E265" s="6">
        <v>20810</v>
      </c>
      <c r="F265" s="6"/>
      <c r="G265" s="6">
        <v>20810</v>
      </c>
      <c r="H265" s="1" t="s">
        <v>1879</v>
      </c>
      <c r="I265" s="1"/>
      <c r="J265" s="1"/>
      <c r="K265" s="1" t="s">
        <v>1879</v>
      </c>
      <c r="L265" s="1" t="s">
        <v>550</v>
      </c>
      <c r="M265" s="1" t="s">
        <v>880</v>
      </c>
      <c r="N265" s="1" t="s">
        <v>97</v>
      </c>
      <c r="O265" s="1"/>
      <c r="P265" s="1"/>
      <c r="Q265" s="2"/>
      <c r="R265" s="5">
        <v>43615.652073083591</v>
      </c>
      <c r="S265" s="4">
        <v>43619</v>
      </c>
      <c r="T265" s="4">
        <v>43639</v>
      </c>
      <c r="U265" s="1" t="s">
        <v>1956</v>
      </c>
      <c r="V265" s="5">
        <v>43622.596361688345</v>
      </c>
      <c r="W265" s="1" t="s">
        <v>1952</v>
      </c>
      <c r="X265" s="6">
        <v>20810</v>
      </c>
      <c r="Y265" s="1"/>
      <c r="Z265" s="4">
        <v>43661</v>
      </c>
      <c r="AA265" s="5">
        <v>43830</v>
      </c>
      <c r="AB265" s="1" t="s">
        <v>1971</v>
      </c>
      <c r="AC265" s="1"/>
      <c r="AD265" s="1" t="s">
        <v>1168</v>
      </c>
    </row>
    <row r="266" spans="1:30" hidden="1" x14ac:dyDescent="0.25">
      <c r="A266" s="1" t="s">
        <v>1468</v>
      </c>
      <c r="B266" s="1" t="s">
        <v>821</v>
      </c>
      <c r="C266" s="1" t="s">
        <v>1147</v>
      </c>
      <c r="D266" s="4">
        <v>43606</v>
      </c>
      <c r="E266" s="6">
        <v>79990</v>
      </c>
      <c r="F266" s="6"/>
      <c r="G266" s="6">
        <v>79990</v>
      </c>
      <c r="H266" s="1" t="s">
        <v>1880</v>
      </c>
      <c r="I266" s="6">
        <v>10</v>
      </c>
      <c r="J266" s="6">
        <v>1.25E-4</v>
      </c>
      <c r="K266" s="1" t="s">
        <v>1880</v>
      </c>
      <c r="L266" s="1" t="s">
        <v>593</v>
      </c>
      <c r="M266" s="1" t="s">
        <v>905</v>
      </c>
      <c r="N266" s="1" t="s">
        <v>158</v>
      </c>
      <c r="O266" s="6">
        <v>10</v>
      </c>
      <c r="P266" s="6">
        <v>1.25E-4</v>
      </c>
      <c r="Q266" s="2"/>
      <c r="R266" s="5">
        <v>43615.648098643644</v>
      </c>
      <c r="S266" s="4">
        <v>43619</v>
      </c>
      <c r="T266" s="4">
        <v>43639</v>
      </c>
      <c r="U266" s="1" t="s">
        <v>1956</v>
      </c>
      <c r="V266" s="5">
        <v>43620.628306436658</v>
      </c>
      <c r="W266" s="1" t="s">
        <v>254</v>
      </c>
      <c r="X266" s="6">
        <v>79990</v>
      </c>
      <c r="Y266" s="1"/>
      <c r="Z266" s="4">
        <v>43666</v>
      </c>
      <c r="AA266" s="5">
        <v>43830</v>
      </c>
      <c r="AB266" s="1" t="s">
        <v>1971</v>
      </c>
      <c r="AC266" s="1"/>
      <c r="AD266" s="1" t="s">
        <v>1168</v>
      </c>
    </row>
    <row r="267" spans="1:30" x14ac:dyDescent="0.25">
      <c r="A267" s="1" t="s">
        <v>1143</v>
      </c>
      <c r="B267" s="1" t="s">
        <v>639</v>
      </c>
      <c r="C267" s="1" t="s">
        <v>1081</v>
      </c>
      <c r="D267" s="4">
        <v>43606</v>
      </c>
      <c r="E267" s="6">
        <v>1060000</v>
      </c>
      <c r="F267" s="6"/>
      <c r="G267" s="6"/>
      <c r="H267" s="1"/>
      <c r="I267" s="6"/>
      <c r="J267" s="6"/>
      <c r="K267" s="1"/>
      <c r="L267" s="1"/>
      <c r="M267" s="1"/>
      <c r="N267" s="1"/>
      <c r="O267" s="6"/>
      <c r="P267" s="6"/>
      <c r="Q267" s="2"/>
      <c r="R267" s="5"/>
      <c r="S267" s="4"/>
      <c r="T267" s="4"/>
      <c r="U267" s="1"/>
      <c r="V267" s="5"/>
      <c r="W267" s="1"/>
      <c r="X267" s="6"/>
      <c r="Y267" s="1"/>
      <c r="Z267" s="4"/>
      <c r="AA267" s="5"/>
      <c r="AB267" s="1"/>
      <c r="AC267" s="1"/>
      <c r="AD267" s="1"/>
    </row>
    <row r="268" spans="1:30" x14ac:dyDescent="0.25">
      <c r="A268" s="1" t="s">
        <v>1376</v>
      </c>
      <c r="B268" s="1" t="s">
        <v>838</v>
      </c>
      <c r="C268" s="1" t="s">
        <v>1081</v>
      </c>
      <c r="D268" s="4">
        <v>43600</v>
      </c>
      <c r="E268" s="6">
        <v>149000</v>
      </c>
      <c r="F268" s="6"/>
      <c r="G268" s="6"/>
      <c r="H268" s="1"/>
      <c r="I268" s="6"/>
      <c r="J268" s="6"/>
      <c r="K268" s="1"/>
      <c r="L268" s="1"/>
      <c r="M268" s="1"/>
      <c r="N268" s="1"/>
      <c r="O268" s="6"/>
      <c r="P268" s="6"/>
      <c r="Q268" s="2"/>
      <c r="R268" s="5"/>
      <c r="S268" s="4"/>
      <c r="T268" s="4"/>
      <c r="U268" s="1"/>
      <c r="V268" s="5"/>
      <c r="W268" s="1"/>
      <c r="X268" s="6"/>
      <c r="Y268" s="4"/>
      <c r="Z268" s="4"/>
      <c r="AA268" s="5"/>
      <c r="AB268" s="1"/>
      <c r="AC268" s="1"/>
      <c r="AD268" s="1"/>
    </row>
    <row r="269" spans="1:30" hidden="1" x14ac:dyDescent="0.25">
      <c r="A269" s="1" t="s">
        <v>1187</v>
      </c>
      <c r="B269" s="1" t="s">
        <v>737</v>
      </c>
      <c r="C269" s="1" t="s">
        <v>1147</v>
      </c>
      <c r="D269" s="4">
        <v>43600</v>
      </c>
      <c r="E269" s="6">
        <v>51480</v>
      </c>
      <c r="F269" s="6"/>
      <c r="G269" s="6">
        <v>128.69999999999999</v>
      </c>
      <c r="H269" s="1" t="s">
        <v>1872</v>
      </c>
      <c r="I269" s="6">
        <v>8520</v>
      </c>
      <c r="J269" s="6">
        <v>0.14199999999999999</v>
      </c>
      <c r="K269" s="1" t="s">
        <v>1872</v>
      </c>
      <c r="L269" s="1" t="s">
        <v>564</v>
      </c>
      <c r="M269" s="1" t="s">
        <v>897</v>
      </c>
      <c r="N269" s="1" t="s">
        <v>180</v>
      </c>
      <c r="O269" s="6">
        <v>8520</v>
      </c>
      <c r="P269" s="6">
        <v>0.14199999999999999</v>
      </c>
      <c r="Q269" s="2"/>
      <c r="R269" s="5">
        <v>43608.619643901009</v>
      </c>
      <c r="S269" s="4">
        <v>43612</v>
      </c>
      <c r="T269" s="4">
        <v>43635</v>
      </c>
      <c r="U269" s="1" t="s">
        <v>1956</v>
      </c>
      <c r="V269" s="5">
        <v>43615.406131124757</v>
      </c>
      <c r="W269" s="1" t="s">
        <v>1952</v>
      </c>
      <c r="X269" s="6">
        <v>51480</v>
      </c>
      <c r="Y269" s="1"/>
      <c r="Z269" s="4">
        <v>43646</v>
      </c>
      <c r="AA269" s="5">
        <v>43830</v>
      </c>
      <c r="AB269" s="1" t="s">
        <v>1971</v>
      </c>
      <c r="AC269" s="1"/>
      <c r="AD269" s="1" t="s">
        <v>1168</v>
      </c>
    </row>
    <row r="270" spans="1:30" hidden="1" x14ac:dyDescent="0.25">
      <c r="A270" s="1" t="s">
        <v>1541</v>
      </c>
      <c r="B270" s="1" t="s">
        <v>788</v>
      </c>
      <c r="C270" s="1" t="s">
        <v>1157</v>
      </c>
      <c r="D270" s="4">
        <v>43598</v>
      </c>
      <c r="E270" s="6">
        <v>40500</v>
      </c>
      <c r="F270" s="6"/>
      <c r="G270" s="6">
        <v>40500</v>
      </c>
      <c r="H270" s="1"/>
      <c r="I270" s="1"/>
      <c r="J270" s="1"/>
      <c r="K270" s="1" t="s">
        <v>1729</v>
      </c>
      <c r="L270" s="1" t="s">
        <v>598</v>
      </c>
      <c r="M270" s="1"/>
      <c r="N270" s="1" t="s">
        <v>284</v>
      </c>
      <c r="O270" s="1"/>
      <c r="P270" s="1"/>
      <c r="Q270" s="2"/>
      <c r="R270" s="1"/>
      <c r="S270" s="1"/>
      <c r="T270" s="1"/>
      <c r="U270" s="1" t="s">
        <v>1956</v>
      </c>
      <c r="V270" s="5">
        <v>43598.679600399933</v>
      </c>
      <c r="W270" s="1" t="s">
        <v>210</v>
      </c>
      <c r="X270" s="6">
        <v>40500</v>
      </c>
      <c r="Y270" s="1"/>
      <c r="Z270" s="4">
        <v>43830</v>
      </c>
      <c r="AA270" s="5">
        <v>43830</v>
      </c>
      <c r="AB270" s="1" t="s">
        <v>1971</v>
      </c>
      <c r="AC270" s="1"/>
      <c r="AD270" s="1"/>
    </row>
    <row r="271" spans="1:30" x14ac:dyDescent="0.25">
      <c r="A271" s="1" t="s">
        <v>1513</v>
      </c>
      <c r="B271" s="1" t="s">
        <v>751</v>
      </c>
      <c r="C271" s="1" t="s">
        <v>1081</v>
      </c>
      <c r="D271" s="4">
        <v>43595</v>
      </c>
      <c r="E271" s="6">
        <v>65191.22</v>
      </c>
      <c r="F271" s="6"/>
      <c r="G271" s="6"/>
      <c r="H271" s="1"/>
      <c r="I271" s="6"/>
      <c r="J271" s="6"/>
      <c r="K271" s="1"/>
      <c r="L271" s="1"/>
      <c r="M271" s="1"/>
      <c r="N271" s="1"/>
      <c r="O271" s="6"/>
      <c r="P271" s="6"/>
      <c r="Q271" s="2"/>
      <c r="R271" s="5"/>
      <c r="S271" s="4"/>
      <c r="T271" s="4"/>
      <c r="U271" s="1"/>
      <c r="V271" s="5"/>
      <c r="W271" s="1"/>
      <c r="X271" s="6"/>
      <c r="Y271" s="1"/>
      <c r="Z271" s="4"/>
      <c r="AA271" s="5"/>
      <c r="AB271" s="1"/>
      <c r="AC271" s="1"/>
      <c r="AD271" s="1"/>
    </row>
    <row r="272" spans="1:30" hidden="1" x14ac:dyDescent="0.25">
      <c r="A272" s="1" t="s">
        <v>1509</v>
      </c>
      <c r="B272" s="1" t="s">
        <v>758</v>
      </c>
      <c r="C272" s="1" t="s">
        <v>1147</v>
      </c>
      <c r="D272" s="4">
        <v>43595</v>
      </c>
      <c r="E272" s="6">
        <v>10660.82</v>
      </c>
      <c r="F272" s="6"/>
      <c r="G272" s="6">
        <v>10660.82</v>
      </c>
      <c r="H272" s="1" t="s">
        <v>1859</v>
      </c>
      <c r="I272" s="6">
        <v>1339.1800000000003</v>
      </c>
      <c r="J272" s="6">
        <v>0.11159833333333335</v>
      </c>
      <c r="K272" s="1" t="s">
        <v>1859</v>
      </c>
      <c r="L272" s="1" t="s">
        <v>466</v>
      </c>
      <c r="M272" s="1" t="s">
        <v>873</v>
      </c>
      <c r="N272" s="1" t="s">
        <v>147</v>
      </c>
      <c r="O272" s="6">
        <v>1339.1800000000003</v>
      </c>
      <c r="P272" s="6">
        <v>0.11159833333333335</v>
      </c>
      <c r="Q272" s="2"/>
      <c r="R272" s="5">
        <v>43605.504245897682</v>
      </c>
      <c r="S272" s="4">
        <v>43607</v>
      </c>
      <c r="T272" s="4">
        <v>43629</v>
      </c>
      <c r="U272" s="1" t="s">
        <v>1956</v>
      </c>
      <c r="V272" s="5">
        <v>43615.416619106865</v>
      </c>
      <c r="W272" s="1" t="s">
        <v>521</v>
      </c>
      <c r="X272" s="6">
        <v>10660.82</v>
      </c>
      <c r="Y272" s="1"/>
      <c r="Z272" s="4">
        <v>43646</v>
      </c>
      <c r="AA272" s="5">
        <v>43830</v>
      </c>
      <c r="AB272" s="1" t="s">
        <v>1971</v>
      </c>
      <c r="AC272" s="1"/>
      <c r="AD272" s="1" t="s">
        <v>1168</v>
      </c>
    </row>
    <row r="273" spans="1:30" hidden="1" x14ac:dyDescent="0.25">
      <c r="A273" s="1" t="s">
        <v>1559</v>
      </c>
      <c r="B273" s="1" t="s">
        <v>788</v>
      </c>
      <c r="C273" s="1" t="s">
        <v>1157</v>
      </c>
      <c r="D273" s="4">
        <v>43593</v>
      </c>
      <c r="E273" s="6">
        <v>18638</v>
      </c>
      <c r="F273" s="6"/>
      <c r="G273" s="6">
        <v>18638</v>
      </c>
      <c r="H273" s="1"/>
      <c r="I273" s="1"/>
      <c r="J273" s="1"/>
      <c r="K273" s="1" t="s">
        <v>1350</v>
      </c>
      <c r="L273" s="1" t="s">
        <v>491</v>
      </c>
      <c r="M273" s="1"/>
      <c r="N273" s="1" t="s">
        <v>332</v>
      </c>
      <c r="O273" s="1"/>
      <c r="P273" s="1"/>
      <c r="Q273" s="2"/>
      <c r="R273" s="1"/>
      <c r="S273" s="1"/>
      <c r="T273" s="1"/>
      <c r="U273" s="1" t="s">
        <v>1956</v>
      </c>
      <c r="V273" s="5">
        <v>43593.587851652141</v>
      </c>
      <c r="W273" s="1" t="s">
        <v>1952</v>
      </c>
      <c r="X273" s="6">
        <v>18638</v>
      </c>
      <c r="Y273" s="1"/>
      <c r="Z273" s="4">
        <v>43830</v>
      </c>
      <c r="AA273" s="5">
        <v>43830</v>
      </c>
      <c r="AB273" s="1" t="s">
        <v>1971</v>
      </c>
      <c r="AC273" s="1"/>
      <c r="AD273" s="1"/>
    </row>
    <row r="274" spans="1:30" hidden="1" x14ac:dyDescent="0.25">
      <c r="A274" s="1" t="s">
        <v>1544</v>
      </c>
      <c r="B274" s="1" t="s">
        <v>793</v>
      </c>
      <c r="C274" s="1" t="s">
        <v>1157</v>
      </c>
      <c r="D274" s="4">
        <v>43591</v>
      </c>
      <c r="E274" s="6">
        <v>574000</v>
      </c>
      <c r="F274" s="6"/>
      <c r="G274" s="6">
        <v>574000</v>
      </c>
      <c r="H274" s="1"/>
      <c r="I274" s="1"/>
      <c r="J274" s="1"/>
      <c r="K274" s="1" t="s">
        <v>1267</v>
      </c>
      <c r="L274" s="1" t="s">
        <v>443</v>
      </c>
      <c r="M274" s="1"/>
      <c r="N274" s="1" t="s">
        <v>301</v>
      </c>
      <c r="O274" s="1"/>
      <c r="P274" s="1"/>
      <c r="Q274" s="2"/>
      <c r="R274" s="1"/>
      <c r="S274" s="1"/>
      <c r="T274" s="1"/>
      <c r="U274" s="1" t="s">
        <v>1956</v>
      </c>
      <c r="V274" s="5">
        <v>43591.749195856166</v>
      </c>
      <c r="W274" s="1" t="s">
        <v>1952</v>
      </c>
      <c r="X274" s="6">
        <v>574000</v>
      </c>
      <c r="Y274" s="1"/>
      <c r="Z274" s="4">
        <v>43830</v>
      </c>
      <c r="AA274" s="5">
        <v>43830</v>
      </c>
      <c r="AB274" s="1" t="s">
        <v>1971</v>
      </c>
      <c r="AC274" s="1"/>
      <c r="AD274" s="1"/>
    </row>
    <row r="275" spans="1:30" x14ac:dyDescent="0.25">
      <c r="A275" s="1" t="s">
        <v>1039</v>
      </c>
      <c r="B275" s="1" t="s">
        <v>235</v>
      </c>
      <c r="C275" s="1" t="s">
        <v>1081</v>
      </c>
      <c r="D275" s="4">
        <v>43591</v>
      </c>
      <c r="E275" s="6">
        <v>296200</v>
      </c>
      <c r="F275" s="6"/>
      <c r="G275" s="6"/>
      <c r="H275" s="1"/>
      <c r="I275" s="6"/>
      <c r="J275" s="6"/>
      <c r="K275" s="1"/>
      <c r="L275" s="1"/>
      <c r="M275" s="1"/>
      <c r="N275" s="1"/>
      <c r="O275" s="6"/>
      <c r="P275" s="6"/>
      <c r="Q275" s="2"/>
      <c r="R275" s="5"/>
      <c r="S275" s="4"/>
      <c r="T275" s="4"/>
      <c r="U275" s="1"/>
      <c r="V275" s="5"/>
      <c r="W275" s="1"/>
      <c r="X275" s="6"/>
      <c r="Y275" s="1"/>
      <c r="Z275" s="4"/>
      <c r="AA275" s="5"/>
      <c r="AB275" s="1"/>
      <c r="AC275" s="1"/>
      <c r="AD275" s="1"/>
    </row>
    <row r="276" spans="1:30" hidden="1" x14ac:dyDescent="0.25">
      <c r="A276" s="1" t="s">
        <v>1978</v>
      </c>
      <c r="B276" s="1" t="s">
        <v>375</v>
      </c>
      <c r="C276" s="1" t="s">
        <v>1147</v>
      </c>
      <c r="D276" s="4">
        <v>43588</v>
      </c>
      <c r="E276" s="6">
        <v>99745.12</v>
      </c>
      <c r="F276" s="6"/>
      <c r="G276" s="6">
        <v>3439.4868965517239</v>
      </c>
      <c r="H276" s="1" t="s">
        <v>1842</v>
      </c>
      <c r="I276" s="6">
        <v>1.0000000009313226E-2</v>
      </c>
      <c r="J276" s="6">
        <v>1.0025552134037246E-7</v>
      </c>
      <c r="K276" s="1" t="s">
        <v>1842</v>
      </c>
      <c r="L276" s="1" t="s">
        <v>467</v>
      </c>
      <c r="M276" s="1" t="s">
        <v>883</v>
      </c>
      <c r="N276" s="1" t="s">
        <v>136</v>
      </c>
      <c r="O276" s="6">
        <v>1.0000000009313226E-2</v>
      </c>
      <c r="P276" s="6">
        <v>1.0025552134037246E-7</v>
      </c>
      <c r="Q276" s="2"/>
      <c r="R276" s="5">
        <v>43598.502875451726</v>
      </c>
      <c r="S276" s="4">
        <v>43600</v>
      </c>
      <c r="T276" s="4">
        <v>43623</v>
      </c>
      <c r="U276" s="1" t="s">
        <v>1956</v>
      </c>
      <c r="V276" s="5">
        <v>43601.675852126318</v>
      </c>
      <c r="W276" s="1" t="s">
        <v>1952</v>
      </c>
      <c r="X276" s="6">
        <v>99745.12</v>
      </c>
      <c r="Y276" s="1"/>
      <c r="Z276" s="4">
        <v>43615</v>
      </c>
      <c r="AA276" s="5">
        <v>43830</v>
      </c>
      <c r="AB276" s="1" t="s">
        <v>1971</v>
      </c>
      <c r="AC276" s="1"/>
      <c r="AD276" s="1" t="s">
        <v>1168</v>
      </c>
    </row>
    <row r="277" spans="1:30" x14ac:dyDescent="0.25">
      <c r="A277" s="1" t="s">
        <v>1140</v>
      </c>
      <c r="B277" s="1" t="s">
        <v>735</v>
      </c>
      <c r="C277" s="1" t="s">
        <v>1081</v>
      </c>
      <c r="D277" s="4">
        <v>43580</v>
      </c>
      <c r="E277" s="6">
        <v>722800</v>
      </c>
      <c r="F277" s="6"/>
      <c r="G277" s="6"/>
      <c r="H277" s="1"/>
      <c r="I277" s="6"/>
      <c r="J277" s="6"/>
      <c r="K277" s="1"/>
      <c r="L277" s="1"/>
      <c r="M277" s="1"/>
      <c r="N277" s="1"/>
      <c r="O277" s="6"/>
      <c r="P277" s="6"/>
      <c r="Q277" s="2"/>
      <c r="R277" s="5"/>
      <c r="S277" s="4"/>
      <c r="T277" s="4"/>
      <c r="U277" s="1"/>
      <c r="V277" s="5"/>
      <c r="W277" s="1"/>
      <c r="X277" s="6"/>
      <c r="Y277" s="1"/>
      <c r="Z277" s="4"/>
      <c r="AA277" s="5"/>
      <c r="AB277" s="1"/>
      <c r="AC277" s="1"/>
      <c r="AD277" s="1"/>
    </row>
    <row r="278" spans="1:30" hidden="1" x14ac:dyDescent="0.25">
      <c r="A278" s="1" t="s">
        <v>1503</v>
      </c>
      <c r="B278" s="1" t="s">
        <v>747</v>
      </c>
      <c r="C278" s="1" t="s">
        <v>1147</v>
      </c>
      <c r="D278" s="4">
        <v>43572</v>
      </c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2"/>
      <c r="R278" s="1"/>
      <c r="S278" s="1"/>
      <c r="T278" s="1"/>
      <c r="U278" s="1" t="s">
        <v>1957</v>
      </c>
      <c r="V278" s="5">
        <v>43579.500350074894</v>
      </c>
      <c r="W278" s="1"/>
      <c r="X278" s="1"/>
      <c r="Y278" s="1"/>
      <c r="Z278" s="4">
        <v>43615</v>
      </c>
      <c r="AA278" s="1"/>
      <c r="AB278" s="1"/>
      <c r="AC278" s="1"/>
      <c r="AD278" s="1"/>
    </row>
    <row r="279" spans="1:30" x14ac:dyDescent="0.25">
      <c r="A279" s="1" t="s">
        <v>1237</v>
      </c>
      <c r="B279" s="1" t="s">
        <v>729</v>
      </c>
      <c r="C279" s="1" t="s">
        <v>1081</v>
      </c>
      <c r="D279" s="4">
        <v>43572</v>
      </c>
      <c r="E279" s="6">
        <v>131196</v>
      </c>
      <c r="F279" s="6"/>
      <c r="G279" s="6"/>
      <c r="H279" s="1"/>
      <c r="I279" s="6"/>
      <c r="J279" s="6"/>
      <c r="K279" s="1"/>
      <c r="L279" s="1"/>
      <c r="M279" s="1"/>
      <c r="N279" s="1"/>
      <c r="O279" s="6"/>
      <c r="P279" s="6"/>
      <c r="Q279" s="2"/>
      <c r="R279" s="5"/>
      <c r="S279" s="4"/>
      <c r="T279" s="4"/>
      <c r="U279" s="1"/>
      <c r="V279" s="5"/>
      <c r="W279" s="1"/>
      <c r="X279" s="6"/>
      <c r="Y279" s="1"/>
      <c r="Z279" s="4"/>
      <c r="AA279" s="5"/>
      <c r="AB279" s="1"/>
      <c r="AC279" s="1"/>
      <c r="AD279" s="1"/>
    </row>
    <row r="280" spans="1:30" hidden="1" x14ac:dyDescent="0.25">
      <c r="A280" s="1" t="s">
        <v>1398</v>
      </c>
      <c r="B280" s="1" t="s">
        <v>767</v>
      </c>
      <c r="C280" s="1" t="s">
        <v>1147</v>
      </c>
      <c r="D280" s="4">
        <v>43571</v>
      </c>
      <c r="E280" s="6">
        <v>49990</v>
      </c>
      <c r="F280" s="6"/>
      <c r="G280" s="6">
        <v>2777.2222222222222</v>
      </c>
      <c r="H280" s="1" t="s">
        <v>1133</v>
      </c>
      <c r="I280" s="1"/>
      <c r="J280" s="1"/>
      <c r="K280" s="1" t="s">
        <v>1133</v>
      </c>
      <c r="L280" s="1" t="s">
        <v>588</v>
      </c>
      <c r="M280" s="1" t="s">
        <v>960</v>
      </c>
      <c r="N280" s="1" t="s">
        <v>113</v>
      </c>
      <c r="O280" s="1"/>
      <c r="P280" s="1"/>
      <c r="Q280" s="2"/>
      <c r="R280" s="5">
        <v>43578.663042316402</v>
      </c>
      <c r="S280" s="4">
        <v>43580</v>
      </c>
      <c r="T280" s="4">
        <v>43604</v>
      </c>
      <c r="U280" s="1" t="s">
        <v>1956</v>
      </c>
      <c r="V280" s="5">
        <v>43581.391413027086</v>
      </c>
      <c r="W280" s="1" t="s">
        <v>1952</v>
      </c>
      <c r="X280" s="6">
        <v>49990</v>
      </c>
      <c r="Y280" s="1"/>
      <c r="Z280" s="4">
        <v>43830</v>
      </c>
      <c r="AA280" s="5">
        <v>43830</v>
      </c>
      <c r="AB280" s="1" t="s">
        <v>1971</v>
      </c>
      <c r="AC280" s="1"/>
      <c r="AD280" s="1" t="s">
        <v>1168</v>
      </c>
    </row>
    <row r="281" spans="1:30" hidden="1" x14ac:dyDescent="0.25">
      <c r="A281" s="1" t="s">
        <v>1485</v>
      </c>
      <c r="B281" s="1" t="s">
        <v>775</v>
      </c>
      <c r="C281" s="1" t="s">
        <v>1147</v>
      </c>
      <c r="D281" s="4">
        <v>43570</v>
      </c>
      <c r="E281" s="6">
        <v>98556.79</v>
      </c>
      <c r="F281" s="6"/>
      <c r="G281" s="6">
        <v>98556.79</v>
      </c>
      <c r="H281" s="1" t="s">
        <v>1662</v>
      </c>
      <c r="I281" s="6">
        <v>0.21000000000640284</v>
      </c>
      <c r="J281" s="6">
        <v>2.1307466745781918E-6</v>
      </c>
      <c r="K281" s="1" t="s">
        <v>1662</v>
      </c>
      <c r="L281" s="1" t="s">
        <v>626</v>
      </c>
      <c r="M281" s="1" t="s">
        <v>962</v>
      </c>
      <c r="N281" s="1" t="s">
        <v>28</v>
      </c>
      <c r="O281" s="6">
        <v>0.21000000000640284</v>
      </c>
      <c r="P281" s="6">
        <v>2.1307466745781918E-6</v>
      </c>
      <c r="Q281" s="2"/>
      <c r="R281" s="5">
        <v>43579.662091414757</v>
      </c>
      <c r="S281" s="4">
        <v>43581</v>
      </c>
      <c r="T281" s="4">
        <v>43604</v>
      </c>
      <c r="U281" s="1" t="s">
        <v>1956</v>
      </c>
      <c r="V281" s="5">
        <v>43588.381520031922</v>
      </c>
      <c r="W281" s="1" t="s">
        <v>421</v>
      </c>
      <c r="X281" s="6">
        <v>98556.79</v>
      </c>
      <c r="Y281" s="1"/>
      <c r="Z281" s="4">
        <v>43830</v>
      </c>
      <c r="AA281" s="5">
        <v>43830</v>
      </c>
      <c r="AB281" s="1" t="s">
        <v>1971</v>
      </c>
      <c r="AC281" s="1"/>
      <c r="AD281" s="1" t="s">
        <v>1168</v>
      </c>
    </row>
    <row r="282" spans="1:30" x14ac:dyDescent="0.25">
      <c r="A282" s="1" t="s">
        <v>1586</v>
      </c>
      <c r="B282" s="1" t="s">
        <v>235</v>
      </c>
      <c r="C282" s="1" t="s">
        <v>1081</v>
      </c>
      <c r="D282" s="4">
        <v>43570</v>
      </c>
      <c r="E282" s="6">
        <v>106276</v>
      </c>
      <c r="F282" s="6"/>
      <c r="G282" s="6"/>
      <c r="H282" s="1"/>
      <c r="I282" s="6"/>
      <c r="J282" s="6"/>
      <c r="K282" s="1"/>
      <c r="L282" s="1"/>
      <c r="M282" s="1"/>
      <c r="N282" s="1"/>
      <c r="O282" s="6"/>
      <c r="P282" s="6"/>
      <c r="Q282" s="2"/>
      <c r="R282" s="5"/>
      <c r="S282" s="4"/>
      <c r="T282" s="4"/>
      <c r="U282" s="1"/>
      <c r="V282" s="5"/>
      <c r="W282" s="1"/>
      <c r="X282" s="6"/>
      <c r="Y282" s="1"/>
      <c r="Z282" s="4"/>
      <c r="AA282" s="5"/>
      <c r="AB282" s="1"/>
      <c r="AC282" s="1"/>
      <c r="AD282" s="1"/>
    </row>
    <row r="283" spans="1:30" x14ac:dyDescent="0.25">
      <c r="A283" s="1" t="s">
        <v>1140</v>
      </c>
      <c r="B283" s="1" t="s">
        <v>735</v>
      </c>
      <c r="C283" s="1" t="s">
        <v>1081</v>
      </c>
      <c r="D283" s="4">
        <v>43570</v>
      </c>
      <c r="E283" s="6">
        <v>450000</v>
      </c>
      <c r="F283" s="6"/>
      <c r="G283" s="6"/>
      <c r="H283" s="1"/>
      <c r="I283" s="6"/>
      <c r="J283" s="6"/>
      <c r="K283" s="1"/>
      <c r="L283" s="1"/>
      <c r="M283" s="1"/>
      <c r="N283" s="1"/>
      <c r="O283" s="6"/>
      <c r="P283" s="6"/>
      <c r="Q283" s="2"/>
      <c r="R283" s="5"/>
      <c r="S283" s="4"/>
      <c r="T283" s="4"/>
      <c r="U283" s="1"/>
      <c r="V283" s="5"/>
      <c r="W283" s="1"/>
      <c r="X283" s="6"/>
      <c r="Y283" s="1"/>
      <c r="Z283" s="4"/>
      <c r="AA283" s="5"/>
      <c r="AB283" s="1"/>
      <c r="AC283" s="1"/>
      <c r="AD283" s="1"/>
    </row>
    <row r="284" spans="1:30" x14ac:dyDescent="0.25">
      <c r="A284" s="1" t="s">
        <v>1586</v>
      </c>
      <c r="B284" s="1" t="s">
        <v>235</v>
      </c>
      <c r="C284" s="1" t="s">
        <v>1081</v>
      </c>
      <c r="D284" s="4">
        <v>43567</v>
      </c>
      <c r="E284" s="6">
        <v>628241.69999999995</v>
      </c>
      <c r="F284" s="6"/>
      <c r="G284" s="6"/>
      <c r="H284" s="1"/>
      <c r="I284" s="6"/>
      <c r="J284" s="6"/>
      <c r="K284" s="1"/>
      <c r="L284" s="1"/>
      <c r="M284" s="1"/>
      <c r="N284" s="1"/>
      <c r="O284" s="6"/>
      <c r="P284" s="6"/>
      <c r="Q284" s="2"/>
      <c r="R284" s="5"/>
      <c r="S284" s="4"/>
      <c r="T284" s="4"/>
      <c r="U284" s="1"/>
      <c r="V284" s="5"/>
      <c r="W284" s="1"/>
      <c r="X284" s="6"/>
      <c r="Y284" s="1"/>
      <c r="Z284" s="4"/>
      <c r="AA284" s="5"/>
      <c r="AB284" s="1"/>
      <c r="AC284" s="1"/>
      <c r="AD284" s="1"/>
    </row>
    <row r="285" spans="1:30" x14ac:dyDescent="0.25">
      <c r="A285" s="1" t="s">
        <v>1039</v>
      </c>
      <c r="B285" s="1" t="s">
        <v>235</v>
      </c>
      <c r="C285" s="1" t="s">
        <v>1081</v>
      </c>
      <c r="D285" s="4">
        <v>43567</v>
      </c>
      <c r="E285" s="6">
        <v>335990</v>
      </c>
      <c r="F285" s="6"/>
      <c r="G285" s="6"/>
      <c r="H285" s="1"/>
      <c r="I285" s="6"/>
      <c r="J285" s="6"/>
      <c r="K285" s="1"/>
      <c r="L285" s="1"/>
      <c r="M285" s="1"/>
      <c r="N285" s="1"/>
      <c r="O285" s="6"/>
      <c r="P285" s="6"/>
      <c r="Q285" s="2"/>
      <c r="R285" s="5"/>
      <c r="S285" s="4"/>
      <c r="T285" s="4"/>
      <c r="U285" s="1"/>
      <c r="V285" s="5"/>
      <c r="W285" s="1"/>
      <c r="X285" s="6"/>
      <c r="Y285" s="1"/>
      <c r="Z285" s="4"/>
      <c r="AA285" s="5"/>
      <c r="AB285" s="1"/>
      <c r="AC285" s="1"/>
      <c r="AD285" s="1"/>
    </row>
    <row r="286" spans="1:30" x14ac:dyDescent="0.25">
      <c r="A286" s="1" t="s">
        <v>1039</v>
      </c>
      <c r="B286" s="1" t="s">
        <v>235</v>
      </c>
      <c r="C286" s="1" t="s">
        <v>1081</v>
      </c>
      <c r="D286" s="4">
        <v>43567</v>
      </c>
      <c r="E286" s="6">
        <v>559000</v>
      </c>
      <c r="F286" s="6"/>
      <c r="G286" s="6"/>
      <c r="H286" s="1"/>
      <c r="I286" s="6"/>
      <c r="J286" s="6"/>
      <c r="K286" s="1"/>
      <c r="L286" s="1"/>
      <c r="M286" s="1"/>
      <c r="N286" s="1"/>
      <c r="O286" s="6"/>
      <c r="P286" s="6"/>
      <c r="Q286" s="2"/>
      <c r="R286" s="5"/>
      <c r="S286" s="4"/>
      <c r="T286" s="4"/>
      <c r="U286" s="1"/>
      <c r="V286" s="5"/>
      <c r="W286" s="1"/>
      <c r="X286" s="6"/>
      <c r="Y286" s="1"/>
      <c r="Z286" s="4"/>
      <c r="AA286" s="5"/>
      <c r="AB286" s="1"/>
      <c r="AC286" s="1"/>
      <c r="AD286" s="1"/>
    </row>
    <row r="287" spans="1:30" hidden="1" x14ac:dyDescent="0.25">
      <c r="A287" s="1" t="s">
        <v>1140</v>
      </c>
      <c r="B287" s="1" t="s">
        <v>735</v>
      </c>
      <c r="C287" s="1" t="s">
        <v>1081</v>
      </c>
      <c r="D287" s="4">
        <v>43566</v>
      </c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2"/>
      <c r="R287" s="1"/>
      <c r="S287" s="1"/>
      <c r="T287" s="1"/>
      <c r="U287" s="1" t="s">
        <v>1972</v>
      </c>
      <c r="V287" s="5">
        <v>43580.385263773933</v>
      </c>
      <c r="W287" s="1"/>
      <c r="X287" s="1"/>
      <c r="Y287" s="1"/>
      <c r="Z287" s="4">
        <v>43631</v>
      </c>
      <c r="AA287" s="1"/>
      <c r="AB287" s="1"/>
      <c r="AC287" s="1" t="s">
        <v>1808</v>
      </c>
      <c r="AD287" s="1"/>
    </row>
    <row r="288" spans="1:30" hidden="1" x14ac:dyDescent="0.25">
      <c r="A288" s="1" t="s">
        <v>1039</v>
      </c>
      <c r="B288" s="1" t="s">
        <v>235</v>
      </c>
      <c r="C288" s="1" t="s">
        <v>1081</v>
      </c>
      <c r="D288" s="4">
        <v>43565</v>
      </c>
      <c r="E288" s="6">
        <v>296200</v>
      </c>
      <c r="F288" s="6"/>
      <c r="G288" s="6">
        <v>187.46835443037975</v>
      </c>
      <c r="H288" s="1" t="s">
        <v>1929</v>
      </c>
      <c r="I288" s="6">
        <v>1600</v>
      </c>
      <c r="J288" s="6">
        <v>5.3727333781061117E-3</v>
      </c>
      <c r="K288" s="1"/>
      <c r="L288" s="1"/>
      <c r="M288" s="1"/>
      <c r="N288" s="1"/>
      <c r="O288" s="1"/>
      <c r="P288" s="1"/>
      <c r="Q288" s="2" t="str">
        <f>HYPERLINK("https://auction.openprocurement.org/tenders/45668b7b3d0e4d2da57632eddd9255c6")</f>
        <v>https://auction.openprocurement.org/tenders/45668b7b3d0e4d2da57632eddd9255c6</v>
      </c>
      <c r="R288" s="5">
        <v>43587.580206720522</v>
      </c>
      <c r="S288" s="1"/>
      <c r="T288" s="1"/>
      <c r="U288" s="1" t="s">
        <v>1957</v>
      </c>
      <c r="V288" s="5">
        <v>43598.002101464859</v>
      </c>
      <c r="W288" s="1"/>
      <c r="X288" s="1"/>
      <c r="Y288" s="1"/>
      <c r="Z288" s="4">
        <v>43615</v>
      </c>
      <c r="AA288" s="1"/>
      <c r="AB288" s="1"/>
      <c r="AC288" s="1"/>
      <c r="AD288" s="1"/>
    </row>
    <row r="289" spans="1:30" x14ac:dyDescent="0.25">
      <c r="A289" s="1" t="s">
        <v>1005</v>
      </c>
      <c r="B289" s="1" t="s">
        <v>751</v>
      </c>
      <c r="C289" s="1" t="s">
        <v>1081</v>
      </c>
      <c r="D289" s="4">
        <v>43564</v>
      </c>
      <c r="E289" s="6">
        <v>198945</v>
      </c>
      <c r="F289" s="6"/>
      <c r="G289" s="6"/>
      <c r="H289" s="1"/>
      <c r="I289" s="6"/>
      <c r="J289" s="6"/>
      <c r="K289" s="1"/>
      <c r="L289" s="1"/>
      <c r="M289" s="1"/>
      <c r="N289" s="1"/>
      <c r="O289" s="6"/>
      <c r="P289" s="6"/>
      <c r="Q289" s="2"/>
      <c r="R289" s="5"/>
      <c r="S289" s="4"/>
      <c r="T289" s="4"/>
      <c r="U289" s="1"/>
      <c r="V289" s="5"/>
      <c r="W289" s="1"/>
      <c r="X289" s="6"/>
      <c r="Y289" s="1"/>
      <c r="Z289" s="4"/>
      <c r="AA289" s="5"/>
      <c r="AB289" s="1"/>
      <c r="AC289" s="1"/>
      <c r="AD289" s="1"/>
    </row>
    <row r="290" spans="1:30" x14ac:dyDescent="0.25">
      <c r="A290" s="1" t="s">
        <v>1004</v>
      </c>
      <c r="B290" s="1" t="s">
        <v>751</v>
      </c>
      <c r="C290" s="1" t="s">
        <v>1081</v>
      </c>
      <c r="D290" s="4">
        <v>43564</v>
      </c>
      <c r="E290" s="6">
        <v>113650</v>
      </c>
      <c r="F290" s="6"/>
      <c r="G290" s="6"/>
      <c r="H290" s="1"/>
      <c r="I290" s="6"/>
      <c r="J290" s="6"/>
      <c r="K290" s="1"/>
      <c r="L290" s="1"/>
      <c r="M290" s="1"/>
      <c r="N290" s="1"/>
      <c r="O290" s="6"/>
      <c r="P290" s="6"/>
      <c r="Q290" s="2"/>
      <c r="R290" s="5"/>
      <c r="S290" s="4"/>
      <c r="T290" s="4"/>
      <c r="U290" s="1"/>
      <c r="V290" s="5"/>
      <c r="W290" s="1"/>
      <c r="X290" s="6"/>
      <c r="Y290" s="1"/>
      <c r="Z290" s="4"/>
      <c r="AA290" s="5"/>
      <c r="AB290" s="1"/>
      <c r="AC290" s="1"/>
      <c r="AD290" s="1"/>
    </row>
    <row r="291" spans="1:30" hidden="1" x14ac:dyDescent="0.25">
      <c r="A291" s="1" t="s">
        <v>1008</v>
      </c>
      <c r="B291" s="1" t="s">
        <v>746</v>
      </c>
      <c r="C291" s="1" t="s">
        <v>1335</v>
      </c>
      <c r="D291" s="4">
        <v>43563</v>
      </c>
      <c r="E291" s="6">
        <v>25287506</v>
      </c>
      <c r="F291" s="6"/>
      <c r="G291" s="6">
        <v>25287506</v>
      </c>
      <c r="H291" s="1"/>
      <c r="I291" s="1"/>
      <c r="J291" s="1"/>
      <c r="K291" s="1" t="s">
        <v>1733</v>
      </c>
      <c r="L291" s="1" t="s">
        <v>624</v>
      </c>
      <c r="M291" s="1"/>
      <c r="N291" s="1" t="s">
        <v>267</v>
      </c>
      <c r="O291" s="1"/>
      <c r="P291" s="1"/>
      <c r="Q291" s="2"/>
      <c r="R291" s="1"/>
      <c r="S291" s="4">
        <v>43574</v>
      </c>
      <c r="T291" s="4">
        <v>43599</v>
      </c>
      <c r="U291" s="1" t="s">
        <v>1956</v>
      </c>
      <c r="V291" s="5">
        <v>43578.411829657394</v>
      </c>
      <c r="W291" s="1" t="s">
        <v>451</v>
      </c>
      <c r="X291" s="6">
        <v>25287506</v>
      </c>
      <c r="Y291" s="1"/>
      <c r="Z291" s="4">
        <v>43830</v>
      </c>
      <c r="AA291" s="5">
        <v>43830</v>
      </c>
      <c r="AB291" s="1" t="s">
        <v>1971</v>
      </c>
      <c r="AC291" s="1"/>
      <c r="AD291" s="1"/>
    </row>
    <row r="292" spans="1:30" hidden="1" x14ac:dyDescent="0.25">
      <c r="A292" s="1" t="s">
        <v>1329</v>
      </c>
      <c r="B292" s="1" t="s">
        <v>318</v>
      </c>
      <c r="C292" s="1" t="s">
        <v>1147</v>
      </c>
      <c r="D292" s="4">
        <v>43563</v>
      </c>
      <c r="E292" s="6">
        <v>127200</v>
      </c>
      <c r="F292" s="6"/>
      <c r="G292" s="6">
        <v>25.44</v>
      </c>
      <c r="H292" s="1" t="s">
        <v>1653</v>
      </c>
      <c r="I292" s="6">
        <v>10200</v>
      </c>
      <c r="J292" s="6">
        <v>7.4235807860262015E-2</v>
      </c>
      <c r="K292" s="1" t="s">
        <v>1741</v>
      </c>
      <c r="L292" s="1" t="s">
        <v>714</v>
      </c>
      <c r="M292" s="1" t="s">
        <v>859</v>
      </c>
      <c r="N292" s="1" t="s">
        <v>139</v>
      </c>
      <c r="O292" s="6">
        <v>2400</v>
      </c>
      <c r="P292" s="6">
        <v>1.7467248908296942E-2</v>
      </c>
      <c r="Q292" s="2" t="str">
        <f>HYPERLINK("https://auction.openprocurement.org/tenders/393a11408b3743e5b3aa843bdd9b54d9")</f>
        <v>https://auction.openprocurement.org/tenders/393a11408b3743e5b3aa843bdd9b54d9</v>
      </c>
      <c r="R292" s="5">
        <v>43572.724895145519</v>
      </c>
      <c r="S292" s="4">
        <v>43574</v>
      </c>
      <c r="T292" s="4">
        <v>43596</v>
      </c>
      <c r="U292" s="1" t="s">
        <v>1956</v>
      </c>
      <c r="V292" s="5">
        <v>43577.74082663811</v>
      </c>
      <c r="W292" s="1" t="s">
        <v>209</v>
      </c>
      <c r="X292" s="6">
        <v>135000</v>
      </c>
      <c r="Y292" s="1"/>
      <c r="Z292" s="4">
        <v>43595</v>
      </c>
      <c r="AA292" s="5">
        <v>43830</v>
      </c>
      <c r="AB292" s="1" t="s">
        <v>1971</v>
      </c>
      <c r="AC292" s="1"/>
      <c r="AD292" s="1" t="s">
        <v>1168</v>
      </c>
    </row>
    <row r="293" spans="1:30" hidden="1" x14ac:dyDescent="0.25">
      <c r="A293" s="1" t="s">
        <v>1107</v>
      </c>
      <c r="B293" s="1" t="s">
        <v>426</v>
      </c>
      <c r="C293" s="1" t="s">
        <v>1335</v>
      </c>
      <c r="D293" s="4">
        <v>43563</v>
      </c>
      <c r="E293" s="6">
        <v>729944.52</v>
      </c>
      <c r="F293" s="6"/>
      <c r="G293" s="6">
        <v>2433.1484</v>
      </c>
      <c r="H293" s="1"/>
      <c r="I293" s="1"/>
      <c r="J293" s="1"/>
      <c r="K293" s="1" t="s">
        <v>1731</v>
      </c>
      <c r="L293" s="1" t="s">
        <v>650</v>
      </c>
      <c r="M293" s="1"/>
      <c r="N293" s="1" t="s">
        <v>88</v>
      </c>
      <c r="O293" s="1"/>
      <c r="P293" s="1"/>
      <c r="Q293" s="2"/>
      <c r="R293" s="1"/>
      <c r="S293" s="4">
        <v>43574</v>
      </c>
      <c r="T293" s="4">
        <v>43599</v>
      </c>
      <c r="U293" s="1" t="s">
        <v>1956</v>
      </c>
      <c r="V293" s="5">
        <v>43577.427719866238</v>
      </c>
      <c r="W293" s="1" t="s">
        <v>826</v>
      </c>
      <c r="X293" s="6">
        <v>729944.52</v>
      </c>
      <c r="Y293" s="1"/>
      <c r="Z293" s="4">
        <v>43631</v>
      </c>
      <c r="AA293" s="5">
        <v>43830</v>
      </c>
      <c r="AB293" s="1" t="s">
        <v>1971</v>
      </c>
      <c r="AC293" s="1"/>
      <c r="AD293" s="1" t="s">
        <v>1168</v>
      </c>
    </row>
    <row r="294" spans="1:30" hidden="1" x14ac:dyDescent="0.25">
      <c r="A294" s="1" t="s">
        <v>1479</v>
      </c>
      <c r="B294" s="1" t="s">
        <v>823</v>
      </c>
      <c r="C294" s="1" t="s">
        <v>1147</v>
      </c>
      <c r="D294" s="4">
        <v>43563</v>
      </c>
      <c r="E294" s="6">
        <v>98500</v>
      </c>
      <c r="F294" s="6"/>
      <c r="G294" s="6">
        <v>98500</v>
      </c>
      <c r="H294" s="1" t="s">
        <v>1873</v>
      </c>
      <c r="I294" s="6">
        <v>1500</v>
      </c>
      <c r="J294" s="6">
        <v>1.4999999999999999E-2</v>
      </c>
      <c r="K294" s="1" t="s">
        <v>1873</v>
      </c>
      <c r="L294" s="1" t="s">
        <v>621</v>
      </c>
      <c r="M294" s="1" t="s">
        <v>971</v>
      </c>
      <c r="N294" s="1" t="s">
        <v>105</v>
      </c>
      <c r="O294" s="6">
        <v>1500</v>
      </c>
      <c r="P294" s="6">
        <v>1.4999999999999999E-2</v>
      </c>
      <c r="Q294" s="2" t="str">
        <f>HYPERLINK("https://auction.openprocurement.org/tenders/8ab854bc638b42378e0564be0682c759")</f>
        <v>https://auction.openprocurement.org/tenders/8ab854bc638b42378e0564be0682c759</v>
      </c>
      <c r="R294" s="5">
        <v>43572.690725069733</v>
      </c>
      <c r="S294" s="4">
        <v>43574</v>
      </c>
      <c r="T294" s="4">
        <v>43596</v>
      </c>
      <c r="U294" s="1" t="s">
        <v>1956</v>
      </c>
      <c r="V294" s="5">
        <v>43578.387551216612</v>
      </c>
      <c r="W294" s="1" t="s">
        <v>1952</v>
      </c>
      <c r="X294" s="6">
        <v>98500</v>
      </c>
      <c r="Y294" s="1"/>
      <c r="Z294" s="4">
        <v>43921</v>
      </c>
      <c r="AA294" s="5">
        <v>43830</v>
      </c>
      <c r="AB294" s="1" t="s">
        <v>1971</v>
      </c>
      <c r="AC294" s="1"/>
      <c r="AD294" s="1" t="s">
        <v>1168</v>
      </c>
    </row>
    <row r="295" spans="1:30" hidden="1" x14ac:dyDescent="0.25">
      <c r="A295" s="1" t="s">
        <v>1187</v>
      </c>
      <c r="B295" s="1" t="s">
        <v>548</v>
      </c>
      <c r="C295" s="1" t="s">
        <v>1147</v>
      </c>
      <c r="D295" s="4">
        <v>43558</v>
      </c>
      <c r="E295" s="6">
        <v>12426</v>
      </c>
      <c r="F295" s="6"/>
      <c r="G295" s="6">
        <v>310.64999999999998</v>
      </c>
      <c r="H295" s="1" t="s">
        <v>1775</v>
      </c>
      <c r="I295" s="6">
        <v>11042</v>
      </c>
      <c r="J295" s="6">
        <v>0.47051303903187319</v>
      </c>
      <c r="K295" s="1" t="s">
        <v>1859</v>
      </c>
      <c r="L295" s="1" t="s">
        <v>466</v>
      </c>
      <c r="M295" s="1" t="s">
        <v>873</v>
      </c>
      <c r="N295" s="1" t="s">
        <v>147</v>
      </c>
      <c r="O295" s="1"/>
      <c r="P295" s="1"/>
      <c r="Q295" s="2" t="str">
        <f>HYPERLINK("https://auction.openprocurement.org/tenders/7b8dc97875c548cd93e8a9130f8a75c2")</f>
        <v>https://auction.openprocurement.org/tenders/7b8dc97875c548cd93e8a9130f8a75c2</v>
      </c>
      <c r="R295" s="5">
        <v>43570.643658894638</v>
      </c>
      <c r="S295" s="4">
        <v>43572</v>
      </c>
      <c r="T295" s="4">
        <v>43593</v>
      </c>
      <c r="U295" s="1" t="s">
        <v>1956</v>
      </c>
      <c r="V295" s="5">
        <v>43573.740360238553</v>
      </c>
      <c r="W295" s="1" t="s">
        <v>1952</v>
      </c>
      <c r="X295" s="6">
        <v>23468</v>
      </c>
      <c r="Y295" s="1"/>
      <c r="Z295" s="4">
        <v>43585</v>
      </c>
      <c r="AA295" s="5">
        <v>43830</v>
      </c>
      <c r="AB295" s="1" t="s">
        <v>1971</v>
      </c>
      <c r="AC295" s="1"/>
      <c r="AD295" s="1" t="s">
        <v>1168</v>
      </c>
    </row>
    <row r="296" spans="1:30" hidden="1" x14ac:dyDescent="0.25">
      <c r="A296" s="1" t="s">
        <v>1187</v>
      </c>
      <c r="B296" s="1" t="s">
        <v>737</v>
      </c>
      <c r="C296" s="1" t="s">
        <v>1147</v>
      </c>
      <c r="D296" s="4">
        <v>43558</v>
      </c>
      <c r="E296" s="6">
        <v>26495.1</v>
      </c>
      <c r="F296" s="6"/>
      <c r="G296" s="6">
        <v>210.27857142857141</v>
      </c>
      <c r="H296" s="1" t="s">
        <v>1828</v>
      </c>
      <c r="I296" s="6">
        <v>7217.9000000000015</v>
      </c>
      <c r="J296" s="6">
        <v>0.21409841900750456</v>
      </c>
      <c r="K296" s="1" t="s">
        <v>1859</v>
      </c>
      <c r="L296" s="1" t="s">
        <v>466</v>
      </c>
      <c r="M296" s="1" t="s">
        <v>873</v>
      </c>
      <c r="N296" s="1" t="s">
        <v>147</v>
      </c>
      <c r="O296" s="1"/>
      <c r="P296" s="1"/>
      <c r="Q296" s="2" t="str">
        <f>HYPERLINK("https://auction.openprocurement.org/tenders/9fc0602938ab4d05a1e07b4abd1824c2")</f>
        <v>https://auction.openprocurement.org/tenders/9fc0602938ab4d05a1e07b4abd1824c2</v>
      </c>
      <c r="R296" s="5">
        <v>43567.655866493209</v>
      </c>
      <c r="S296" s="4">
        <v>43571</v>
      </c>
      <c r="T296" s="4">
        <v>43593</v>
      </c>
      <c r="U296" s="1" t="s">
        <v>1956</v>
      </c>
      <c r="V296" s="5">
        <v>43573.815178894933</v>
      </c>
      <c r="W296" s="1" t="s">
        <v>1952</v>
      </c>
      <c r="X296" s="6">
        <v>33713</v>
      </c>
      <c r="Y296" s="1"/>
      <c r="Z296" s="4">
        <v>43585</v>
      </c>
      <c r="AA296" s="5">
        <v>43830</v>
      </c>
      <c r="AB296" s="1" t="s">
        <v>1971</v>
      </c>
      <c r="AC296" s="1"/>
      <c r="AD296" s="1" t="s">
        <v>1168</v>
      </c>
    </row>
    <row r="297" spans="1:30" hidden="1" x14ac:dyDescent="0.25">
      <c r="A297" s="1" t="s">
        <v>1476</v>
      </c>
      <c r="B297" s="1" t="s">
        <v>789</v>
      </c>
      <c r="C297" s="1" t="s">
        <v>1147</v>
      </c>
      <c r="D297" s="4">
        <v>43556</v>
      </c>
      <c r="E297" s="6">
        <v>18500</v>
      </c>
      <c r="F297" s="6"/>
      <c r="G297" s="6">
        <v>18500</v>
      </c>
      <c r="H297" s="1" t="s">
        <v>1710</v>
      </c>
      <c r="I297" s="6">
        <v>6500</v>
      </c>
      <c r="J297" s="6">
        <v>0.26</v>
      </c>
      <c r="K297" s="1" t="s">
        <v>1734</v>
      </c>
      <c r="L297" s="1" t="s">
        <v>620</v>
      </c>
      <c r="M297" s="1" t="s">
        <v>879</v>
      </c>
      <c r="N297" s="1" t="s">
        <v>143</v>
      </c>
      <c r="O297" s="6">
        <v>6000</v>
      </c>
      <c r="P297" s="6">
        <v>0.24</v>
      </c>
      <c r="Q297" s="2" t="str">
        <f>HYPERLINK("https://auction.openprocurement.org/tenders/a4171942569a4f05b5b7ded3feaf7bd3")</f>
        <v>https://auction.openprocurement.org/tenders/a4171942569a4f05b5b7ded3feaf7bd3</v>
      </c>
      <c r="R297" s="5">
        <v>43567.590019398718</v>
      </c>
      <c r="S297" s="4">
        <v>43571</v>
      </c>
      <c r="T297" s="4">
        <v>43588</v>
      </c>
      <c r="U297" s="1" t="s">
        <v>1956</v>
      </c>
      <c r="V297" s="5">
        <v>43572.392389317836</v>
      </c>
      <c r="W297" s="1" t="s">
        <v>1952</v>
      </c>
      <c r="X297" s="6">
        <v>19000</v>
      </c>
      <c r="Y297" s="1"/>
      <c r="Z297" s="4">
        <v>43598</v>
      </c>
      <c r="AA297" s="5">
        <v>43830</v>
      </c>
      <c r="AB297" s="1" t="s">
        <v>1971</v>
      </c>
      <c r="AC297" s="1"/>
      <c r="AD297" s="1" t="s">
        <v>1168</v>
      </c>
    </row>
    <row r="298" spans="1:30" hidden="1" x14ac:dyDescent="0.25">
      <c r="A298" s="1" t="s">
        <v>1382</v>
      </c>
      <c r="B298" s="1" t="s">
        <v>798</v>
      </c>
      <c r="C298" s="1" t="s">
        <v>1157</v>
      </c>
      <c r="D298" s="4">
        <v>43545</v>
      </c>
      <c r="E298" s="6">
        <v>2729.1</v>
      </c>
      <c r="F298" s="6"/>
      <c r="G298" s="6">
        <v>2729.1</v>
      </c>
      <c r="H298" s="1"/>
      <c r="I298" s="1"/>
      <c r="J298" s="1"/>
      <c r="K298" s="1" t="s">
        <v>1593</v>
      </c>
      <c r="L298" s="1" t="s">
        <v>544</v>
      </c>
      <c r="M298" s="1"/>
      <c r="N298" s="1" t="s">
        <v>294</v>
      </c>
      <c r="O298" s="1"/>
      <c r="P298" s="1"/>
      <c r="Q298" s="2"/>
      <c r="R298" s="1"/>
      <c r="S298" s="1"/>
      <c r="T298" s="1"/>
      <c r="U298" s="1" t="s">
        <v>1956</v>
      </c>
      <c r="V298" s="5">
        <v>43545.44954089223</v>
      </c>
      <c r="W298" s="1" t="s">
        <v>1952</v>
      </c>
      <c r="X298" s="6">
        <v>2729.1</v>
      </c>
      <c r="Y298" s="4">
        <v>43525</v>
      </c>
      <c r="Z298" s="4">
        <v>43830</v>
      </c>
      <c r="AA298" s="5">
        <v>43830</v>
      </c>
      <c r="AB298" s="1" t="s">
        <v>1971</v>
      </c>
      <c r="AC298" s="1"/>
      <c r="AD298" s="1" t="s">
        <v>1168</v>
      </c>
    </row>
    <row r="299" spans="1:30" hidden="1" x14ac:dyDescent="0.25">
      <c r="A299" s="1" t="s">
        <v>1598</v>
      </c>
      <c r="B299" s="1" t="s">
        <v>548</v>
      </c>
      <c r="C299" s="1" t="s">
        <v>1147</v>
      </c>
      <c r="D299" s="4">
        <v>43544</v>
      </c>
      <c r="E299" s="6">
        <v>54000</v>
      </c>
      <c r="F299" s="6"/>
      <c r="G299" s="6">
        <v>18000</v>
      </c>
      <c r="H299" s="1" t="s">
        <v>1872</v>
      </c>
      <c r="I299" s="6">
        <v>1200</v>
      </c>
      <c r="J299" s="6">
        <v>2.1739130434782608E-2</v>
      </c>
      <c r="K299" s="1" t="s">
        <v>1872</v>
      </c>
      <c r="L299" s="1" t="s">
        <v>564</v>
      </c>
      <c r="M299" s="1" t="s">
        <v>897</v>
      </c>
      <c r="N299" s="1" t="s">
        <v>180</v>
      </c>
      <c r="O299" s="6">
        <v>1200</v>
      </c>
      <c r="P299" s="6">
        <v>2.1739130434782608E-2</v>
      </c>
      <c r="Q299" s="2"/>
      <c r="R299" s="5">
        <v>43552.463257814619</v>
      </c>
      <c r="S299" s="4">
        <v>43556</v>
      </c>
      <c r="T299" s="4">
        <v>43579</v>
      </c>
      <c r="U299" s="1" t="s">
        <v>1956</v>
      </c>
      <c r="V299" s="5">
        <v>43558.446583287543</v>
      </c>
      <c r="W299" s="1" t="s">
        <v>1952</v>
      </c>
      <c r="X299" s="6">
        <v>54000</v>
      </c>
      <c r="Y299" s="1"/>
      <c r="Z299" s="4">
        <v>43577</v>
      </c>
      <c r="AA299" s="5">
        <v>43830</v>
      </c>
      <c r="AB299" s="1" t="s">
        <v>1971</v>
      </c>
      <c r="AC299" s="1"/>
      <c r="AD299" s="1" t="s">
        <v>1168</v>
      </c>
    </row>
    <row r="300" spans="1:30" hidden="1" x14ac:dyDescent="0.25">
      <c r="A300" s="1" t="s">
        <v>1431</v>
      </c>
      <c r="B300" s="1" t="s">
        <v>795</v>
      </c>
      <c r="C300" s="1" t="s">
        <v>1157</v>
      </c>
      <c r="D300" s="4">
        <v>43543</v>
      </c>
      <c r="E300" s="6">
        <v>3210</v>
      </c>
      <c r="F300" s="6"/>
      <c r="G300" s="6">
        <v>3210</v>
      </c>
      <c r="H300" s="1"/>
      <c r="I300" s="1"/>
      <c r="J300" s="1"/>
      <c r="K300" s="1" t="s">
        <v>1727</v>
      </c>
      <c r="L300" s="1" t="s">
        <v>630</v>
      </c>
      <c r="M300" s="1"/>
      <c r="N300" s="1" t="s">
        <v>288</v>
      </c>
      <c r="O300" s="1"/>
      <c r="P300" s="1"/>
      <c r="Q300" s="2"/>
      <c r="R300" s="1"/>
      <c r="S300" s="1"/>
      <c r="T300" s="1"/>
      <c r="U300" s="1" t="s">
        <v>1956</v>
      </c>
      <c r="V300" s="5">
        <v>43543.69590580104</v>
      </c>
      <c r="W300" s="1" t="s">
        <v>828</v>
      </c>
      <c r="X300" s="6">
        <v>3210</v>
      </c>
      <c r="Y300" s="1"/>
      <c r="Z300" s="4">
        <v>43830</v>
      </c>
      <c r="AA300" s="5">
        <v>43830</v>
      </c>
      <c r="AB300" s="1" t="s">
        <v>1971</v>
      </c>
      <c r="AC300" s="1"/>
      <c r="AD300" s="1" t="s">
        <v>1168</v>
      </c>
    </row>
    <row r="301" spans="1:30" hidden="1" x14ac:dyDescent="0.25">
      <c r="A301" s="1" t="s">
        <v>1107</v>
      </c>
      <c r="B301" s="1" t="s">
        <v>426</v>
      </c>
      <c r="C301" s="1" t="s">
        <v>1081</v>
      </c>
      <c r="D301" s="4">
        <v>43542</v>
      </c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2"/>
      <c r="R301" s="1"/>
      <c r="S301" s="1"/>
      <c r="T301" s="1"/>
      <c r="U301" s="1" t="s">
        <v>1957</v>
      </c>
      <c r="V301" s="5">
        <v>43557.601983730288</v>
      </c>
      <c r="W301" s="1"/>
      <c r="X301" s="1"/>
      <c r="Y301" s="1"/>
      <c r="Z301" s="4">
        <v>43631</v>
      </c>
      <c r="AA301" s="1"/>
      <c r="AB301" s="1"/>
      <c r="AC301" s="1"/>
      <c r="AD301" s="1"/>
    </row>
    <row r="302" spans="1:30" x14ac:dyDescent="0.25">
      <c r="A302" s="1" t="s">
        <v>1443</v>
      </c>
      <c r="B302" s="1" t="s">
        <v>834</v>
      </c>
      <c r="C302" s="1" t="s">
        <v>1081</v>
      </c>
      <c r="D302" s="4">
        <v>43539</v>
      </c>
      <c r="E302" s="6">
        <v>315732</v>
      </c>
      <c r="F302" s="6"/>
      <c r="G302" s="6"/>
      <c r="H302" s="1"/>
      <c r="I302" s="6"/>
      <c r="J302" s="6"/>
      <c r="K302" s="1"/>
      <c r="L302" s="1"/>
      <c r="M302" s="1"/>
      <c r="N302" s="1"/>
      <c r="O302" s="6"/>
      <c r="P302" s="6"/>
      <c r="Q302" s="2"/>
      <c r="R302" s="5"/>
      <c r="S302" s="4"/>
      <c r="T302" s="4"/>
      <c r="U302" s="1"/>
      <c r="V302" s="5"/>
      <c r="W302" s="1"/>
      <c r="X302" s="6"/>
      <c r="Y302" s="1"/>
      <c r="Z302" s="4"/>
      <c r="AA302" s="5"/>
      <c r="AB302" s="1"/>
      <c r="AC302" s="1"/>
      <c r="AD302" s="1"/>
    </row>
    <row r="303" spans="1:30" hidden="1" x14ac:dyDescent="0.25">
      <c r="A303" s="1" t="s">
        <v>1207</v>
      </c>
      <c r="B303" s="1" t="s">
        <v>565</v>
      </c>
      <c r="C303" s="1" t="s">
        <v>1147</v>
      </c>
      <c r="D303" s="4">
        <v>43539</v>
      </c>
      <c r="E303" s="6">
        <v>100999</v>
      </c>
      <c r="F303" s="6"/>
      <c r="G303" s="6">
        <v>100999</v>
      </c>
      <c r="H303" s="1" t="s">
        <v>1902</v>
      </c>
      <c r="I303" s="6">
        <v>69001</v>
      </c>
      <c r="J303" s="6">
        <v>0.40588823529411766</v>
      </c>
      <c r="K303" s="1" t="s">
        <v>1633</v>
      </c>
      <c r="L303" s="1" t="s">
        <v>628</v>
      </c>
      <c r="M303" s="1" t="s">
        <v>866</v>
      </c>
      <c r="N303" s="1" t="s">
        <v>179</v>
      </c>
      <c r="O303" s="6">
        <v>2561</v>
      </c>
      <c r="P303" s="6">
        <v>1.5064705882352942E-2</v>
      </c>
      <c r="Q303" s="2" t="str">
        <f>HYPERLINK("https://auction.openprocurement.org/tenders/e07ebf60fcf848bd99b4f5c132504069")</f>
        <v>https://auction.openprocurement.org/tenders/e07ebf60fcf848bd99b4f5c132504069</v>
      </c>
      <c r="R303" s="5">
        <v>43552.721599924793</v>
      </c>
      <c r="S303" s="4">
        <v>43556</v>
      </c>
      <c r="T303" s="4">
        <v>43574</v>
      </c>
      <c r="U303" s="1" t="s">
        <v>1956</v>
      </c>
      <c r="V303" s="5">
        <v>43558.448262345577</v>
      </c>
      <c r="W303" s="1" t="s">
        <v>204</v>
      </c>
      <c r="X303" s="6">
        <v>167439</v>
      </c>
      <c r="Y303" s="1"/>
      <c r="Z303" s="4">
        <v>43583</v>
      </c>
      <c r="AA303" s="5">
        <v>43830</v>
      </c>
      <c r="AB303" s="1" t="s">
        <v>1971</v>
      </c>
      <c r="AC303" s="1"/>
      <c r="AD303" s="1" t="s">
        <v>1168</v>
      </c>
    </row>
    <row r="304" spans="1:30" x14ac:dyDescent="0.25">
      <c r="A304" s="1" t="s">
        <v>1420</v>
      </c>
      <c r="B304" s="1" t="s">
        <v>817</v>
      </c>
      <c r="C304" s="1" t="s">
        <v>1081</v>
      </c>
      <c r="D304" s="4">
        <v>43537</v>
      </c>
      <c r="E304" s="6">
        <v>1759728</v>
      </c>
      <c r="F304" s="6"/>
      <c r="G304" s="6"/>
      <c r="H304" s="1"/>
      <c r="I304" s="6"/>
      <c r="J304" s="6"/>
      <c r="K304" s="1"/>
      <c r="L304" s="1"/>
      <c r="M304" s="1"/>
      <c r="N304" s="1"/>
      <c r="O304" s="6"/>
      <c r="P304" s="6"/>
      <c r="Q304" s="2"/>
      <c r="R304" s="5"/>
      <c r="S304" s="4"/>
      <c r="T304" s="4"/>
      <c r="U304" s="1"/>
      <c r="V304" s="5"/>
      <c r="W304" s="1"/>
      <c r="X304" s="6"/>
      <c r="Y304" s="4"/>
      <c r="Z304" s="4"/>
      <c r="AA304" s="5"/>
      <c r="AB304" s="1"/>
      <c r="AC304" s="1"/>
      <c r="AD304" s="1"/>
    </row>
    <row r="305" spans="1:30" hidden="1" x14ac:dyDescent="0.25">
      <c r="A305" s="1" t="s">
        <v>1473</v>
      </c>
      <c r="B305" s="1" t="s">
        <v>786</v>
      </c>
      <c r="C305" s="1" t="s">
        <v>1147</v>
      </c>
      <c r="D305" s="4">
        <v>43536</v>
      </c>
      <c r="E305" s="6">
        <v>10400</v>
      </c>
      <c r="F305" s="6"/>
      <c r="G305" s="6">
        <v>10400</v>
      </c>
      <c r="H305" s="1" t="s">
        <v>1735</v>
      </c>
      <c r="I305" s="6">
        <v>8100</v>
      </c>
      <c r="J305" s="6">
        <v>0.43783783783783786</v>
      </c>
      <c r="K305" s="1" t="s">
        <v>1827</v>
      </c>
      <c r="L305" s="1" t="s">
        <v>536</v>
      </c>
      <c r="M305" s="1" t="s">
        <v>946</v>
      </c>
      <c r="N305" s="1" t="s">
        <v>159</v>
      </c>
      <c r="O305" s="6">
        <v>500</v>
      </c>
      <c r="P305" s="6">
        <v>2.7027027027027029E-2</v>
      </c>
      <c r="Q305" s="2" t="str">
        <f>HYPERLINK("https://auction.openprocurement.org/tenders/f1bb916640fa42a5b48cf432cdc5e2b7")</f>
        <v>https://auction.openprocurement.org/tenders/f1bb916640fa42a5b48cf432cdc5e2b7</v>
      </c>
      <c r="R305" s="5">
        <v>43546.677688926364</v>
      </c>
      <c r="S305" s="4">
        <v>43550</v>
      </c>
      <c r="T305" s="4">
        <v>43569</v>
      </c>
      <c r="U305" s="1" t="s">
        <v>1956</v>
      </c>
      <c r="V305" s="5">
        <v>43552.663452887871</v>
      </c>
      <c r="W305" s="1" t="s">
        <v>1952</v>
      </c>
      <c r="X305" s="6">
        <v>18000</v>
      </c>
      <c r="Y305" s="1"/>
      <c r="Z305" s="4">
        <v>43616</v>
      </c>
      <c r="AA305" s="5">
        <v>43830</v>
      </c>
      <c r="AB305" s="1" t="s">
        <v>1971</v>
      </c>
      <c r="AC305" s="1"/>
      <c r="AD305" s="1" t="s">
        <v>1168</v>
      </c>
    </row>
    <row r="306" spans="1:30" hidden="1" x14ac:dyDescent="0.25">
      <c r="A306" s="1" t="s">
        <v>1160</v>
      </c>
      <c r="B306" s="1" t="s">
        <v>397</v>
      </c>
      <c r="C306" s="1" t="s">
        <v>1147</v>
      </c>
      <c r="D306" s="4">
        <v>43528</v>
      </c>
      <c r="E306" s="6">
        <v>57965</v>
      </c>
      <c r="F306" s="6"/>
      <c r="G306" s="6">
        <v>471.26016260162601</v>
      </c>
      <c r="H306" s="1" t="s">
        <v>1111</v>
      </c>
      <c r="I306" s="6">
        <v>2035</v>
      </c>
      <c r="J306" s="6">
        <v>3.3916666666666664E-2</v>
      </c>
      <c r="K306" s="1" t="s">
        <v>1133</v>
      </c>
      <c r="L306" s="1" t="s">
        <v>588</v>
      </c>
      <c r="M306" s="1" t="s">
        <v>960</v>
      </c>
      <c r="N306" s="1" t="s">
        <v>113</v>
      </c>
      <c r="O306" s="6">
        <v>1740</v>
      </c>
      <c r="P306" s="6">
        <v>2.9000000000000001E-2</v>
      </c>
      <c r="Q306" s="2" t="str">
        <f>HYPERLINK("https://auction.openprocurement.org/tenders/a201e03aaa9e4a309d23541a88200e49")</f>
        <v>https://auction.openprocurement.org/tenders/a201e03aaa9e4a309d23541a88200e49</v>
      </c>
      <c r="R306" s="5">
        <v>43544.450138984386</v>
      </c>
      <c r="S306" s="4">
        <v>43546</v>
      </c>
      <c r="T306" s="4">
        <v>43565</v>
      </c>
      <c r="U306" s="1" t="s">
        <v>1956</v>
      </c>
      <c r="V306" s="5">
        <v>43551.585710966436</v>
      </c>
      <c r="W306" s="1" t="s">
        <v>1952</v>
      </c>
      <c r="X306" s="6">
        <v>58260</v>
      </c>
      <c r="Y306" s="1"/>
      <c r="Z306" s="4">
        <v>43565</v>
      </c>
      <c r="AA306" s="5">
        <v>43830</v>
      </c>
      <c r="AB306" s="1" t="s">
        <v>1971</v>
      </c>
      <c r="AC306" s="1"/>
      <c r="AD306" s="1" t="s">
        <v>1168</v>
      </c>
    </row>
    <row r="307" spans="1:30" hidden="1" x14ac:dyDescent="0.25">
      <c r="A307" s="1" t="s">
        <v>1074</v>
      </c>
      <c r="B307" s="1" t="s">
        <v>613</v>
      </c>
      <c r="C307" s="1" t="s">
        <v>1147</v>
      </c>
      <c r="D307" s="4">
        <v>43528</v>
      </c>
      <c r="E307" s="6">
        <v>10350</v>
      </c>
      <c r="F307" s="6"/>
      <c r="G307" s="6">
        <v>414</v>
      </c>
      <c r="H307" s="1" t="s">
        <v>1682</v>
      </c>
      <c r="I307" s="6">
        <v>1150</v>
      </c>
      <c r="J307" s="6">
        <v>0.1</v>
      </c>
      <c r="K307" s="1" t="s">
        <v>1682</v>
      </c>
      <c r="L307" s="1" t="s">
        <v>563</v>
      </c>
      <c r="M307" s="1" t="s">
        <v>948</v>
      </c>
      <c r="N307" s="1" t="s">
        <v>132</v>
      </c>
      <c r="O307" s="6">
        <v>1150</v>
      </c>
      <c r="P307" s="6">
        <v>0.1</v>
      </c>
      <c r="Q307" s="2" t="str">
        <f>HYPERLINK("https://auction.openprocurement.org/tenders/390eb790530b4400941f89bc62cfe210")</f>
        <v>https://auction.openprocurement.org/tenders/390eb790530b4400941f89bc62cfe210</v>
      </c>
      <c r="R307" s="5">
        <v>43542.496977395414</v>
      </c>
      <c r="S307" s="4">
        <v>43544</v>
      </c>
      <c r="T307" s="4">
        <v>43561</v>
      </c>
      <c r="U307" s="1" t="s">
        <v>1956</v>
      </c>
      <c r="V307" s="5">
        <v>43544.695732115601</v>
      </c>
      <c r="W307" s="1" t="s">
        <v>520</v>
      </c>
      <c r="X307" s="6">
        <v>10350</v>
      </c>
      <c r="Y307" s="1"/>
      <c r="Z307" s="4">
        <v>43555</v>
      </c>
      <c r="AA307" s="5">
        <v>43830</v>
      </c>
      <c r="AB307" s="1" t="s">
        <v>1971</v>
      </c>
      <c r="AC307" s="1"/>
      <c r="AD307" s="1" t="s">
        <v>1168</v>
      </c>
    </row>
    <row r="308" spans="1:30" hidden="1" x14ac:dyDescent="0.25">
      <c r="A308" s="1" t="s">
        <v>1459</v>
      </c>
      <c r="B308" s="1" t="s">
        <v>799</v>
      </c>
      <c r="C308" s="1" t="s">
        <v>1147</v>
      </c>
      <c r="D308" s="4">
        <v>43528</v>
      </c>
      <c r="E308" s="6">
        <v>47755</v>
      </c>
      <c r="F308" s="6"/>
      <c r="G308" s="6">
        <v>23877.5</v>
      </c>
      <c r="H308" s="1" t="s">
        <v>1724</v>
      </c>
      <c r="I308" s="1"/>
      <c r="J308" s="1"/>
      <c r="K308" s="1" t="s">
        <v>1724</v>
      </c>
      <c r="L308" s="1" t="s">
        <v>570</v>
      </c>
      <c r="M308" s="1" t="s">
        <v>870</v>
      </c>
      <c r="N308" s="1" t="s">
        <v>77</v>
      </c>
      <c r="O308" s="1"/>
      <c r="P308" s="1"/>
      <c r="Q308" s="2"/>
      <c r="R308" s="5">
        <v>43537.660980404886</v>
      </c>
      <c r="S308" s="4">
        <v>43539</v>
      </c>
      <c r="T308" s="4">
        <v>43561</v>
      </c>
      <c r="U308" s="1" t="s">
        <v>1956</v>
      </c>
      <c r="V308" s="5">
        <v>43543.407292830569</v>
      </c>
      <c r="W308" s="1" t="s">
        <v>1952</v>
      </c>
      <c r="X308" s="6">
        <v>47755</v>
      </c>
      <c r="Y308" s="1"/>
      <c r="Z308" s="4">
        <v>43830</v>
      </c>
      <c r="AA308" s="5">
        <v>43830</v>
      </c>
      <c r="AB308" s="1" t="s">
        <v>1971</v>
      </c>
      <c r="AC308" s="1"/>
      <c r="AD308" s="1" t="s">
        <v>1168</v>
      </c>
    </row>
    <row r="309" spans="1:30" x14ac:dyDescent="0.25">
      <c r="A309" s="1" t="s">
        <v>1209</v>
      </c>
      <c r="B309" s="1" t="s">
        <v>532</v>
      </c>
      <c r="C309" s="1" t="s">
        <v>1081</v>
      </c>
      <c r="D309" s="4">
        <v>43528</v>
      </c>
      <c r="E309" s="6">
        <v>224850</v>
      </c>
      <c r="F309" s="6"/>
      <c r="G309" s="6"/>
      <c r="H309" s="1"/>
      <c r="I309" s="6"/>
      <c r="J309" s="6"/>
      <c r="K309" s="1"/>
      <c r="L309" s="1"/>
      <c r="M309" s="1"/>
      <c r="N309" s="1"/>
      <c r="O309" s="6"/>
      <c r="P309" s="6"/>
      <c r="Q309" s="2"/>
      <c r="R309" s="5"/>
      <c r="S309" s="4"/>
      <c r="T309" s="4"/>
      <c r="U309" s="1"/>
      <c r="V309" s="5"/>
      <c r="W309" s="1"/>
      <c r="X309" s="6"/>
      <c r="Y309" s="1"/>
      <c r="Z309" s="4"/>
      <c r="AA309" s="5"/>
      <c r="AB309" s="1"/>
      <c r="AC309" s="1"/>
      <c r="AD309" s="1"/>
    </row>
    <row r="310" spans="1:30" hidden="1" x14ac:dyDescent="0.25">
      <c r="A310" s="1" t="s">
        <v>1107</v>
      </c>
      <c r="B310" s="1" t="s">
        <v>426</v>
      </c>
      <c r="C310" s="1" t="s">
        <v>1081</v>
      </c>
      <c r="D310" s="4">
        <v>43524</v>
      </c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2"/>
      <c r="R310" s="1"/>
      <c r="S310" s="1"/>
      <c r="T310" s="1"/>
      <c r="U310" s="1" t="s">
        <v>1957</v>
      </c>
      <c r="V310" s="5">
        <v>43539.627448054089</v>
      </c>
      <c r="W310" s="1"/>
      <c r="X310" s="1"/>
      <c r="Y310" s="1"/>
      <c r="Z310" s="4">
        <v>43616</v>
      </c>
      <c r="AA310" s="1"/>
      <c r="AB310" s="1"/>
      <c r="AC310" s="1"/>
      <c r="AD310" s="1"/>
    </row>
    <row r="311" spans="1:30" hidden="1" x14ac:dyDescent="0.25">
      <c r="A311" s="1" t="s">
        <v>1939</v>
      </c>
      <c r="B311" s="1" t="s">
        <v>612</v>
      </c>
      <c r="C311" s="1" t="s">
        <v>1147</v>
      </c>
      <c r="D311" s="4">
        <v>43522</v>
      </c>
      <c r="E311" s="6">
        <v>23990</v>
      </c>
      <c r="F311" s="6"/>
      <c r="G311" s="6">
        <v>23990</v>
      </c>
      <c r="H311" s="1" t="s">
        <v>1697</v>
      </c>
      <c r="I311" s="6">
        <v>4010</v>
      </c>
      <c r="J311" s="6">
        <v>0.14321428571428571</v>
      </c>
      <c r="K311" s="1" t="s">
        <v>1322</v>
      </c>
      <c r="L311" s="1" t="s">
        <v>555</v>
      </c>
      <c r="M311" s="1" t="s">
        <v>292</v>
      </c>
      <c r="N311" s="1" t="s">
        <v>183</v>
      </c>
      <c r="O311" s="6">
        <v>4000</v>
      </c>
      <c r="P311" s="6">
        <v>0.14285714285714285</v>
      </c>
      <c r="Q311" s="2" t="str">
        <f>HYPERLINK("https://auction.openprocurement.org/tenders/cbef3448f3b84c979b3b347a8afe6e8a")</f>
        <v>https://auction.openprocurement.org/tenders/cbef3448f3b84c979b3b347a8afe6e8a</v>
      </c>
      <c r="R311" s="5">
        <v>43535.590512263807</v>
      </c>
      <c r="S311" s="4">
        <v>43537</v>
      </c>
      <c r="T311" s="4">
        <v>43555</v>
      </c>
      <c r="U311" s="1" t="s">
        <v>1956</v>
      </c>
      <c r="V311" s="5">
        <v>43543.392066425127</v>
      </c>
      <c r="W311" s="1" t="s">
        <v>1110</v>
      </c>
      <c r="X311" s="6">
        <v>24000</v>
      </c>
      <c r="Y311" s="1"/>
      <c r="Z311" s="4">
        <v>43580</v>
      </c>
      <c r="AA311" s="5">
        <v>43830</v>
      </c>
      <c r="AB311" s="1" t="s">
        <v>1971</v>
      </c>
      <c r="AC311" s="1"/>
      <c r="AD311" s="1" t="s">
        <v>1168</v>
      </c>
    </row>
    <row r="312" spans="1:30" x14ac:dyDescent="0.25">
      <c r="A312" s="1" t="s">
        <v>1289</v>
      </c>
      <c r="B312" s="1" t="s">
        <v>609</v>
      </c>
      <c r="C312" s="1" t="s">
        <v>1081</v>
      </c>
      <c r="D312" s="4">
        <v>43521</v>
      </c>
      <c r="E312" s="6">
        <v>280020</v>
      </c>
      <c r="F312" s="6"/>
      <c r="G312" s="6"/>
      <c r="H312" s="1"/>
      <c r="I312" s="6"/>
      <c r="J312" s="6"/>
      <c r="K312" s="1"/>
      <c r="L312" s="1"/>
      <c r="M312" s="1"/>
      <c r="N312" s="1"/>
      <c r="O312" s="6"/>
      <c r="P312" s="6"/>
      <c r="Q312" s="2"/>
      <c r="R312" s="5"/>
      <c r="S312" s="4"/>
      <c r="T312" s="4"/>
      <c r="U312" s="1"/>
      <c r="V312" s="5"/>
      <c r="W312" s="1"/>
      <c r="X312" s="6"/>
      <c r="Y312" s="1"/>
      <c r="Z312" s="4"/>
      <c r="AA312" s="5"/>
      <c r="AB312" s="1"/>
      <c r="AC312" s="1"/>
      <c r="AD312" s="1"/>
    </row>
    <row r="313" spans="1:30" hidden="1" x14ac:dyDescent="0.25">
      <c r="A313" s="1" t="s">
        <v>1150</v>
      </c>
      <c r="B313" s="1" t="s">
        <v>323</v>
      </c>
      <c r="C313" s="1" t="s">
        <v>1336</v>
      </c>
      <c r="D313" s="4">
        <v>43516</v>
      </c>
      <c r="E313" s="6">
        <v>713653.34</v>
      </c>
      <c r="F313" s="6"/>
      <c r="G313" s="6">
        <v>2.6298360160372631</v>
      </c>
      <c r="H313" s="1"/>
      <c r="I313" s="1"/>
      <c r="J313" s="1"/>
      <c r="K313" s="1" t="s">
        <v>1736</v>
      </c>
      <c r="L313" s="1" t="s">
        <v>716</v>
      </c>
      <c r="M313" s="1"/>
      <c r="N313" s="1" t="s">
        <v>273</v>
      </c>
      <c r="O313" s="1"/>
      <c r="P313" s="1"/>
      <c r="Q313" s="2"/>
      <c r="R313" s="1"/>
      <c r="S313" s="4">
        <v>43522</v>
      </c>
      <c r="T313" s="4">
        <v>43537</v>
      </c>
      <c r="U313" s="1" t="s">
        <v>1956</v>
      </c>
      <c r="V313" s="5">
        <v>43522.637435618948</v>
      </c>
      <c r="W313" s="1" t="s">
        <v>197</v>
      </c>
      <c r="X313" s="6">
        <v>713653.34</v>
      </c>
      <c r="Y313" s="4">
        <v>43466</v>
      </c>
      <c r="Z313" s="4">
        <v>43830</v>
      </c>
      <c r="AA313" s="5">
        <v>43830</v>
      </c>
      <c r="AB313" s="1" t="s">
        <v>1971</v>
      </c>
      <c r="AC313" s="1"/>
      <c r="AD313" s="1" t="s">
        <v>1168</v>
      </c>
    </row>
    <row r="314" spans="1:30" x14ac:dyDescent="0.25">
      <c r="A314" s="1" t="s">
        <v>1214</v>
      </c>
      <c r="B314" s="1" t="s">
        <v>732</v>
      </c>
      <c r="C314" s="1" t="s">
        <v>1081</v>
      </c>
      <c r="D314" s="4">
        <v>43514</v>
      </c>
      <c r="E314" s="6">
        <v>572500</v>
      </c>
      <c r="F314" s="6"/>
      <c r="G314" s="6"/>
      <c r="H314" s="1"/>
      <c r="I314" s="6"/>
      <c r="J314" s="6"/>
      <c r="K314" s="1"/>
      <c r="L314" s="1"/>
      <c r="M314" s="1"/>
      <c r="N314" s="1"/>
      <c r="O314" s="6"/>
      <c r="P314" s="6"/>
      <c r="Q314" s="2"/>
      <c r="R314" s="5"/>
      <c r="S314" s="4"/>
      <c r="T314" s="4"/>
      <c r="U314" s="1"/>
      <c r="V314" s="5"/>
      <c r="W314" s="1"/>
      <c r="X314" s="6"/>
      <c r="Y314" s="1"/>
      <c r="Z314" s="4"/>
      <c r="AA314" s="5"/>
      <c r="AB314" s="1"/>
      <c r="AC314" s="1"/>
      <c r="AD314" s="1"/>
    </row>
    <row r="315" spans="1:30" x14ac:dyDescent="0.25">
      <c r="A315" s="1" t="s">
        <v>1215</v>
      </c>
      <c r="B315" s="1" t="s">
        <v>732</v>
      </c>
      <c r="C315" s="1" t="s">
        <v>1081</v>
      </c>
      <c r="D315" s="4">
        <v>43514</v>
      </c>
      <c r="E315" s="6">
        <v>59500</v>
      </c>
      <c r="F315" s="6"/>
      <c r="G315" s="6"/>
      <c r="H315" s="1"/>
      <c r="I315" s="6"/>
      <c r="J315" s="6"/>
      <c r="K315" s="1"/>
      <c r="L315" s="1"/>
      <c r="M315" s="1"/>
      <c r="N315" s="1"/>
      <c r="O315" s="6"/>
      <c r="P315" s="6"/>
      <c r="Q315" s="2"/>
      <c r="R315" s="5"/>
      <c r="S315" s="4"/>
      <c r="T315" s="4"/>
      <c r="U315" s="1"/>
      <c r="V315" s="5"/>
      <c r="W315" s="1"/>
      <c r="X315" s="6"/>
      <c r="Y315" s="1"/>
      <c r="Z315" s="4"/>
      <c r="AA315" s="5"/>
      <c r="AB315" s="1"/>
      <c r="AC315" s="1"/>
      <c r="AD315" s="1"/>
    </row>
    <row r="316" spans="1:30" hidden="1" x14ac:dyDescent="0.25">
      <c r="A316" s="1" t="s">
        <v>1054</v>
      </c>
      <c r="B316" s="1" t="s">
        <v>379</v>
      </c>
      <c r="C316" s="1" t="s">
        <v>1157</v>
      </c>
      <c r="D316" s="4">
        <v>43511</v>
      </c>
      <c r="E316" s="6">
        <v>17100</v>
      </c>
      <c r="F316" s="6"/>
      <c r="G316" s="6">
        <v>570</v>
      </c>
      <c r="H316" s="1"/>
      <c r="I316" s="1"/>
      <c r="J316" s="1"/>
      <c r="K316" s="1" t="s">
        <v>1906</v>
      </c>
      <c r="L316" s="1" t="s">
        <v>466</v>
      </c>
      <c r="M316" s="1"/>
      <c r="N316" s="1" t="s">
        <v>311</v>
      </c>
      <c r="O316" s="1"/>
      <c r="P316" s="1"/>
      <c r="Q316" s="2"/>
      <c r="R316" s="1"/>
      <c r="S316" s="1"/>
      <c r="T316" s="1"/>
      <c r="U316" s="1" t="s">
        <v>1956</v>
      </c>
      <c r="V316" s="5">
        <v>43511.605182312538</v>
      </c>
      <c r="W316" s="1" t="s">
        <v>1952</v>
      </c>
      <c r="X316" s="6">
        <v>17100</v>
      </c>
      <c r="Y316" s="1"/>
      <c r="Z316" s="4">
        <v>43511</v>
      </c>
      <c r="AA316" s="5">
        <v>43830</v>
      </c>
      <c r="AB316" s="1" t="s">
        <v>1971</v>
      </c>
      <c r="AC316" s="1"/>
      <c r="AD316" s="1" t="s">
        <v>1168</v>
      </c>
    </row>
    <row r="317" spans="1:30" hidden="1" x14ac:dyDescent="0.25">
      <c r="A317" s="1" t="s">
        <v>1566</v>
      </c>
      <c r="B317" s="1" t="s">
        <v>788</v>
      </c>
      <c r="C317" s="1" t="s">
        <v>1157</v>
      </c>
      <c r="D317" s="4">
        <v>43511</v>
      </c>
      <c r="E317" s="6">
        <v>1498000</v>
      </c>
      <c r="F317" s="6"/>
      <c r="G317" s="6">
        <v>1498000</v>
      </c>
      <c r="H317" s="1"/>
      <c r="I317" s="1"/>
      <c r="J317" s="1"/>
      <c r="K317" s="1" t="s">
        <v>1926</v>
      </c>
      <c r="L317" s="1" t="s">
        <v>491</v>
      </c>
      <c r="M317" s="1"/>
      <c r="N317" s="1" t="s">
        <v>307</v>
      </c>
      <c r="O317" s="1"/>
      <c r="P317" s="1"/>
      <c r="Q317" s="2"/>
      <c r="R317" s="1"/>
      <c r="S317" s="1"/>
      <c r="T317" s="1"/>
      <c r="U317" s="1" t="s">
        <v>1956</v>
      </c>
      <c r="V317" s="5">
        <v>43511.505253092895</v>
      </c>
      <c r="W317" s="1" t="s">
        <v>203</v>
      </c>
      <c r="X317" s="6">
        <v>1498000</v>
      </c>
      <c r="Y317" s="4">
        <v>43510</v>
      </c>
      <c r="Z317" s="4">
        <v>43830</v>
      </c>
      <c r="AA317" s="5">
        <v>43830</v>
      </c>
      <c r="AB317" s="1" t="s">
        <v>1971</v>
      </c>
      <c r="AC317" s="1"/>
      <c r="AD317" s="1" t="s">
        <v>1168</v>
      </c>
    </row>
    <row r="318" spans="1:30" hidden="1" x14ac:dyDescent="0.25">
      <c r="A318" s="1" t="s">
        <v>1054</v>
      </c>
      <c r="B318" s="1" t="s">
        <v>379</v>
      </c>
      <c r="C318" s="1" t="s">
        <v>1157</v>
      </c>
      <c r="D318" s="4">
        <v>43508</v>
      </c>
      <c r="E318" s="6">
        <v>17100</v>
      </c>
      <c r="F318" s="6"/>
      <c r="G318" s="6">
        <v>570</v>
      </c>
      <c r="H318" s="1"/>
      <c r="I318" s="1"/>
      <c r="J318" s="1"/>
      <c r="K318" s="1" t="s">
        <v>1265</v>
      </c>
      <c r="L318" s="1" t="s">
        <v>466</v>
      </c>
      <c r="M318" s="1"/>
      <c r="N318" s="1" t="s">
        <v>311</v>
      </c>
      <c r="O318" s="1"/>
      <c r="P318" s="1"/>
      <c r="Q318" s="2"/>
      <c r="R318" s="1"/>
      <c r="S318" s="1"/>
      <c r="T318" s="1"/>
      <c r="U318" s="1" t="s">
        <v>1956</v>
      </c>
      <c r="V318" s="5">
        <v>43508.594688901518</v>
      </c>
      <c r="W318" s="1" t="s">
        <v>1952</v>
      </c>
      <c r="X318" s="6">
        <v>17100</v>
      </c>
      <c r="Y318" s="1"/>
      <c r="Z318" s="4">
        <v>43524</v>
      </c>
      <c r="AA318" s="5">
        <v>43830</v>
      </c>
      <c r="AB318" s="1" t="s">
        <v>1971</v>
      </c>
      <c r="AC318" s="1"/>
      <c r="AD318" s="1"/>
    </row>
    <row r="319" spans="1:30" x14ac:dyDescent="0.25">
      <c r="A319" s="1" t="s">
        <v>1362</v>
      </c>
      <c r="B319" s="1" t="s">
        <v>834</v>
      </c>
      <c r="C319" s="1" t="s">
        <v>1081</v>
      </c>
      <c r="D319" s="4">
        <v>43501</v>
      </c>
      <c r="E319" s="6">
        <v>208687.5</v>
      </c>
      <c r="F319" s="6"/>
      <c r="G319" s="6"/>
      <c r="H319" s="1"/>
      <c r="I319" s="6"/>
      <c r="J319" s="6"/>
      <c r="K319" s="1"/>
      <c r="L319" s="1"/>
      <c r="M319" s="1"/>
      <c r="N319" s="1"/>
      <c r="O319" s="6"/>
      <c r="P319" s="6"/>
      <c r="Q319" s="2"/>
      <c r="R319" s="5"/>
      <c r="S319" s="4"/>
      <c r="T319" s="4"/>
      <c r="U319" s="1"/>
      <c r="V319" s="5"/>
      <c r="W319" s="1"/>
      <c r="X319" s="6"/>
      <c r="Y319" s="1"/>
      <c r="Z319" s="4"/>
      <c r="AA319" s="5"/>
      <c r="AB319" s="1"/>
      <c r="AC319" s="1"/>
      <c r="AD319" s="1"/>
    </row>
    <row r="320" spans="1:30" x14ac:dyDescent="0.25">
      <c r="A320" s="1" t="s">
        <v>1373</v>
      </c>
      <c r="B320" s="1" t="s">
        <v>810</v>
      </c>
      <c r="C320" s="1" t="s">
        <v>1081</v>
      </c>
      <c r="D320" s="4">
        <v>43501</v>
      </c>
      <c r="E320" s="6">
        <v>402600</v>
      </c>
      <c r="F320" s="6"/>
      <c r="G320" s="6"/>
      <c r="H320" s="1"/>
      <c r="I320" s="6"/>
      <c r="J320" s="6"/>
      <c r="K320" s="1"/>
      <c r="L320" s="1"/>
      <c r="M320" s="1"/>
      <c r="N320" s="1"/>
      <c r="O320" s="6"/>
      <c r="P320" s="6"/>
      <c r="Q320" s="2"/>
      <c r="R320" s="5"/>
      <c r="S320" s="4"/>
      <c r="T320" s="4"/>
      <c r="U320" s="1"/>
      <c r="V320" s="5"/>
      <c r="W320" s="1"/>
      <c r="X320" s="6"/>
      <c r="Y320" s="1"/>
      <c r="Z320" s="4"/>
      <c r="AA320" s="5"/>
      <c r="AB320" s="1"/>
      <c r="AC320" s="1"/>
      <c r="AD320" s="1"/>
    </row>
    <row r="321" spans="1:30" x14ac:dyDescent="0.25">
      <c r="A321" s="1" t="s">
        <v>1433</v>
      </c>
      <c r="B321" s="1" t="s">
        <v>810</v>
      </c>
      <c r="C321" s="1" t="s">
        <v>1081</v>
      </c>
      <c r="D321" s="4">
        <v>43501</v>
      </c>
      <c r="E321" s="6">
        <v>397700</v>
      </c>
      <c r="F321" s="6"/>
      <c r="G321" s="6"/>
      <c r="H321" s="1"/>
      <c r="I321" s="6"/>
      <c r="J321" s="6"/>
      <c r="K321" s="1"/>
      <c r="L321" s="1"/>
      <c r="M321" s="1"/>
      <c r="N321" s="1"/>
      <c r="O321" s="6"/>
      <c r="P321" s="6"/>
      <c r="Q321" s="2"/>
      <c r="R321" s="5"/>
      <c r="S321" s="4"/>
      <c r="T321" s="4"/>
      <c r="U321" s="1"/>
      <c r="V321" s="5"/>
      <c r="W321" s="1"/>
      <c r="X321" s="6"/>
      <c r="Y321" s="1"/>
      <c r="Z321" s="4"/>
      <c r="AA321" s="5"/>
      <c r="AB321" s="1"/>
      <c r="AC321" s="1"/>
      <c r="AD321" s="1"/>
    </row>
    <row r="322" spans="1:30" x14ac:dyDescent="0.25">
      <c r="A322" s="1" t="s">
        <v>1384</v>
      </c>
      <c r="B322" s="1" t="s">
        <v>808</v>
      </c>
      <c r="C322" s="1" t="s">
        <v>1081</v>
      </c>
      <c r="D322" s="4">
        <v>43501</v>
      </c>
      <c r="E322" s="6">
        <v>362633.88</v>
      </c>
      <c r="F322" s="6"/>
      <c r="G322" s="6"/>
      <c r="H322" s="1"/>
      <c r="I322" s="6"/>
      <c r="J322" s="6"/>
      <c r="K322" s="1"/>
      <c r="L322" s="1"/>
      <c r="M322" s="1"/>
      <c r="N322" s="1"/>
      <c r="O322" s="6"/>
      <c r="P322" s="6"/>
      <c r="Q322" s="2"/>
      <c r="R322" s="5"/>
      <c r="S322" s="4"/>
      <c r="T322" s="4"/>
      <c r="U322" s="1"/>
      <c r="V322" s="5"/>
      <c r="W322" s="1"/>
      <c r="X322" s="6"/>
      <c r="Y322" s="1"/>
      <c r="Z322" s="4"/>
      <c r="AA322" s="5"/>
      <c r="AB322" s="1"/>
      <c r="AC322" s="1"/>
      <c r="AD322" s="1"/>
    </row>
    <row r="323" spans="1:30" x14ac:dyDescent="0.25">
      <c r="A323" s="1" t="s">
        <v>1365</v>
      </c>
      <c r="B323" s="1" t="s">
        <v>808</v>
      </c>
      <c r="C323" s="1" t="s">
        <v>1081</v>
      </c>
      <c r="D323" s="4">
        <v>43501</v>
      </c>
      <c r="E323" s="6">
        <v>1513554.51</v>
      </c>
      <c r="F323" s="6"/>
      <c r="G323" s="6"/>
      <c r="H323" s="1"/>
      <c r="I323" s="6"/>
      <c r="J323" s="6"/>
      <c r="K323" s="1"/>
      <c r="L323" s="1"/>
      <c r="M323" s="1"/>
      <c r="N323" s="1"/>
      <c r="O323" s="6"/>
      <c r="P323" s="6"/>
      <c r="Q323" s="2"/>
      <c r="R323" s="5"/>
      <c r="S323" s="4"/>
      <c r="T323" s="4"/>
      <c r="U323" s="1"/>
      <c r="V323" s="5"/>
      <c r="W323" s="1"/>
      <c r="X323" s="6"/>
      <c r="Y323" s="1"/>
      <c r="Z323" s="4"/>
      <c r="AA323" s="5"/>
      <c r="AB323" s="1"/>
      <c r="AC323" s="1"/>
      <c r="AD323" s="1"/>
    </row>
    <row r="324" spans="1:30" hidden="1" x14ac:dyDescent="0.25">
      <c r="A324" s="1" t="s">
        <v>1460</v>
      </c>
      <c r="B324" s="1" t="s">
        <v>794</v>
      </c>
      <c r="C324" s="1" t="s">
        <v>1157</v>
      </c>
      <c r="D324" s="4">
        <v>43495</v>
      </c>
      <c r="E324" s="6">
        <v>3600</v>
      </c>
      <c r="F324" s="6"/>
      <c r="G324" s="6">
        <v>3600</v>
      </c>
      <c r="H324" s="1"/>
      <c r="I324" s="1"/>
      <c r="J324" s="1"/>
      <c r="K324" s="1" t="s">
        <v>1755</v>
      </c>
      <c r="L324" s="1" t="s">
        <v>619</v>
      </c>
      <c r="M324" s="1"/>
      <c r="N324" s="1" t="s">
        <v>249</v>
      </c>
      <c r="O324" s="1"/>
      <c r="P324" s="1"/>
      <c r="Q324" s="2"/>
      <c r="R324" s="1"/>
      <c r="S324" s="1"/>
      <c r="T324" s="1"/>
      <c r="U324" s="1" t="s">
        <v>1956</v>
      </c>
      <c r="V324" s="5">
        <v>43495.711795602569</v>
      </c>
      <c r="W324" s="1" t="s">
        <v>429</v>
      </c>
      <c r="X324" s="6">
        <v>3600</v>
      </c>
      <c r="Y324" s="4">
        <v>43466</v>
      </c>
      <c r="Z324" s="4">
        <v>43830</v>
      </c>
      <c r="AA324" s="5">
        <v>43830</v>
      </c>
      <c r="AB324" s="1" t="s">
        <v>1971</v>
      </c>
      <c r="AC324" s="1"/>
      <c r="AD324" s="1" t="s">
        <v>1168</v>
      </c>
    </row>
    <row r="325" spans="1:30" hidden="1" x14ac:dyDescent="0.25">
      <c r="A325" s="1" t="s">
        <v>1543</v>
      </c>
      <c r="B325" s="1" t="s">
        <v>793</v>
      </c>
      <c r="C325" s="1" t="s">
        <v>1157</v>
      </c>
      <c r="D325" s="4">
        <v>43495</v>
      </c>
      <c r="E325" s="6">
        <v>212445</v>
      </c>
      <c r="F325" s="6"/>
      <c r="G325" s="6">
        <v>212445</v>
      </c>
      <c r="H325" s="1"/>
      <c r="I325" s="1"/>
      <c r="J325" s="1"/>
      <c r="K325" s="1" t="s">
        <v>1324</v>
      </c>
      <c r="L325" s="1" t="s">
        <v>576</v>
      </c>
      <c r="M325" s="1"/>
      <c r="N325" s="1" t="s">
        <v>297</v>
      </c>
      <c r="O325" s="1"/>
      <c r="P325" s="1"/>
      <c r="Q325" s="2"/>
      <c r="R325" s="1"/>
      <c r="S325" s="1"/>
      <c r="T325" s="1"/>
      <c r="U325" s="1" t="s">
        <v>1956</v>
      </c>
      <c r="V325" s="5">
        <v>43495.538958896854</v>
      </c>
      <c r="W325" s="1" t="s">
        <v>1952</v>
      </c>
      <c r="X325" s="6">
        <v>212445</v>
      </c>
      <c r="Y325" s="4">
        <v>43487</v>
      </c>
      <c r="Z325" s="4">
        <v>43830</v>
      </c>
      <c r="AA325" s="5">
        <v>43830</v>
      </c>
      <c r="AB325" s="1" t="s">
        <v>1971</v>
      </c>
      <c r="AC325" s="1"/>
      <c r="AD325" s="1" t="s">
        <v>1168</v>
      </c>
    </row>
    <row r="326" spans="1:30" hidden="1" x14ac:dyDescent="0.25">
      <c r="A326" s="1" t="s">
        <v>1452</v>
      </c>
      <c r="B326" s="1" t="s">
        <v>839</v>
      </c>
      <c r="C326" s="1" t="s">
        <v>1081</v>
      </c>
      <c r="D326" s="4">
        <v>43493</v>
      </c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2"/>
      <c r="R326" s="1"/>
      <c r="S326" s="1"/>
      <c r="T326" s="1"/>
      <c r="U326" s="1" t="s">
        <v>1957</v>
      </c>
      <c r="V326" s="5">
        <v>43508.542353248318</v>
      </c>
      <c r="W326" s="1"/>
      <c r="X326" s="1"/>
      <c r="Y326" s="1"/>
      <c r="Z326" s="4">
        <v>43539</v>
      </c>
      <c r="AA326" s="1"/>
      <c r="AB326" s="1"/>
      <c r="AC326" s="1"/>
      <c r="AD326" s="1"/>
    </row>
    <row r="327" spans="1:30" hidden="1" x14ac:dyDescent="0.25">
      <c r="A327" s="1" t="s">
        <v>1054</v>
      </c>
      <c r="B327" s="1" t="s">
        <v>728</v>
      </c>
      <c r="C327" s="1" t="s">
        <v>1147</v>
      </c>
      <c r="D327" s="4">
        <v>43488</v>
      </c>
      <c r="E327" s="6">
        <v>19199</v>
      </c>
      <c r="F327" s="6"/>
      <c r="G327" s="6">
        <v>75.586614173228341</v>
      </c>
      <c r="H327" s="1" t="s">
        <v>1898</v>
      </c>
      <c r="I327" s="6">
        <v>15801</v>
      </c>
      <c r="J327" s="6">
        <v>0.45145714285714283</v>
      </c>
      <c r="K327" s="1" t="s">
        <v>1859</v>
      </c>
      <c r="L327" s="1" t="s">
        <v>466</v>
      </c>
      <c r="M327" s="1" t="s">
        <v>873</v>
      </c>
      <c r="N327" s="1" t="s">
        <v>147</v>
      </c>
      <c r="O327" s="1"/>
      <c r="P327" s="1"/>
      <c r="Q327" s="2" t="str">
        <f>HYPERLINK("https://auction.openprocurement.org/tenders/2f1ce22c3f6f43d6af5bb7df19f14b7e")</f>
        <v>https://auction.openprocurement.org/tenders/2f1ce22c3f6f43d6af5bb7df19f14b7e</v>
      </c>
      <c r="R327" s="5">
        <v>43502.592655601817</v>
      </c>
      <c r="S327" s="4">
        <v>43504</v>
      </c>
      <c r="T327" s="4">
        <v>43523</v>
      </c>
      <c r="U327" s="1" t="s">
        <v>1956</v>
      </c>
      <c r="V327" s="5">
        <v>43508.608190056664</v>
      </c>
      <c r="W327" s="1" t="s">
        <v>202</v>
      </c>
      <c r="X327" s="6">
        <v>35000</v>
      </c>
      <c r="Y327" s="1"/>
      <c r="Z327" s="4">
        <v>43524</v>
      </c>
      <c r="AA327" s="5">
        <v>43830</v>
      </c>
      <c r="AB327" s="1" t="s">
        <v>1971</v>
      </c>
      <c r="AC327" s="1"/>
      <c r="AD327" s="1" t="s">
        <v>1168</v>
      </c>
    </row>
    <row r="328" spans="1:30" hidden="1" x14ac:dyDescent="0.25">
      <c r="A328" s="1" t="s">
        <v>1181</v>
      </c>
      <c r="B328" s="1" t="s">
        <v>737</v>
      </c>
      <c r="C328" s="1" t="s">
        <v>1147</v>
      </c>
      <c r="D328" s="4">
        <v>43488</v>
      </c>
      <c r="E328" s="6">
        <v>50000</v>
      </c>
      <c r="F328" s="6"/>
      <c r="G328" s="6">
        <v>2083.3333333333335</v>
      </c>
      <c r="H328" s="1" t="s">
        <v>1859</v>
      </c>
      <c r="I328" s="1"/>
      <c r="J328" s="1"/>
      <c r="K328" s="1" t="s">
        <v>1859</v>
      </c>
      <c r="L328" s="1" t="s">
        <v>466</v>
      </c>
      <c r="M328" s="1" t="s">
        <v>873</v>
      </c>
      <c r="N328" s="1" t="s">
        <v>147</v>
      </c>
      <c r="O328" s="1"/>
      <c r="P328" s="1"/>
      <c r="Q328" s="2"/>
      <c r="R328" s="5">
        <v>43497.508912402591</v>
      </c>
      <c r="S328" s="4">
        <v>43501</v>
      </c>
      <c r="T328" s="4">
        <v>43523</v>
      </c>
      <c r="U328" s="1" t="s">
        <v>1956</v>
      </c>
      <c r="V328" s="5">
        <v>43508.602470393715</v>
      </c>
      <c r="W328" s="1" t="s">
        <v>201</v>
      </c>
      <c r="X328" s="6">
        <v>50000</v>
      </c>
      <c r="Y328" s="1"/>
      <c r="Z328" s="4">
        <v>43524</v>
      </c>
      <c r="AA328" s="5">
        <v>43830</v>
      </c>
      <c r="AB328" s="1" t="s">
        <v>1971</v>
      </c>
      <c r="AC328" s="1"/>
      <c r="AD328" s="1" t="s">
        <v>1168</v>
      </c>
    </row>
    <row r="329" spans="1:30" hidden="1" x14ac:dyDescent="0.25">
      <c r="A329" s="1" t="s">
        <v>1482</v>
      </c>
      <c r="B329" s="1" t="s">
        <v>781</v>
      </c>
      <c r="C329" s="1" t="s">
        <v>1336</v>
      </c>
      <c r="D329" s="4">
        <v>43488</v>
      </c>
      <c r="E329" s="6">
        <v>349174</v>
      </c>
      <c r="F329" s="6"/>
      <c r="G329" s="6">
        <v>8.8701638511367964</v>
      </c>
      <c r="H329" s="1"/>
      <c r="I329" s="1"/>
      <c r="J329" s="1"/>
      <c r="K329" s="1" t="s">
        <v>1173</v>
      </c>
      <c r="L329" s="1" t="s">
        <v>231</v>
      </c>
      <c r="M329" s="1"/>
      <c r="N329" s="1" t="s">
        <v>277</v>
      </c>
      <c r="O329" s="1"/>
      <c r="P329" s="1"/>
      <c r="Q329" s="2"/>
      <c r="R329" s="1"/>
      <c r="S329" s="4">
        <v>43494</v>
      </c>
      <c r="T329" s="4">
        <v>43509</v>
      </c>
      <c r="U329" s="1" t="s">
        <v>1956</v>
      </c>
      <c r="V329" s="5">
        <v>43496.505348122999</v>
      </c>
      <c r="W329" s="1" t="s">
        <v>378</v>
      </c>
      <c r="X329" s="6">
        <v>349174</v>
      </c>
      <c r="Y329" s="4">
        <v>43466</v>
      </c>
      <c r="Z329" s="4">
        <v>43830</v>
      </c>
      <c r="AA329" s="5">
        <v>43830</v>
      </c>
      <c r="AB329" s="1" t="s">
        <v>1971</v>
      </c>
      <c r="AC329" s="1"/>
      <c r="AD329" s="1" t="s">
        <v>1168</v>
      </c>
    </row>
    <row r="330" spans="1:30" hidden="1" x14ac:dyDescent="0.25">
      <c r="A330" s="1" t="s">
        <v>1077</v>
      </c>
      <c r="B330" s="1" t="s">
        <v>732</v>
      </c>
      <c r="C330" s="1" t="s">
        <v>1147</v>
      </c>
      <c r="D330" s="4">
        <v>43487</v>
      </c>
      <c r="E330" s="6">
        <v>72990</v>
      </c>
      <c r="F330" s="6"/>
      <c r="G330" s="6">
        <v>36495</v>
      </c>
      <c r="H330" s="1" t="s">
        <v>1884</v>
      </c>
      <c r="I330" s="6">
        <v>5010</v>
      </c>
      <c r="J330" s="6">
        <v>6.423076923076923E-2</v>
      </c>
      <c r="K330" s="1"/>
      <c r="L330" s="1"/>
      <c r="M330" s="1"/>
      <c r="N330" s="1"/>
      <c r="O330" s="1"/>
      <c r="P330" s="1"/>
      <c r="Q330" s="2" t="str">
        <f>HYPERLINK("https://auction.openprocurement.org/tenders/2dbe9e1a1893472c9d616910549915de")</f>
        <v>https://auction.openprocurement.org/tenders/2dbe9e1a1893472c9d616910549915de</v>
      </c>
      <c r="R330" s="1"/>
      <c r="S330" s="1"/>
      <c r="T330" s="1"/>
      <c r="U330" s="1" t="s">
        <v>1972</v>
      </c>
      <c r="V330" s="5">
        <v>43502.626243426166</v>
      </c>
      <c r="W330" s="1"/>
      <c r="X330" s="1"/>
      <c r="Y330" s="1"/>
      <c r="Z330" s="4">
        <v>43524</v>
      </c>
      <c r="AA330" s="1"/>
      <c r="AB330" s="1"/>
      <c r="AC330" s="1" t="s">
        <v>1799</v>
      </c>
      <c r="AD330" s="1"/>
    </row>
    <row r="331" spans="1:30" hidden="1" x14ac:dyDescent="0.25">
      <c r="A331" s="1" t="s">
        <v>1150</v>
      </c>
      <c r="B331" s="1" t="s">
        <v>323</v>
      </c>
      <c r="C331" s="1" t="s">
        <v>1336</v>
      </c>
      <c r="D331" s="4">
        <v>43483</v>
      </c>
      <c r="E331" s="6">
        <v>713700</v>
      </c>
      <c r="F331" s="6"/>
      <c r="G331" s="6">
        <v>2.6300079596710004</v>
      </c>
      <c r="H331" s="1"/>
      <c r="I331" s="1"/>
      <c r="J331" s="1"/>
      <c r="K331" s="1" t="s">
        <v>1736</v>
      </c>
      <c r="L331" s="1" t="s">
        <v>716</v>
      </c>
      <c r="M331" s="1"/>
      <c r="N331" s="1" t="s">
        <v>274</v>
      </c>
      <c r="O331" s="1"/>
      <c r="P331" s="1"/>
      <c r="Q331" s="2"/>
      <c r="R331" s="1"/>
      <c r="S331" s="4">
        <v>43489</v>
      </c>
      <c r="T331" s="4">
        <v>43504</v>
      </c>
      <c r="U331" s="1" t="s">
        <v>1956</v>
      </c>
      <c r="V331" s="5">
        <v>43497.521193350753</v>
      </c>
      <c r="W331" s="1" t="s">
        <v>195</v>
      </c>
      <c r="X331" s="6">
        <v>713700</v>
      </c>
      <c r="Y331" s="4">
        <v>43466</v>
      </c>
      <c r="Z331" s="4">
        <v>43830</v>
      </c>
      <c r="AA331" s="5">
        <v>43830</v>
      </c>
      <c r="AB331" s="1" t="s">
        <v>1971</v>
      </c>
      <c r="AC331" s="1"/>
      <c r="AD331" s="1"/>
    </row>
    <row r="332" spans="1:30" hidden="1" x14ac:dyDescent="0.25">
      <c r="A332" s="1" t="s">
        <v>1811</v>
      </c>
      <c r="B332" s="1" t="s">
        <v>609</v>
      </c>
      <c r="C332" s="1" t="s">
        <v>1147</v>
      </c>
      <c r="D332" s="4">
        <v>43481</v>
      </c>
      <c r="E332" s="6">
        <v>11100</v>
      </c>
      <c r="F332" s="6"/>
      <c r="G332" s="6">
        <v>5550</v>
      </c>
      <c r="H332" s="1" t="s">
        <v>1869</v>
      </c>
      <c r="I332" s="1"/>
      <c r="J332" s="1"/>
      <c r="K332" s="1" t="s">
        <v>1869</v>
      </c>
      <c r="L332" s="1" t="s">
        <v>494</v>
      </c>
      <c r="M332" s="1" t="s">
        <v>953</v>
      </c>
      <c r="N332" s="1" t="s">
        <v>118</v>
      </c>
      <c r="O332" s="1"/>
      <c r="P332" s="1"/>
      <c r="Q332" s="2"/>
      <c r="R332" s="5">
        <v>43490.42246510509</v>
      </c>
      <c r="S332" s="4">
        <v>43494</v>
      </c>
      <c r="T332" s="4">
        <v>43516</v>
      </c>
      <c r="U332" s="1" t="s">
        <v>1956</v>
      </c>
      <c r="V332" s="5">
        <v>43495.425237014628</v>
      </c>
      <c r="W332" s="1" t="s">
        <v>1952</v>
      </c>
      <c r="X332" s="6">
        <v>11100</v>
      </c>
      <c r="Y332" s="1"/>
      <c r="Z332" s="4">
        <v>43524</v>
      </c>
      <c r="AA332" s="5">
        <v>43830</v>
      </c>
      <c r="AB332" s="1" t="s">
        <v>1971</v>
      </c>
      <c r="AC332" s="1"/>
      <c r="AD332" s="1" t="s">
        <v>1168</v>
      </c>
    </row>
    <row r="333" spans="1:30" hidden="1" x14ac:dyDescent="0.25">
      <c r="A333" s="1" t="s">
        <v>1219</v>
      </c>
      <c r="B333" s="1" t="s">
        <v>660</v>
      </c>
      <c r="C333" s="1" t="s">
        <v>1147</v>
      </c>
      <c r="D333" s="4">
        <v>43481</v>
      </c>
      <c r="E333" s="6">
        <v>66750</v>
      </c>
      <c r="F333" s="6"/>
      <c r="G333" s="6">
        <v>33375</v>
      </c>
      <c r="H333" s="1" t="s">
        <v>1885</v>
      </c>
      <c r="I333" s="6">
        <v>13250</v>
      </c>
      <c r="J333" s="6">
        <v>0.16562499999999999</v>
      </c>
      <c r="K333" s="1" t="s">
        <v>1869</v>
      </c>
      <c r="L333" s="1" t="s">
        <v>494</v>
      </c>
      <c r="M333" s="1" t="s">
        <v>953</v>
      </c>
      <c r="N333" s="1" t="s">
        <v>118</v>
      </c>
      <c r="O333" s="1"/>
      <c r="P333" s="1"/>
      <c r="Q333" s="2" t="str">
        <f>HYPERLINK("https://auction.openprocurement.org/tenders/ebf56618ad064df5a64712ff6b600ca3")</f>
        <v>https://auction.openprocurement.org/tenders/ebf56618ad064df5a64712ff6b600ca3</v>
      </c>
      <c r="R333" s="5">
        <v>43494.5288353305</v>
      </c>
      <c r="S333" s="4">
        <v>43496</v>
      </c>
      <c r="T333" s="4">
        <v>43516</v>
      </c>
      <c r="U333" s="1" t="s">
        <v>1956</v>
      </c>
      <c r="V333" s="5">
        <v>43496.571949635778</v>
      </c>
      <c r="W333" s="1" t="s">
        <v>1952</v>
      </c>
      <c r="X333" s="6">
        <v>80000</v>
      </c>
      <c r="Y333" s="1"/>
      <c r="Z333" s="4">
        <v>43524</v>
      </c>
      <c r="AA333" s="5">
        <v>43830</v>
      </c>
      <c r="AB333" s="1" t="s">
        <v>1971</v>
      </c>
      <c r="AC333" s="1"/>
      <c r="AD333" s="1" t="s">
        <v>1168</v>
      </c>
    </row>
    <row r="334" spans="1:30" hidden="1" x14ac:dyDescent="0.25">
      <c r="A334" s="1" t="s">
        <v>1077</v>
      </c>
      <c r="B334" s="1" t="s">
        <v>732</v>
      </c>
      <c r="C334" s="1" t="s">
        <v>1147</v>
      </c>
      <c r="D334" s="4">
        <v>43479</v>
      </c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2"/>
      <c r="R334" s="1"/>
      <c r="S334" s="1"/>
      <c r="T334" s="1"/>
      <c r="U334" s="1" t="s">
        <v>1972</v>
      </c>
      <c r="V334" s="5">
        <v>43482.420575100252</v>
      </c>
      <c r="W334" s="1"/>
      <c r="X334" s="1"/>
      <c r="Y334" s="1"/>
      <c r="Z334" s="4">
        <v>43524</v>
      </c>
      <c r="AA334" s="1"/>
      <c r="AB334" s="1"/>
      <c r="AC334" s="1" t="s">
        <v>1976</v>
      </c>
      <c r="AD334" s="1"/>
    </row>
    <row r="335" spans="1:30" hidden="1" x14ac:dyDescent="0.25">
      <c r="A335" s="1" t="s">
        <v>1948</v>
      </c>
      <c r="B335" s="1" t="s">
        <v>812</v>
      </c>
      <c r="C335" s="1" t="s">
        <v>1157</v>
      </c>
      <c r="D335" s="4">
        <v>43473</v>
      </c>
      <c r="E335" s="6">
        <v>198000</v>
      </c>
      <c r="F335" s="6"/>
      <c r="G335" s="6">
        <v>198000</v>
      </c>
      <c r="H335" s="1"/>
      <c r="I335" s="1"/>
      <c r="J335" s="1"/>
      <c r="K335" s="1" t="s">
        <v>1757</v>
      </c>
      <c r="L335" s="1" t="s">
        <v>672</v>
      </c>
      <c r="M335" s="1"/>
      <c r="N335" s="1" t="s">
        <v>271</v>
      </c>
      <c r="O335" s="1"/>
      <c r="P335" s="1"/>
      <c r="Q335" s="2"/>
      <c r="R335" s="1"/>
      <c r="S335" s="1"/>
      <c r="T335" s="1"/>
      <c r="U335" s="1" t="s">
        <v>1956</v>
      </c>
      <c r="V335" s="5">
        <v>43473.6791842405</v>
      </c>
      <c r="W335" s="1" t="s">
        <v>431</v>
      </c>
      <c r="X335" s="6">
        <v>198000</v>
      </c>
      <c r="Y335" s="4">
        <v>43467</v>
      </c>
      <c r="Z335" s="4">
        <v>43830</v>
      </c>
      <c r="AA335" s="5">
        <v>43830</v>
      </c>
      <c r="AB335" s="1" t="s">
        <v>1971</v>
      </c>
      <c r="AC335" s="1"/>
      <c r="AD335" s="1" t="s">
        <v>1168</v>
      </c>
    </row>
    <row r="336" spans="1:30" hidden="1" x14ac:dyDescent="0.25">
      <c r="A336" s="1" t="s">
        <v>1090</v>
      </c>
      <c r="B336" s="1" t="s">
        <v>733</v>
      </c>
      <c r="C336" s="1" t="s">
        <v>1147</v>
      </c>
      <c r="D336" s="4">
        <v>43469</v>
      </c>
      <c r="E336" s="6">
        <v>158900</v>
      </c>
      <c r="F336" s="6"/>
      <c r="G336" s="6">
        <v>39725</v>
      </c>
      <c r="H336" s="1" t="s">
        <v>1869</v>
      </c>
      <c r="I336" s="6">
        <v>3960</v>
      </c>
      <c r="J336" s="6">
        <v>2.4315362888370381E-2</v>
      </c>
      <c r="K336" s="1" t="s">
        <v>1869</v>
      </c>
      <c r="L336" s="1" t="s">
        <v>494</v>
      </c>
      <c r="M336" s="1" t="s">
        <v>953</v>
      </c>
      <c r="N336" s="1" t="s">
        <v>118</v>
      </c>
      <c r="O336" s="6">
        <v>3960</v>
      </c>
      <c r="P336" s="6">
        <v>2.4315362888370381E-2</v>
      </c>
      <c r="Q336" s="2" t="str">
        <f>HYPERLINK("https://auction.openprocurement.org/tenders/0800628c4e7b49d793570fc9dca2110d")</f>
        <v>https://auction.openprocurement.org/tenders/0800628c4e7b49d793570fc9dca2110d</v>
      </c>
      <c r="R336" s="5">
        <v>43482.428198109083</v>
      </c>
      <c r="S336" s="4">
        <v>43486</v>
      </c>
      <c r="T336" s="4">
        <v>43506</v>
      </c>
      <c r="U336" s="1" t="s">
        <v>1956</v>
      </c>
      <c r="V336" s="5">
        <v>43487.692632194434</v>
      </c>
      <c r="W336" s="1" t="s">
        <v>1952</v>
      </c>
      <c r="X336" s="6">
        <v>158900</v>
      </c>
      <c r="Y336" s="1"/>
      <c r="Z336" s="4">
        <v>43490</v>
      </c>
      <c r="AA336" s="5">
        <v>43830</v>
      </c>
      <c r="AB336" s="1" t="s">
        <v>1971</v>
      </c>
      <c r="AC336" s="1"/>
      <c r="AD336" s="1" t="s">
        <v>1168</v>
      </c>
    </row>
    <row r="337" spans="1:30" hidden="1" x14ac:dyDescent="0.25">
      <c r="A337" s="1" t="s">
        <v>1381</v>
      </c>
      <c r="B337" s="1" t="s">
        <v>797</v>
      </c>
      <c r="C337" s="1" t="s">
        <v>1157</v>
      </c>
      <c r="D337" s="4">
        <v>43468</v>
      </c>
      <c r="E337" s="6">
        <v>35988</v>
      </c>
      <c r="F337" s="6"/>
      <c r="G337" s="6">
        <v>35988</v>
      </c>
      <c r="H337" s="1"/>
      <c r="I337" s="1"/>
      <c r="J337" s="1"/>
      <c r="K337" s="1" t="s">
        <v>1761</v>
      </c>
      <c r="L337" s="1" t="s">
        <v>369</v>
      </c>
      <c r="M337" s="1"/>
      <c r="N337" s="1" t="s">
        <v>275</v>
      </c>
      <c r="O337" s="1"/>
      <c r="P337" s="1"/>
      <c r="Q337" s="2"/>
      <c r="R337" s="1"/>
      <c r="S337" s="1"/>
      <c r="T337" s="1"/>
      <c r="U337" s="1" t="s">
        <v>1956</v>
      </c>
      <c r="V337" s="5">
        <v>43468.540588587457</v>
      </c>
      <c r="W337" s="1" t="s">
        <v>470</v>
      </c>
      <c r="X337" s="6">
        <v>35988</v>
      </c>
      <c r="Y337" s="4">
        <v>43466</v>
      </c>
      <c r="Z337" s="4">
        <v>43830</v>
      </c>
      <c r="AA337" s="5">
        <v>43830</v>
      </c>
      <c r="AB337" s="1" t="s">
        <v>1971</v>
      </c>
      <c r="AC337" s="1"/>
      <c r="AD337" s="1" t="s">
        <v>1168</v>
      </c>
    </row>
    <row r="338" spans="1:30" hidden="1" x14ac:dyDescent="0.25">
      <c r="A338" s="1" t="s">
        <v>1381</v>
      </c>
      <c r="B338" s="1" t="s">
        <v>797</v>
      </c>
      <c r="C338" s="1" t="s">
        <v>1157</v>
      </c>
      <c r="D338" s="4">
        <v>43468</v>
      </c>
      <c r="E338" s="6">
        <v>35988</v>
      </c>
      <c r="F338" s="6"/>
      <c r="G338" s="6">
        <v>35988</v>
      </c>
      <c r="H338" s="1"/>
      <c r="I338" s="1"/>
      <c r="J338" s="1"/>
      <c r="K338" s="1" t="s">
        <v>1761</v>
      </c>
      <c r="L338" s="1" t="s">
        <v>369</v>
      </c>
      <c r="M338" s="1"/>
      <c r="N338" s="1" t="s">
        <v>275</v>
      </c>
      <c r="O338" s="1"/>
      <c r="P338" s="1"/>
      <c r="Q338" s="2"/>
      <c r="R338" s="1"/>
      <c r="S338" s="1"/>
      <c r="T338" s="1"/>
      <c r="U338" s="1" t="s">
        <v>1956</v>
      </c>
      <c r="V338" s="5">
        <v>43468.533953734164</v>
      </c>
      <c r="W338" s="1" t="s">
        <v>470</v>
      </c>
      <c r="X338" s="6">
        <v>35988</v>
      </c>
      <c r="Y338" s="4">
        <v>43466</v>
      </c>
      <c r="Z338" s="4">
        <v>43830</v>
      </c>
      <c r="AA338" s="5">
        <v>43830</v>
      </c>
      <c r="AB338" s="1" t="s">
        <v>1971</v>
      </c>
      <c r="AC338" s="1"/>
      <c r="AD338" s="1" t="s">
        <v>1168</v>
      </c>
    </row>
    <row r="339" spans="1:30" hidden="1" x14ac:dyDescent="0.25">
      <c r="A339" s="1" t="s">
        <v>1471</v>
      </c>
      <c r="B339" s="1" t="s">
        <v>792</v>
      </c>
      <c r="C339" s="1" t="s">
        <v>1157</v>
      </c>
      <c r="D339" s="4">
        <v>43455</v>
      </c>
      <c r="E339" s="6">
        <v>20000</v>
      </c>
      <c r="F339" s="6"/>
      <c r="G339" s="6">
        <v>20000</v>
      </c>
      <c r="H339" s="1"/>
      <c r="I339" s="1"/>
      <c r="J339" s="1"/>
      <c r="K339" s="1" t="s">
        <v>1202</v>
      </c>
      <c r="L339" s="1" t="s">
        <v>482</v>
      </c>
      <c r="M339" s="1"/>
      <c r="N339" s="1" t="s">
        <v>312</v>
      </c>
      <c r="O339" s="1"/>
      <c r="P339" s="1"/>
      <c r="Q339" s="2"/>
      <c r="R339" s="1"/>
      <c r="S339" s="1"/>
      <c r="T339" s="1"/>
      <c r="U339" s="1" t="s">
        <v>1956</v>
      </c>
      <c r="V339" s="5">
        <v>43455.484538985569</v>
      </c>
      <c r="W339" s="1" t="s">
        <v>1952</v>
      </c>
      <c r="X339" s="6">
        <v>20000</v>
      </c>
      <c r="Y339" s="4">
        <v>43455</v>
      </c>
      <c r="Z339" s="4">
        <v>43465</v>
      </c>
      <c r="AA339" s="5">
        <v>43465</v>
      </c>
      <c r="AB339" s="1" t="s">
        <v>1971</v>
      </c>
      <c r="AC339" s="1"/>
      <c r="AD339" s="1" t="s">
        <v>1168</v>
      </c>
    </row>
    <row r="340" spans="1:30" hidden="1" x14ac:dyDescent="0.25">
      <c r="A340" s="1" t="s">
        <v>1045</v>
      </c>
      <c r="B340" s="1" t="s">
        <v>738</v>
      </c>
      <c r="C340" s="1" t="s">
        <v>1147</v>
      </c>
      <c r="D340" s="4">
        <v>43454</v>
      </c>
      <c r="E340" s="6">
        <v>20643</v>
      </c>
      <c r="F340" s="6"/>
      <c r="G340" s="6">
        <v>6881</v>
      </c>
      <c r="H340" s="1" t="s">
        <v>1664</v>
      </c>
      <c r="I340" s="1"/>
      <c r="J340" s="1"/>
      <c r="K340" s="1" t="s">
        <v>1664</v>
      </c>
      <c r="L340" s="1" t="s">
        <v>718</v>
      </c>
      <c r="M340" s="1" t="s">
        <v>957</v>
      </c>
      <c r="N340" s="1" t="s">
        <v>104</v>
      </c>
      <c r="O340" s="1"/>
      <c r="P340" s="1"/>
      <c r="Q340" s="2"/>
      <c r="R340" s="5">
        <v>43468.639058787463</v>
      </c>
      <c r="S340" s="4">
        <v>43474</v>
      </c>
      <c r="T340" s="4">
        <v>43490</v>
      </c>
      <c r="U340" s="1" t="s">
        <v>1956</v>
      </c>
      <c r="V340" s="5">
        <v>43476.487819634342</v>
      </c>
      <c r="W340" s="1" t="s">
        <v>212</v>
      </c>
      <c r="X340" s="6">
        <v>20643</v>
      </c>
      <c r="Y340" s="1"/>
      <c r="Z340" s="4">
        <v>43496</v>
      </c>
      <c r="AA340" s="5">
        <v>43830</v>
      </c>
      <c r="AB340" s="1" t="s">
        <v>1971</v>
      </c>
      <c r="AC340" s="1"/>
      <c r="AD340" s="1" t="s">
        <v>1168</v>
      </c>
    </row>
    <row r="341" spans="1:30" hidden="1" x14ac:dyDescent="0.25">
      <c r="A341" s="1" t="s">
        <v>1383</v>
      </c>
      <c r="B341" s="1" t="s">
        <v>763</v>
      </c>
      <c r="C341" s="1" t="s">
        <v>1147</v>
      </c>
      <c r="D341" s="4">
        <v>43454</v>
      </c>
      <c r="E341" s="6">
        <v>70635</v>
      </c>
      <c r="F341" s="6"/>
      <c r="G341" s="6">
        <v>85</v>
      </c>
      <c r="H341" s="1" t="s">
        <v>1855</v>
      </c>
      <c r="I341" s="6">
        <v>115</v>
      </c>
      <c r="J341" s="6">
        <v>1.6254416961130741E-3</v>
      </c>
      <c r="K341" s="1" t="s">
        <v>1855</v>
      </c>
      <c r="L341" s="1" t="s">
        <v>446</v>
      </c>
      <c r="M341" s="1" t="s">
        <v>918</v>
      </c>
      <c r="N341" s="1" t="s">
        <v>145</v>
      </c>
      <c r="O341" s="6">
        <v>115</v>
      </c>
      <c r="P341" s="6">
        <v>1.6254416961130741E-3</v>
      </c>
      <c r="Q341" s="2"/>
      <c r="R341" s="5">
        <v>43468.63761218109</v>
      </c>
      <c r="S341" s="4">
        <v>43474</v>
      </c>
      <c r="T341" s="4">
        <v>43490</v>
      </c>
      <c r="U341" s="1" t="s">
        <v>1956</v>
      </c>
      <c r="V341" s="5">
        <v>43476.494196799016</v>
      </c>
      <c r="W341" s="1" t="s">
        <v>1952</v>
      </c>
      <c r="X341" s="6">
        <v>70635</v>
      </c>
      <c r="Y341" s="1"/>
      <c r="Z341" s="4">
        <v>43830</v>
      </c>
      <c r="AA341" s="5">
        <v>43830</v>
      </c>
      <c r="AB341" s="1" t="s">
        <v>1971</v>
      </c>
      <c r="AC341" s="1"/>
      <c r="AD341" s="1" t="s">
        <v>1168</v>
      </c>
    </row>
    <row r="342" spans="1:30" hidden="1" x14ac:dyDescent="0.25">
      <c r="A342" s="1" t="s">
        <v>997</v>
      </c>
      <c r="B342" s="1" t="s">
        <v>753</v>
      </c>
      <c r="C342" s="1" t="s">
        <v>1081</v>
      </c>
      <c r="D342" s="4">
        <v>43453</v>
      </c>
      <c r="E342" s="6">
        <v>14398900.52</v>
      </c>
      <c r="F342" s="6"/>
      <c r="G342" s="6">
        <v>14398900.52</v>
      </c>
      <c r="H342" s="1" t="s">
        <v>1684</v>
      </c>
      <c r="I342" s="6">
        <v>29.560000000521541</v>
      </c>
      <c r="J342" s="6">
        <v>2.0529303105360688E-6</v>
      </c>
      <c r="K342" s="1" t="s">
        <v>1684</v>
      </c>
      <c r="L342" s="1" t="s">
        <v>582</v>
      </c>
      <c r="M342" s="1" t="s">
        <v>430</v>
      </c>
      <c r="N342" s="1" t="s">
        <v>171</v>
      </c>
      <c r="O342" s="6">
        <v>29.560000000521541</v>
      </c>
      <c r="P342" s="6">
        <v>2.0529303105360688E-6</v>
      </c>
      <c r="Q342" s="2" t="str">
        <f>HYPERLINK("https://auction.openprocurement.org/tenders/45bbdd5c4b9c45ffaeb973365815dca5")</f>
        <v>https://auction.openprocurement.org/tenders/45bbdd5c4b9c45ffaeb973365815dca5</v>
      </c>
      <c r="R342" s="5">
        <v>43476.593418313336</v>
      </c>
      <c r="S342" s="4">
        <v>43487</v>
      </c>
      <c r="T342" s="4">
        <v>43497</v>
      </c>
      <c r="U342" s="1" t="s">
        <v>1956</v>
      </c>
      <c r="V342" s="5">
        <v>43487.585355441253</v>
      </c>
      <c r="W342" s="1" t="s">
        <v>1952</v>
      </c>
      <c r="X342" s="6">
        <v>14398900.52</v>
      </c>
      <c r="Y342" s="1"/>
      <c r="Z342" s="4">
        <v>43830</v>
      </c>
      <c r="AA342" s="5">
        <v>43830</v>
      </c>
      <c r="AB342" s="1" t="s">
        <v>1971</v>
      </c>
      <c r="AC342" s="1"/>
      <c r="AD342" s="1"/>
    </row>
    <row r="343" spans="1:30" hidden="1" x14ac:dyDescent="0.25">
      <c r="A343" s="1" t="s">
        <v>1482</v>
      </c>
      <c r="B343" s="1" t="s">
        <v>781</v>
      </c>
      <c r="C343" s="1" t="s">
        <v>1335</v>
      </c>
      <c r="D343" s="4">
        <v>43453</v>
      </c>
      <c r="E343" s="6">
        <v>325338</v>
      </c>
      <c r="F343" s="6"/>
      <c r="G343" s="6">
        <v>8.8681785967399005</v>
      </c>
      <c r="H343" s="1"/>
      <c r="I343" s="1"/>
      <c r="J343" s="1"/>
      <c r="K343" s="1" t="s">
        <v>1173</v>
      </c>
      <c r="L343" s="1" t="s">
        <v>231</v>
      </c>
      <c r="M343" s="1"/>
      <c r="N343" s="1" t="s">
        <v>264</v>
      </c>
      <c r="O343" s="1"/>
      <c r="P343" s="1"/>
      <c r="Q343" s="2"/>
      <c r="R343" s="1"/>
      <c r="S343" s="1"/>
      <c r="T343" s="1"/>
      <c r="U343" s="1" t="s">
        <v>1972</v>
      </c>
      <c r="V343" s="5">
        <v>43475.433201608241</v>
      </c>
      <c r="W343" s="1"/>
      <c r="X343" s="6">
        <v>325338</v>
      </c>
      <c r="Y343" s="4">
        <v>43466</v>
      </c>
      <c r="Z343" s="4">
        <v>43830</v>
      </c>
      <c r="AA343" s="1"/>
      <c r="AB343" s="1" t="s">
        <v>1961</v>
      </c>
      <c r="AC343" s="1" t="s">
        <v>1962</v>
      </c>
      <c r="AD343" s="1"/>
    </row>
    <row r="344" spans="1:30" hidden="1" x14ac:dyDescent="0.25">
      <c r="A344" s="1" t="s">
        <v>1391</v>
      </c>
      <c r="B344" s="1" t="s">
        <v>769</v>
      </c>
      <c r="C344" s="1" t="s">
        <v>1147</v>
      </c>
      <c r="D344" s="4">
        <v>43452</v>
      </c>
      <c r="E344" s="6">
        <v>68550</v>
      </c>
      <c r="F344" s="6"/>
      <c r="G344" s="6">
        <v>68550</v>
      </c>
      <c r="H344" s="1" t="s">
        <v>1889</v>
      </c>
      <c r="I344" s="6">
        <v>5250</v>
      </c>
      <c r="J344" s="6">
        <v>7.113821138211382E-2</v>
      </c>
      <c r="K344" s="1" t="s">
        <v>1912</v>
      </c>
      <c r="L344" s="1" t="s">
        <v>491</v>
      </c>
      <c r="M344" s="1" t="s">
        <v>954</v>
      </c>
      <c r="N344" s="1" t="s">
        <v>83</v>
      </c>
      <c r="O344" s="6">
        <v>5240</v>
      </c>
      <c r="P344" s="6">
        <v>7.1002710027100277E-2</v>
      </c>
      <c r="Q344" s="2" t="str">
        <f>HYPERLINK("https://auction.openprocurement.org/tenders/fc0aacf606d14924a3cb8e52e7c3efdc")</f>
        <v>https://auction.openprocurement.org/tenders/fc0aacf606d14924a3cb8e52e7c3efdc</v>
      </c>
      <c r="R344" s="5">
        <v>43473.499483928033</v>
      </c>
      <c r="S344" s="4">
        <v>43476</v>
      </c>
      <c r="T344" s="4">
        <v>43485</v>
      </c>
      <c r="U344" s="1" t="s">
        <v>1956</v>
      </c>
      <c r="V344" s="5">
        <v>43479.337028983937</v>
      </c>
      <c r="W344" s="1" t="s">
        <v>1952</v>
      </c>
      <c r="X344" s="6">
        <v>68560</v>
      </c>
      <c r="Y344" s="1"/>
      <c r="Z344" s="4">
        <v>43496</v>
      </c>
      <c r="AA344" s="5">
        <v>43830</v>
      </c>
      <c r="AB344" s="1" t="s">
        <v>1971</v>
      </c>
      <c r="AC344" s="1"/>
      <c r="AD344" s="1" t="s">
        <v>1168</v>
      </c>
    </row>
    <row r="345" spans="1:30" hidden="1" x14ac:dyDescent="0.25">
      <c r="A345" s="1" t="s">
        <v>1478</v>
      </c>
      <c r="B345" s="1" t="s">
        <v>769</v>
      </c>
      <c r="C345" s="1" t="s">
        <v>1157</v>
      </c>
      <c r="D345" s="4">
        <v>43452</v>
      </c>
      <c r="E345" s="6">
        <v>93490</v>
      </c>
      <c r="F345" s="6"/>
      <c r="G345" s="6">
        <v>93490</v>
      </c>
      <c r="H345" s="1"/>
      <c r="I345" s="1"/>
      <c r="J345" s="1"/>
      <c r="K345" s="1" t="s">
        <v>1591</v>
      </c>
      <c r="L345" s="1" t="s">
        <v>507</v>
      </c>
      <c r="M345" s="1"/>
      <c r="N345" s="1" t="s">
        <v>298</v>
      </c>
      <c r="O345" s="1"/>
      <c r="P345" s="1"/>
      <c r="Q345" s="2"/>
      <c r="R345" s="1"/>
      <c r="S345" s="1"/>
      <c r="T345" s="1"/>
      <c r="U345" s="1" t="s">
        <v>1956</v>
      </c>
      <c r="V345" s="5">
        <v>43452.663635134755</v>
      </c>
      <c r="W345" s="1" t="s">
        <v>1952</v>
      </c>
      <c r="X345" s="6">
        <v>93490</v>
      </c>
      <c r="Y345" s="4">
        <v>43201</v>
      </c>
      <c r="Z345" s="4">
        <v>43465</v>
      </c>
      <c r="AA345" s="5">
        <v>43465</v>
      </c>
      <c r="AB345" s="1" t="s">
        <v>1971</v>
      </c>
      <c r="AC345" s="1"/>
      <c r="AD345" s="1"/>
    </row>
    <row r="346" spans="1:30" hidden="1" x14ac:dyDescent="0.25">
      <c r="A346" s="1" t="s">
        <v>1430</v>
      </c>
      <c r="B346" s="1" t="s">
        <v>817</v>
      </c>
      <c r="C346" s="1" t="s">
        <v>1081</v>
      </c>
      <c r="D346" s="4">
        <v>43452</v>
      </c>
      <c r="E346" s="6">
        <v>492239.4</v>
      </c>
      <c r="F346" s="6"/>
      <c r="G346" s="6">
        <v>492239.4</v>
      </c>
      <c r="H346" s="1" t="s">
        <v>1671</v>
      </c>
      <c r="I346" s="6">
        <v>2760.5999999999767</v>
      </c>
      <c r="J346" s="6">
        <v>5.5769696969696497E-3</v>
      </c>
      <c r="K346" s="1" t="s">
        <v>1671</v>
      </c>
      <c r="L346" s="1" t="s">
        <v>623</v>
      </c>
      <c r="M346" s="1" t="s">
        <v>906</v>
      </c>
      <c r="N346" s="1" t="s">
        <v>86</v>
      </c>
      <c r="O346" s="6">
        <v>2760.5999999999767</v>
      </c>
      <c r="P346" s="6">
        <v>5.5769696969696497E-3</v>
      </c>
      <c r="Q346" s="2" t="str">
        <f>HYPERLINK("https://auction.openprocurement.org/tenders/ba7329560f1f46b5bcc761458e495a87")</f>
        <v>https://auction.openprocurement.org/tenders/ba7329560f1f46b5bcc761458e495a87</v>
      </c>
      <c r="R346" s="5">
        <v>43469.441730794882</v>
      </c>
      <c r="S346" s="4">
        <v>43480</v>
      </c>
      <c r="T346" s="4">
        <v>43490</v>
      </c>
      <c r="U346" s="1" t="s">
        <v>1956</v>
      </c>
      <c r="V346" s="5">
        <v>43480.617342086574</v>
      </c>
      <c r="W346" s="1" t="s">
        <v>450</v>
      </c>
      <c r="X346" s="6">
        <v>492239.4</v>
      </c>
      <c r="Y346" s="4">
        <v>43470</v>
      </c>
      <c r="Z346" s="4">
        <v>43830</v>
      </c>
      <c r="AA346" s="5">
        <v>43830</v>
      </c>
      <c r="AB346" s="1" t="s">
        <v>1971</v>
      </c>
      <c r="AC346" s="1"/>
      <c r="AD346" s="1"/>
    </row>
    <row r="347" spans="1:30" hidden="1" x14ac:dyDescent="0.25">
      <c r="A347" s="1" t="s">
        <v>1331</v>
      </c>
      <c r="B347" s="1" t="s">
        <v>527</v>
      </c>
      <c r="C347" s="1" t="s">
        <v>1147</v>
      </c>
      <c r="D347" s="4">
        <v>43451</v>
      </c>
      <c r="E347" s="6">
        <v>17724.599999999999</v>
      </c>
      <c r="F347" s="6"/>
      <c r="G347" s="6">
        <v>82.44</v>
      </c>
      <c r="H347" s="1" t="s">
        <v>1754</v>
      </c>
      <c r="I347" s="6">
        <v>2141.4000000000015</v>
      </c>
      <c r="J347" s="6">
        <v>0.10779220779220787</v>
      </c>
      <c r="K347" s="1" t="s">
        <v>1754</v>
      </c>
      <c r="L347" s="1" t="s">
        <v>483</v>
      </c>
      <c r="M347" s="1" t="s">
        <v>862</v>
      </c>
      <c r="N347" s="1" t="s">
        <v>152</v>
      </c>
      <c r="O347" s="6">
        <v>2141.4000000000015</v>
      </c>
      <c r="P347" s="6">
        <v>0.10779220779220787</v>
      </c>
      <c r="Q347" s="2"/>
      <c r="R347" s="5">
        <v>43461.42509537928</v>
      </c>
      <c r="S347" s="4">
        <v>43465</v>
      </c>
      <c r="T347" s="4">
        <v>43484</v>
      </c>
      <c r="U347" s="1" t="s">
        <v>1956</v>
      </c>
      <c r="V347" s="5">
        <v>43473.610097009281</v>
      </c>
      <c r="W347" s="1" t="s">
        <v>1952</v>
      </c>
      <c r="X347" s="6">
        <v>17724.599999999999</v>
      </c>
      <c r="Y347" s="1"/>
      <c r="Z347" s="4">
        <v>43480</v>
      </c>
      <c r="AA347" s="5">
        <v>43830</v>
      </c>
      <c r="AB347" s="1" t="s">
        <v>1971</v>
      </c>
      <c r="AC347" s="1"/>
      <c r="AD347" s="1" t="s">
        <v>1168</v>
      </c>
    </row>
    <row r="348" spans="1:30" hidden="1" x14ac:dyDescent="0.25">
      <c r="A348" s="1" t="s">
        <v>1328</v>
      </c>
      <c r="B348" s="1" t="s">
        <v>428</v>
      </c>
      <c r="C348" s="1" t="s">
        <v>1157</v>
      </c>
      <c r="D348" s="4">
        <v>43448</v>
      </c>
      <c r="E348" s="6">
        <v>37443.54</v>
      </c>
      <c r="F348" s="6"/>
      <c r="G348" s="6">
        <v>22.064549204478492</v>
      </c>
      <c r="H348" s="1"/>
      <c r="I348" s="1"/>
      <c r="J348" s="1"/>
      <c r="K348" s="1" t="s">
        <v>1750</v>
      </c>
      <c r="L348" s="1" t="s">
        <v>664</v>
      </c>
      <c r="M348" s="1"/>
      <c r="N348" s="1" t="s">
        <v>287</v>
      </c>
      <c r="O348" s="1"/>
      <c r="P348" s="1"/>
      <c r="Q348" s="2"/>
      <c r="R348" s="1"/>
      <c r="S348" s="1"/>
      <c r="T348" s="1"/>
      <c r="U348" s="1" t="s">
        <v>1956</v>
      </c>
      <c r="V348" s="5">
        <v>43448.427900868774</v>
      </c>
      <c r="W348" s="1" t="s">
        <v>1581</v>
      </c>
      <c r="X348" s="6">
        <v>37443.54</v>
      </c>
      <c r="Y348" s="1"/>
      <c r="Z348" s="4">
        <v>43465</v>
      </c>
      <c r="AA348" s="5">
        <v>43465</v>
      </c>
      <c r="AB348" s="1" t="s">
        <v>1971</v>
      </c>
      <c r="AC348" s="1"/>
      <c r="AD348" s="1"/>
    </row>
    <row r="349" spans="1:30" hidden="1" x14ac:dyDescent="0.25">
      <c r="A349" s="1" t="s">
        <v>1078</v>
      </c>
      <c r="B349" s="1" t="s">
        <v>838</v>
      </c>
      <c r="C349" s="1" t="s">
        <v>1147</v>
      </c>
      <c r="D349" s="4">
        <v>43446</v>
      </c>
      <c r="E349" s="6">
        <v>135280</v>
      </c>
      <c r="F349" s="6"/>
      <c r="G349" s="6">
        <v>356</v>
      </c>
      <c r="H349" s="1" t="s">
        <v>1760</v>
      </c>
      <c r="I349" s="6">
        <v>48674</v>
      </c>
      <c r="J349" s="6">
        <v>0.26459875838524849</v>
      </c>
      <c r="K349" s="1" t="s">
        <v>1844</v>
      </c>
      <c r="L349" s="1" t="s">
        <v>457</v>
      </c>
      <c r="M349" s="1" t="s">
        <v>909</v>
      </c>
      <c r="N349" s="1" t="s">
        <v>126</v>
      </c>
      <c r="O349" s="6">
        <v>38454</v>
      </c>
      <c r="P349" s="6">
        <v>0.20904139078247821</v>
      </c>
      <c r="Q349" s="2" t="str">
        <f>HYPERLINK("https://auction.openprocurement.org/tenders/5ea8203c628243fe94bb77862c057401")</f>
        <v>https://auction.openprocurement.org/tenders/5ea8203c628243fe94bb77862c057401</v>
      </c>
      <c r="R349" s="5">
        <v>43460.46092952777</v>
      </c>
      <c r="S349" s="4">
        <v>43462</v>
      </c>
      <c r="T349" s="4">
        <v>43481</v>
      </c>
      <c r="U349" s="1" t="s">
        <v>1956</v>
      </c>
      <c r="V349" s="5">
        <v>43475.416872165471</v>
      </c>
      <c r="W349" s="1" t="s">
        <v>1951</v>
      </c>
      <c r="X349" s="6">
        <v>145500</v>
      </c>
      <c r="Y349" s="4">
        <v>43466</v>
      </c>
      <c r="Z349" s="4">
        <v>43830</v>
      </c>
      <c r="AA349" s="5">
        <v>43830</v>
      </c>
      <c r="AB349" s="1" t="s">
        <v>1971</v>
      </c>
      <c r="AC349" s="1"/>
      <c r="AD349" s="1" t="s">
        <v>1168</v>
      </c>
    </row>
    <row r="350" spans="1:30" hidden="1" x14ac:dyDescent="0.25">
      <c r="A350" s="1" t="s">
        <v>1353</v>
      </c>
      <c r="B350" s="1" t="s">
        <v>834</v>
      </c>
      <c r="C350" s="1" t="s">
        <v>1147</v>
      </c>
      <c r="D350" s="4">
        <v>43445</v>
      </c>
      <c r="E350" s="6">
        <v>120000.71</v>
      </c>
      <c r="F350" s="6"/>
      <c r="G350" s="6">
        <v>103.35978466838932</v>
      </c>
      <c r="H350" s="1" t="s">
        <v>1627</v>
      </c>
      <c r="I350" s="6">
        <v>14514.689999999988</v>
      </c>
      <c r="J350" s="6">
        <v>0.10790355602406854</v>
      </c>
      <c r="K350" s="1" t="s">
        <v>1177</v>
      </c>
      <c r="L350" s="1" t="s">
        <v>568</v>
      </c>
      <c r="M350" s="1" t="s">
        <v>901</v>
      </c>
      <c r="N350" s="1" t="s">
        <v>151</v>
      </c>
      <c r="O350" s="6">
        <v>14514.679999999993</v>
      </c>
      <c r="P350" s="6">
        <v>0.1079034816831381</v>
      </c>
      <c r="Q350" s="2" t="str">
        <f>HYPERLINK("https://auction.openprocurement.org/tenders/0a3a22e309bc491fa577d60e49c72ad2")</f>
        <v>https://auction.openprocurement.org/tenders/0a3a22e309bc491fa577d60e49c72ad2</v>
      </c>
      <c r="R350" s="5">
        <v>43456.579782004061</v>
      </c>
      <c r="S350" s="4">
        <v>43461</v>
      </c>
      <c r="T350" s="4">
        <v>43478</v>
      </c>
      <c r="U350" s="1" t="s">
        <v>1956</v>
      </c>
      <c r="V350" s="5">
        <v>43473.615078111157</v>
      </c>
      <c r="W350" s="1" t="s">
        <v>1952</v>
      </c>
      <c r="X350" s="6">
        <v>120000.72</v>
      </c>
      <c r="Y350" s="4">
        <v>43466</v>
      </c>
      <c r="Z350" s="4">
        <v>43830</v>
      </c>
      <c r="AA350" s="5">
        <v>43830</v>
      </c>
      <c r="AB350" s="1" t="s">
        <v>1971</v>
      </c>
      <c r="AC350" s="1"/>
      <c r="AD350" s="1" t="s">
        <v>1168</v>
      </c>
    </row>
    <row r="351" spans="1:30" hidden="1" x14ac:dyDescent="0.25">
      <c r="A351" s="1" t="s">
        <v>1328</v>
      </c>
      <c r="B351" s="1" t="s">
        <v>428</v>
      </c>
      <c r="C351" s="1" t="s">
        <v>1147</v>
      </c>
      <c r="D351" s="4">
        <v>43434</v>
      </c>
      <c r="E351" s="6">
        <v>11380.2</v>
      </c>
      <c r="F351" s="6"/>
      <c r="G351" s="6">
        <v>29.558961038961041</v>
      </c>
      <c r="H351" s="1" t="s">
        <v>1691</v>
      </c>
      <c r="I351" s="6">
        <v>26070.799999999999</v>
      </c>
      <c r="J351" s="6">
        <v>0.69613094443406054</v>
      </c>
      <c r="K351" s="1"/>
      <c r="L351" s="1"/>
      <c r="M351" s="1"/>
      <c r="N351" s="1"/>
      <c r="O351" s="1"/>
      <c r="P351" s="1"/>
      <c r="Q351" s="2" t="str">
        <f>HYPERLINK("https://auction.openprocurement.org/tenders/d9daa04a9a0d47a5a8279898f6c3c1d2")</f>
        <v>https://auction.openprocurement.org/tenders/d9daa04a9a0d47a5a8279898f6c3c1d2</v>
      </c>
      <c r="R351" s="5">
        <v>43445.660256036375</v>
      </c>
      <c r="S351" s="1"/>
      <c r="T351" s="1"/>
      <c r="U351" s="1" t="s">
        <v>1957</v>
      </c>
      <c r="V351" s="5">
        <v>43447.660911776758</v>
      </c>
      <c r="W351" s="1"/>
      <c r="X351" s="1"/>
      <c r="Y351" s="1"/>
      <c r="Z351" s="4">
        <v>43465</v>
      </c>
      <c r="AA351" s="1"/>
      <c r="AB351" s="1"/>
      <c r="AC351" s="1"/>
      <c r="AD351" s="1"/>
    </row>
    <row r="352" spans="1:30" hidden="1" x14ac:dyDescent="0.25">
      <c r="A352" s="1" t="s">
        <v>1413</v>
      </c>
      <c r="B352" s="1" t="s">
        <v>822</v>
      </c>
      <c r="C352" s="1" t="s">
        <v>1081</v>
      </c>
      <c r="D352" s="4">
        <v>43434</v>
      </c>
      <c r="E352" s="6">
        <v>1393000</v>
      </c>
      <c r="F352" s="6"/>
      <c r="G352" s="6">
        <v>232166.66666666666</v>
      </c>
      <c r="H352" s="1" t="s">
        <v>1656</v>
      </c>
      <c r="I352" s="6">
        <v>7000</v>
      </c>
      <c r="J352" s="6">
        <v>5.0000000000000001E-3</v>
      </c>
      <c r="K352" s="1" t="s">
        <v>1656</v>
      </c>
      <c r="L352" s="1" t="s">
        <v>636</v>
      </c>
      <c r="M352" s="1" t="s">
        <v>947</v>
      </c>
      <c r="N352" s="1" t="s">
        <v>124</v>
      </c>
      <c r="O352" s="6">
        <v>7000</v>
      </c>
      <c r="P352" s="6">
        <v>5.0000000000000001E-3</v>
      </c>
      <c r="Q352" s="2" t="str">
        <f>HYPERLINK("https://auction.openprocurement.org/tenders/859cf5c64f6e4ffa89c8f0eff5a093a0")</f>
        <v>https://auction.openprocurement.org/tenders/859cf5c64f6e4ffa89c8f0eff5a093a0</v>
      </c>
      <c r="R352" s="5">
        <v>43452.446639128822</v>
      </c>
      <c r="S352" s="4">
        <v>43463</v>
      </c>
      <c r="T352" s="4">
        <v>43473</v>
      </c>
      <c r="U352" s="1" t="s">
        <v>1956</v>
      </c>
      <c r="V352" s="5">
        <v>43468.521618724029</v>
      </c>
      <c r="W352" s="1" t="s">
        <v>1952</v>
      </c>
      <c r="X352" s="6">
        <v>1393000</v>
      </c>
      <c r="Y352" s="4">
        <v>43472</v>
      </c>
      <c r="Z352" s="4">
        <v>43716</v>
      </c>
      <c r="AA352" s="5">
        <v>43830</v>
      </c>
      <c r="AB352" s="1" t="s">
        <v>1971</v>
      </c>
      <c r="AC352" s="1"/>
      <c r="AD352" s="1"/>
    </row>
    <row r="353" spans="1:30" hidden="1" x14ac:dyDescent="0.25">
      <c r="A353" s="1" t="s">
        <v>1069</v>
      </c>
      <c r="B353" s="1" t="s">
        <v>662</v>
      </c>
      <c r="C353" s="1" t="s">
        <v>1147</v>
      </c>
      <c r="D353" s="4">
        <v>43433</v>
      </c>
      <c r="E353" s="6">
        <v>82208</v>
      </c>
      <c r="F353" s="6"/>
      <c r="G353" s="6">
        <v>82208</v>
      </c>
      <c r="H353" s="1" t="s">
        <v>1664</v>
      </c>
      <c r="I353" s="1"/>
      <c r="J353" s="1"/>
      <c r="K353" s="1" t="s">
        <v>1664</v>
      </c>
      <c r="L353" s="1" t="s">
        <v>718</v>
      </c>
      <c r="M353" s="1" t="s">
        <v>957</v>
      </c>
      <c r="N353" s="1" t="s">
        <v>104</v>
      </c>
      <c r="O353" s="1"/>
      <c r="P353" s="1"/>
      <c r="Q353" s="2"/>
      <c r="R353" s="5">
        <v>43444.460200910558</v>
      </c>
      <c r="S353" s="4">
        <v>43446</v>
      </c>
      <c r="T353" s="4">
        <v>43468</v>
      </c>
      <c r="U353" s="1" t="s">
        <v>1956</v>
      </c>
      <c r="V353" s="5">
        <v>43447.618493120382</v>
      </c>
      <c r="W353" s="1" t="s">
        <v>519</v>
      </c>
      <c r="X353" s="6">
        <v>82208</v>
      </c>
      <c r="Y353" s="1"/>
      <c r="Z353" s="4">
        <v>43465</v>
      </c>
      <c r="AA353" s="5">
        <v>43465</v>
      </c>
      <c r="AB353" s="1" t="s">
        <v>1971</v>
      </c>
      <c r="AC353" s="1"/>
      <c r="AD353" s="1"/>
    </row>
    <row r="354" spans="1:30" hidden="1" x14ac:dyDescent="0.25">
      <c r="A354" s="1" t="s">
        <v>1094</v>
      </c>
      <c r="B354" s="1" t="s">
        <v>741</v>
      </c>
      <c r="C354" s="1" t="s">
        <v>1147</v>
      </c>
      <c r="D354" s="4">
        <v>43433</v>
      </c>
      <c r="E354" s="6">
        <v>55840</v>
      </c>
      <c r="F354" s="6"/>
      <c r="G354" s="6">
        <v>193.88888888888889</v>
      </c>
      <c r="H354" s="1" t="s">
        <v>1848</v>
      </c>
      <c r="I354" s="6">
        <v>22160</v>
      </c>
      <c r="J354" s="6">
        <v>0.28410256410256413</v>
      </c>
      <c r="K354" s="1" t="s">
        <v>1875</v>
      </c>
      <c r="L354" s="1" t="s">
        <v>605</v>
      </c>
      <c r="M354" s="1" t="s">
        <v>929</v>
      </c>
      <c r="N354" s="1" t="s">
        <v>115</v>
      </c>
      <c r="O354" s="1"/>
      <c r="P354" s="1"/>
      <c r="Q354" s="2" t="str">
        <f>HYPERLINK("https://auction.openprocurement.org/tenders/d5a2101061f646d78a922ce7e5623484")</f>
        <v>https://auction.openprocurement.org/tenders/d5a2101061f646d78a922ce7e5623484</v>
      </c>
      <c r="R354" s="5">
        <v>43446.616040826251</v>
      </c>
      <c r="S354" s="4">
        <v>43448</v>
      </c>
      <c r="T354" s="4">
        <v>43468</v>
      </c>
      <c r="U354" s="1" t="s">
        <v>1956</v>
      </c>
      <c r="V354" s="5">
        <v>43455.589203505777</v>
      </c>
      <c r="W354" s="1" t="s">
        <v>1952</v>
      </c>
      <c r="X354" s="6">
        <v>78000</v>
      </c>
      <c r="Y354" s="1"/>
      <c r="Z354" s="4">
        <v>43465</v>
      </c>
      <c r="AA354" s="5">
        <v>43465</v>
      </c>
      <c r="AB354" s="1" t="s">
        <v>1971</v>
      </c>
      <c r="AC354" s="1"/>
      <c r="AD354" s="1"/>
    </row>
    <row r="355" spans="1:30" hidden="1" x14ac:dyDescent="0.25">
      <c r="A355" s="1" t="s">
        <v>1151</v>
      </c>
      <c r="B355" s="1" t="s">
        <v>323</v>
      </c>
      <c r="C355" s="1" t="s">
        <v>1081</v>
      </c>
      <c r="D355" s="4">
        <v>43432</v>
      </c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2"/>
      <c r="R355" s="1"/>
      <c r="S355" s="1"/>
      <c r="T355" s="1"/>
      <c r="U355" s="1" t="s">
        <v>1957</v>
      </c>
      <c r="V355" s="5">
        <v>43447.583821463493</v>
      </c>
      <c r="W355" s="1"/>
      <c r="X355" s="1"/>
      <c r="Y355" s="4">
        <v>43466</v>
      </c>
      <c r="Z355" s="4">
        <v>43830</v>
      </c>
      <c r="AA355" s="1"/>
      <c r="AB355" s="1"/>
      <c r="AC355" s="1"/>
      <c r="AD355" s="1"/>
    </row>
    <row r="356" spans="1:30" hidden="1" x14ac:dyDescent="0.25">
      <c r="A356" s="1" t="s">
        <v>1427</v>
      </c>
      <c r="B356" s="1" t="s">
        <v>817</v>
      </c>
      <c r="C356" s="1" t="s">
        <v>1081</v>
      </c>
      <c r="D356" s="4">
        <v>43432</v>
      </c>
      <c r="E356" s="6">
        <v>2487172</v>
      </c>
      <c r="F356" s="6"/>
      <c r="G356" s="6">
        <v>829057.33333333337</v>
      </c>
      <c r="H356" s="1" t="s">
        <v>1037</v>
      </c>
      <c r="I356" s="6">
        <v>12828</v>
      </c>
      <c r="J356" s="6">
        <v>5.1311999999999998E-3</v>
      </c>
      <c r="K356" s="1" t="s">
        <v>1037</v>
      </c>
      <c r="L356" s="1" t="s">
        <v>658</v>
      </c>
      <c r="M356" s="1" t="s">
        <v>871</v>
      </c>
      <c r="N356" s="1" t="s">
        <v>103</v>
      </c>
      <c r="O356" s="6">
        <v>12828</v>
      </c>
      <c r="P356" s="6">
        <v>5.1311999999999998E-3</v>
      </c>
      <c r="Q356" s="2" t="str">
        <f>HYPERLINK("https://auction.openprocurement.org/tenders/b517297ba693474880e664c0ee6ab07e_5bdb6778899b45fdab33b8276d5f8d2a")</f>
        <v>https://auction.openprocurement.org/tenders/b517297ba693474880e664c0ee6ab07e_5bdb6778899b45fdab33b8276d5f8d2a</v>
      </c>
      <c r="R356" s="1"/>
      <c r="S356" s="4">
        <v>43462</v>
      </c>
      <c r="T356" s="4">
        <v>43472</v>
      </c>
      <c r="U356" s="1" t="s">
        <v>1955</v>
      </c>
      <c r="V356" s="5">
        <v>43462.648502284595</v>
      </c>
      <c r="W356" s="1" t="s">
        <v>1952</v>
      </c>
      <c r="X356" s="6">
        <v>2487172</v>
      </c>
      <c r="Y356" s="4">
        <v>43466</v>
      </c>
      <c r="Z356" s="4">
        <v>43830</v>
      </c>
      <c r="AA356" s="5">
        <v>43830</v>
      </c>
      <c r="AB356" s="1" t="s">
        <v>1971</v>
      </c>
      <c r="AC356" s="1"/>
      <c r="AD356" s="1"/>
    </row>
    <row r="357" spans="1:30" hidden="1" x14ac:dyDescent="0.25">
      <c r="A357" s="1" t="s">
        <v>1428</v>
      </c>
      <c r="B357" s="1" t="s">
        <v>817</v>
      </c>
      <c r="C357" s="1" t="s">
        <v>1081</v>
      </c>
      <c r="D357" s="4">
        <v>43432</v>
      </c>
      <c r="E357" s="6">
        <v>497345.6</v>
      </c>
      <c r="F357" s="6"/>
      <c r="G357" s="6">
        <v>497345.6</v>
      </c>
      <c r="H357" s="1" t="s">
        <v>1671</v>
      </c>
      <c r="I357" s="6">
        <v>2654.4000000000233</v>
      </c>
      <c r="J357" s="6">
        <v>5.3088000000000466E-3</v>
      </c>
      <c r="K357" s="1"/>
      <c r="L357" s="1"/>
      <c r="M357" s="1"/>
      <c r="N357" s="1"/>
      <c r="O357" s="1"/>
      <c r="P357" s="1"/>
      <c r="Q357" s="2" t="str">
        <f>HYPERLINK("https://auction.openprocurement.org/tenders/b517297ba693474880e664c0ee6ab07e_d7e673465a4b44a9b991f8f4ad9afacd")</f>
        <v>https://auction.openprocurement.org/tenders/b517297ba693474880e664c0ee6ab07e_d7e673465a4b44a9b991f8f4ad9afacd</v>
      </c>
      <c r="R357" s="1"/>
      <c r="S357" s="1"/>
      <c r="T357" s="1"/>
      <c r="U357" s="1" t="s">
        <v>1973</v>
      </c>
      <c r="V357" s="5">
        <v>43451.704817301004</v>
      </c>
      <c r="W357" s="1"/>
      <c r="X357" s="1"/>
      <c r="Y357" s="4">
        <v>43466</v>
      </c>
      <c r="Z357" s="4">
        <v>43830</v>
      </c>
      <c r="AA357" s="1"/>
      <c r="AB357" s="1"/>
      <c r="AC357" s="1" t="s">
        <v>1806</v>
      </c>
      <c r="AD357" s="1"/>
    </row>
    <row r="358" spans="1:30" hidden="1" x14ac:dyDescent="0.25">
      <c r="A358" s="1" t="s">
        <v>1457</v>
      </c>
      <c r="B358" s="1" t="s">
        <v>751</v>
      </c>
      <c r="C358" s="1" t="s">
        <v>1081</v>
      </c>
      <c r="D358" s="4">
        <v>43431</v>
      </c>
      <c r="E358" s="6">
        <v>39573.050000000003</v>
      </c>
      <c r="F358" s="6"/>
      <c r="G358" s="6">
        <v>39573.050000000003</v>
      </c>
      <c r="H358" s="1" t="s">
        <v>1633</v>
      </c>
      <c r="I358" s="6">
        <v>198.84999999999854</v>
      </c>
      <c r="J358" s="6">
        <v>4.9997611378887743E-3</v>
      </c>
      <c r="K358" s="1" t="s">
        <v>1633</v>
      </c>
      <c r="L358" s="1" t="s">
        <v>628</v>
      </c>
      <c r="M358" s="1" t="s">
        <v>866</v>
      </c>
      <c r="N358" s="1" t="s">
        <v>179</v>
      </c>
      <c r="O358" s="6">
        <v>198.84999999999854</v>
      </c>
      <c r="P358" s="6">
        <v>4.9997611378887743E-3</v>
      </c>
      <c r="Q358" s="2" t="str">
        <f>HYPERLINK("https://auction.openprocurement.org/tenders/e8ec44f2a0f84fb7b196d0f3c22521c5")</f>
        <v>https://auction.openprocurement.org/tenders/e8ec44f2a0f84fb7b196d0f3c22521c5</v>
      </c>
      <c r="R358" s="5">
        <v>43453.531764170395</v>
      </c>
      <c r="S358" s="4">
        <v>43464</v>
      </c>
      <c r="T358" s="4">
        <v>43474</v>
      </c>
      <c r="U358" s="1" t="s">
        <v>1956</v>
      </c>
      <c r="V358" s="5">
        <v>43468.526060785116</v>
      </c>
      <c r="W358" s="1" t="s">
        <v>207</v>
      </c>
      <c r="X358" s="6">
        <v>39573.050000000003</v>
      </c>
      <c r="Y358" s="1"/>
      <c r="Z358" s="4">
        <v>43496</v>
      </c>
      <c r="AA358" s="5">
        <v>43830</v>
      </c>
      <c r="AB358" s="1" t="s">
        <v>1971</v>
      </c>
      <c r="AC358" s="1"/>
      <c r="AD358" s="1" t="s">
        <v>1168</v>
      </c>
    </row>
    <row r="359" spans="1:30" hidden="1" x14ac:dyDescent="0.25">
      <c r="A359" s="1" t="s">
        <v>1286</v>
      </c>
      <c r="B359" s="1" t="s">
        <v>681</v>
      </c>
      <c r="C359" s="1" t="s">
        <v>1147</v>
      </c>
      <c r="D359" s="4">
        <v>43431</v>
      </c>
      <c r="E359" s="6">
        <v>14760</v>
      </c>
      <c r="F359" s="6"/>
      <c r="G359" s="6">
        <v>1054.2857142857142</v>
      </c>
      <c r="H359" s="1" t="s">
        <v>1307</v>
      </c>
      <c r="I359" s="6">
        <v>18040</v>
      </c>
      <c r="J359" s="6">
        <v>0.55000000000000004</v>
      </c>
      <c r="K359" s="1" t="s">
        <v>1874</v>
      </c>
      <c r="L359" s="1" t="s">
        <v>495</v>
      </c>
      <c r="M359" s="1" t="s">
        <v>982</v>
      </c>
      <c r="N359" s="1" t="s">
        <v>75</v>
      </c>
      <c r="O359" s="1"/>
      <c r="P359" s="1"/>
      <c r="Q359" s="2" t="str">
        <f>HYPERLINK("https://auction.openprocurement.org/tenders/8472c7f0695648ceb2858e139b16ac8f")</f>
        <v>https://auction.openprocurement.org/tenders/8472c7f0695648ceb2858e139b16ac8f</v>
      </c>
      <c r="R359" s="5">
        <v>43445.742621280995</v>
      </c>
      <c r="S359" s="4">
        <v>43447</v>
      </c>
      <c r="T359" s="4">
        <v>43464</v>
      </c>
      <c r="U359" s="1" t="s">
        <v>1956</v>
      </c>
      <c r="V359" s="5">
        <v>43455.355750644143</v>
      </c>
      <c r="W359" s="1" t="s">
        <v>1952</v>
      </c>
      <c r="X359" s="6">
        <v>32800</v>
      </c>
      <c r="Y359" s="1"/>
      <c r="Z359" s="4">
        <v>43465</v>
      </c>
      <c r="AA359" s="5">
        <v>43465</v>
      </c>
      <c r="AB359" s="1" t="s">
        <v>1971</v>
      </c>
      <c r="AC359" s="1"/>
      <c r="AD359" s="1"/>
    </row>
    <row r="360" spans="1:30" hidden="1" x14ac:dyDescent="0.25">
      <c r="A360" s="1" t="s">
        <v>1589</v>
      </c>
      <c r="B360" s="1" t="s">
        <v>661</v>
      </c>
      <c r="C360" s="1" t="s">
        <v>1147</v>
      </c>
      <c r="D360" s="4">
        <v>43431</v>
      </c>
      <c r="E360" s="6">
        <v>151478</v>
      </c>
      <c r="F360" s="6"/>
      <c r="G360" s="6">
        <v>1594.5052631578947</v>
      </c>
      <c r="H360" s="1" t="s">
        <v>1869</v>
      </c>
      <c r="I360" s="6">
        <v>22</v>
      </c>
      <c r="J360" s="6">
        <v>1.4521452145214523E-4</v>
      </c>
      <c r="K360" s="1" t="s">
        <v>1869</v>
      </c>
      <c r="L360" s="1" t="s">
        <v>494</v>
      </c>
      <c r="M360" s="1" t="s">
        <v>953</v>
      </c>
      <c r="N360" s="1" t="s">
        <v>118</v>
      </c>
      <c r="O360" s="6">
        <v>22</v>
      </c>
      <c r="P360" s="6">
        <v>1.4521452145214523E-4</v>
      </c>
      <c r="Q360" s="2"/>
      <c r="R360" s="5">
        <v>43439.473070870292</v>
      </c>
      <c r="S360" s="4">
        <v>43441</v>
      </c>
      <c r="T360" s="4">
        <v>43464</v>
      </c>
      <c r="U360" s="1" t="s">
        <v>1956</v>
      </c>
      <c r="V360" s="5">
        <v>43446.421284487209</v>
      </c>
      <c r="W360" s="1" t="s">
        <v>1952</v>
      </c>
      <c r="X360" s="6">
        <v>151478</v>
      </c>
      <c r="Y360" s="1"/>
      <c r="Z360" s="4">
        <v>43465</v>
      </c>
      <c r="AA360" s="5">
        <v>43465</v>
      </c>
      <c r="AB360" s="1" t="s">
        <v>1971</v>
      </c>
      <c r="AC360" s="1"/>
      <c r="AD360" s="1"/>
    </row>
    <row r="361" spans="1:30" hidden="1" x14ac:dyDescent="0.25">
      <c r="A361" s="1" t="s">
        <v>1776</v>
      </c>
      <c r="B361" s="1" t="s">
        <v>235</v>
      </c>
      <c r="C361" s="1" t="s">
        <v>1081</v>
      </c>
      <c r="D361" s="4">
        <v>43424</v>
      </c>
      <c r="E361" s="6">
        <v>330000</v>
      </c>
      <c r="F361" s="6"/>
      <c r="G361" s="6">
        <v>110000</v>
      </c>
      <c r="H361" s="1" t="s">
        <v>1882</v>
      </c>
      <c r="I361" s="6">
        <v>216000</v>
      </c>
      <c r="J361" s="6">
        <v>0.39560439560439559</v>
      </c>
      <c r="K361" s="1" t="s">
        <v>1877</v>
      </c>
      <c r="L361" s="1" t="s">
        <v>480</v>
      </c>
      <c r="M361" s="1" t="s">
        <v>898</v>
      </c>
      <c r="N361" s="1" t="s">
        <v>137</v>
      </c>
      <c r="O361" s="6">
        <v>1000</v>
      </c>
      <c r="P361" s="6">
        <v>1.8315018315018315E-3</v>
      </c>
      <c r="Q361" s="2" t="str">
        <f>HYPERLINK("https://auction.openprocurement.org/tenders/bc49cd7ca57844f1a3b8f77804ffa292")</f>
        <v>https://auction.openprocurement.org/tenders/bc49cd7ca57844f1a3b8f77804ffa292</v>
      </c>
      <c r="R361" s="5">
        <v>43441.442447955415</v>
      </c>
      <c r="S361" s="4">
        <v>43452</v>
      </c>
      <c r="T361" s="4">
        <v>43462</v>
      </c>
      <c r="U361" s="1" t="s">
        <v>1956</v>
      </c>
      <c r="V361" s="5">
        <v>43454.459084666669</v>
      </c>
      <c r="W361" s="1" t="s">
        <v>1952</v>
      </c>
      <c r="X361" s="6">
        <v>545000</v>
      </c>
      <c r="Y361" s="1"/>
      <c r="Z361" s="4">
        <v>43465</v>
      </c>
      <c r="AA361" s="5">
        <v>43465</v>
      </c>
      <c r="AB361" s="1" t="s">
        <v>1971</v>
      </c>
      <c r="AC361" s="1"/>
      <c r="AD361" s="1"/>
    </row>
    <row r="362" spans="1:30" hidden="1" x14ac:dyDescent="0.25">
      <c r="A362" s="1" t="s">
        <v>1054</v>
      </c>
      <c r="B362" s="1" t="s">
        <v>375</v>
      </c>
      <c r="C362" s="1" t="s">
        <v>1081</v>
      </c>
      <c r="D362" s="4">
        <v>43418</v>
      </c>
      <c r="E362" s="6">
        <v>119976</v>
      </c>
      <c r="F362" s="6"/>
      <c r="G362" s="6">
        <v>0.59571002979145982</v>
      </c>
      <c r="H362" s="1" t="s">
        <v>1658</v>
      </c>
      <c r="I362" s="6">
        <v>24</v>
      </c>
      <c r="J362" s="6">
        <v>2.0000000000000001E-4</v>
      </c>
      <c r="K362" s="1" t="s">
        <v>1658</v>
      </c>
      <c r="L362" s="1" t="s">
        <v>688</v>
      </c>
      <c r="M362" s="1" t="s">
        <v>893</v>
      </c>
      <c r="N362" s="1" t="s">
        <v>29</v>
      </c>
      <c r="O362" s="6">
        <v>24</v>
      </c>
      <c r="P362" s="6">
        <v>2.0000000000000001E-4</v>
      </c>
      <c r="Q362" s="2" t="str">
        <f>HYPERLINK("https://auction.openprocurement.org/tenders/396c6c3cc0df476bbd0c5c377a273b49")</f>
        <v>https://auction.openprocurement.org/tenders/396c6c3cc0df476bbd0c5c377a273b49</v>
      </c>
      <c r="R362" s="5">
        <v>43434.677948170392</v>
      </c>
      <c r="S362" s="4">
        <v>43445</v>
      </c>
      <c r="T362" s="4">
        <v>43455</v>
      </c>
      <c r="U362" s="1" t="s">
        <v>1956</v>
      </c>
      <c r="V362" s="5">
        <v>43446.389796501855</v>
      </c>
      <c r="W362" s="1" t="s">
        <v>1952</v>
      </c>
      <c r="X362" s="6">
        <v>119976</v>
      </c>
      <c r="Y362" s="1"/>
      <c r="Z362" s="4">
        <v>43465</v>
      </c>
      <c r="AA362" s="5">
        <v>43465</v>
      </c>
      <c r="AB362" s="1" t="s">
        <v>1971</v>
      </c>
      <c r="AC362" s="1"/>
      <c r="AD362" s="1"/>
    </row>
    <row r="363" spans="1:30" hidden="1" x14ac:dyDescent="0.25">
      <c r="A363" s="1" t="s">
        <v>1412</v>
      </c>
      <c r="B363" s="1" t="s">
        <v>822</v>
      </c>
      <c r="C363" s="1" t="s">
        <v>1081</v>
      </c>
      <c r="D363" s="4">
        <v>43418</v>
      </c>
      <c r="E363" s="6">
        <v>425000</v>
      </c>
      <c r="F363" s="6"/>
      <c r="G363" s="6">
        <v>60714.285714285717</v>
      </c>
      <c r="H363" s="1" t="s">
        <v>1851</v>
      </c>
      <c r="I363" s="6">
        <v>75000</v>
      </c>
      <c r="J363" s="6">
        <v>0.15</v>
      </c>
      <c r="K363" s="1" t="s">
        <v>1656</v>
      </c>
      <c r="L363" s="1" t="s">
        <v>636</v>
      </c>
      <c r="M363" s="1" t="s">
        <v>947</v>
      </c>
      <c r="N363" s="1" t="s">
        <v>124</v>
      </c>
      <c r="O363" s="6">
        <v>2500</v>
      </c>
      <c r="P363" s="6">
        <v>5.0000000000000001E-3</v>
      </c>
      <c r="Q363" s="2" t="str">
        <f>HYPERLINK("https://auction.openprocurement.org/tenders/5113ede5bf034f10a7af8e6bc2b92222")</f>
        <v>https://auction.openprocurement.org/tenders/5113ede5bf034f10a7af8e6bc2b92222</v>
      </c>
      <c r="R363" s="5">
        <v>43437.489785544858</v>
      </c>
      <c r="S363" s="4">
        <v>43448</v>
      </c>
      <c r="T363" s="4">
        <v>43458</v>
      </c>
      <c r="U363" s="1" t="s">
        <v>1956</v>
      </c>
      <c r="V363" s="5">
        <v>43448.409708153806</v>
      </c>
      <c r="W363" s="1" t="s">
        <v>1952</v>
      </c>
      <c r="X363" s="6">
        <v>497500</v>
      </c>
      <c r="Y363" s="4">
        <v>43452</v>
      </c>
      <c r="Z363" s="4">
        <v>43466</v>
      </c>
      <c r="AA363" s="5">
        <v>43465</v>
      </c>
      <c r="AB363" s="1" t="s">
        <v>1971</v>
      </c>
      <c r="AC363" s="1"/>
      <c r="AD363" s="1" t="s">
        <v>1168</v>
      </c>
    </row>
    <row r="364" spans="1:30" hidden="1" x14ac:dyDescent="0.25">
      <c r="A364" s="1" t="s">
        <v>1416</v>
      </c>
      <c r="B364" s="1" t="s">
        <v>843</v>
      </c>
      <c r="C364" s="1" t="s">
        <v>1081</v>
      </c>
      <c r="D364" s="4">
        <v>43412</v>
      </c>
      <c r="E364" s="6">
        <v>930000</v>
      </c>
      <c r="F364" s="6"/>
      <c r="G364" s="6">
        <v>930000</v>
      </c>
      <c r="H364" s="1" t="s">
        <v>1644</v>
      </c>
      <c r="I364" s="6">
        <v>20000</v>
      </c>
      <c r="J364" s="6">
        <v>2.1052631578947368E-2</v>
      </c>
      <c r="K364" s="1" t="s">
        <v>1644</v>
      </c>
      <c r="L364" s="1" t="s">
        <v>708</v>
      </c>
      <c r="M364" s="1" t="s">
        <v>885</v>
      </c>
      <c r="N364" s="1" t="s">
        <v>149</v>
      </c>
      <c r="O364" s="6">
        <v>20000</v>
      </c>
      <c r="P364" s="6">
        <v>2.1052631578947368E-2</v>
      </c>
      <c r="Q364" s="2" t="str">
        <f>HYPERLINK("https://auction.openprocurement.org/tenders/120d57d588e6497dbb67851f09037afc")</f>
        <v>https://auction.openprocurement.org/tenders/120d57d588e6497dbb67851f09037afc</v>
      </c>
      <c r="R364" s="5">
        <v>43434.676169551618</v>
      </c>
      <c r="S364" s="4">
        <v>43445</v>
      </c>
      <c r="T364" s="4">
        <v>43455</v>
      </c>
      <c r="U364" s="1" t="s">
        <v>1956</v>
      </c>
      <c r="V364" s="5">
        <v>43446.432730904235</v>
      </c>
      <c r="W364" s="1" t="s">
        <v>854</v>
      </c>
      <c r="X364" s="6">
        <v>930000</v>
      </c>
      <c r="Y364" s="4">
        <v>43459</v>
      </c>
      <c r="Z364" s="4">
        <v>43521</v>
      </c>
      <c r="AA364" s="5">
        <v>43465</v>
      </c>
      <c r="AB364" s="1" t="s">
        <v>1971</v>
      </c>
      <c r="AC364" s="1"/>
      <c r="AD364" s="1"/>
    </row>
    <row r="365" spans="1:30" hidden="1" x14ac:dyDescent="0.25">
      <c r="A365" s="1" t="s">
        <v>1360</v>
      </c>
      <c r="B365" s="1" t="s">
        <v>823</v>
      </c>
      <c r="C365" s="1" t="s">
        <v>1147</v>
      </c>
      <c r="D365" s="4">
        <v>43412</v>
      </c>
      <c r="E365" s="6">
        <v>3000</v>
      </c>
      <c r="F365" s="6"/>
      <c r="G365" s="6">
        <v>3000</v>
      </c>
      <c r="H365" s="1" t="s">
        <v>1713</v>
      </c>
      <c r="I365" s="1"/>
      <c r="J365" s="1"/>
      <c r="K365" s="1"/>
      <c r="L365" s="1"/>
      <c r="M365" s="1"/>
      <c r="N365" s="1"/>
      <c r="O365" s="1"/>
      <c r="P365" s="1"/>
      <c r="Q365" s="2"/>
      <c r="R365" s="5">
        <v>43423.486661837174</v>
      </c>
      <c r="S365" s="1"/>
      <c r="T365" s="1"/>
      <c r="U365" s="1" t="s">
        <v>1957</v>
      </c>
      <c r="V365" s="5">
        <v>43425.489752969886</v>
      </c>
      <c r="W365" s="1"/>
      <c r="X365" s="1"/>
      <c r="Y365" s="1"/>
      <c r="Z365" s="4">
        <v>43465</v>
      </c>
      <c r="AA365" s="1"/>
      <c r="AB365" s="1"/>
      <c r="AC365" s="1"/>
      <c r="AD365" s="1"/>
    </row>
    <row r="366" spans="1:30" hidden="1" x14ac:dyDescent="0.25">
      <c r="A366" s="1" t="s">
        <v>1465</v>
      </c>
      <c r="B366" s="1" t="s">
        <v>821</v>
      </c>
      <c r="C366" s="1" t="s">
        <v>1081</v>
      </c>
      <c r="D366" s="4">
        <v>43412</v>
      </c>
      <c r="E366" s="6">
        <v>99990</v>
      </c>
      <c r="F366" s="6"/>
      <c r="G366" s="6">
        <v>99990</v>
      </c>
      <c r="H366" s="1" t="s">
        <v>1880</v>
      </c>
      <c r="I366" s="6">
        <v>10</v>
      </c>
      <c r="J366" s="6">
        <v>1E-4</v>
      </c>
      <c r="K366" s="1" t="s">
        <v>1880</v>
      </c>
      <c r="L366" s="1" t="s">
        <v>593</v>
      </c>
      <c r="M366" s="1" t="s">
        <v>905</v>
      </c>
      <c r="N366" s="1" t="s">
        <v>158</v>
      </c>
      <c r="O366" s="6">
        <v>10</v>
      </c>
      <c r="P366" s="6">
        <v>1E-4</v>
      </c>
      <c r="Q366" s="2" t="str">
        <f>HYPERLINK("https://auction.openprocurement.org/tenders/44a3c859e298495f9915a1c56dca872f")</f>
        <v>https://auction.openprocurement.org/tenders/44a3c859e298495f9915a1c56dca872f</v>
      </c>
      <c r="R366" s="5">
        <v>43431.6167359764</v>
      </c>
      <c r="S366" s="4">
        <v>43442</v>
      </c>
      <c r="T366" s="4">
        <v>43452</v>
      </c>
      <c r="U366" s="1" t="s">
        <v>1956</v>
      </c>
      <c r="V366" s="5">
        <v>43446.426307279107</v>
      </c>
      <c r="W366" s="1" t="s">
        <v>214</v>
      </c>
      <c r="X366" s="6">
        <v>99990</v>
      </c>
      <c r="Y366" s="1"/>
      <c r="Z366" s="4">
        <v>43465</v>
      </c>
      <c r="AA366" s="5">
        <v>43465</v>
      </c>
      <c r="AB366" s="1" t="s">
        <v>1971</v>
      </c>
      <c r="AC366" s="1"/>
      <c r="AD366" s="1"/>
    </row>
    <row r="367" spans="1:30" hidden="1" x14ac:dyDescent="0.25">
      <c r="A367" s="1" t="s">
        <v>1150</v>
      </c>
      <c r="B367" s="1" t="s">
        <v>323</v>
      </c>
      <c r="C367" s="1" t="s">
        <v>1081</v>
      </c>
      <c r="D367" s="4">
        <v>43402</v>
      </c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2"/>
      <c r="R367" s="1"/>
      <c r="S367" s="1"/>
      <c r="T367" s="1"/>
      <c r="U367" s="1" t="s">
        <v>1957</v>
      </c>
      <c r="V367" s="5">
        <v>43418.66899489682</v>
      </c>
      <c r="W367" s="1"/>
      <c r="X367" s="1"/>
      <c r="Y367" s="4">
        <v>43435</v>
      </c>
      <c r="Z367" s="4">
        <v>43465</v>
      </c>
      <c r="AA367" s="1"/>
      <c r="AB367" s="1"/>
      <c r="AC367" s="1"/>
      <c r="AD367" s="1"/>
    </row>
    <row r="368" spans="1:30" hidden="1" x14ac:dyDescent="0.25">
      <c r="A368" s="1" t="s">
        <v>1070</v>
      </c>
      <c r="B368" s="1" t="s">
        <v>662</v>
      </c>
      <c r="C368" s="1" t="s">
        <v>1157</v>
      </c>
      <c r="D368" s="4">
        <v>43398</v>
      </c>
      <c r="E368" s="6">
        <v>72604.78</v>
      </c>
      <c r="F368" s="6"/>
      <c r="G368" s="6">
        <v>12100.796666666667</v>
      </c>
      <c r="H368" s="1"/>
      <c r="I368" s="1"/>
      <c r="J368" s="1"/>
      <c r="K368" s="1" t="s">
        <v>1739</v>
      </c>
      <c r="L368" s="1" t="s">
        <v>718</v>
      </c>
      <c r="M368" s="1"/>
      <c r="N368" s="1" t="s">
        <v>296</v>
      </c>
      <c r="O368" s="1"/>
      <c r="P368" s="1"/>
      <c r="Q368" s="2"/>
      <c r="R368" s="1"/>
      <c r="S368" s="1"/>
      <c r="T368" s="1"/>
      <c r="U368" s="1" t="s">
        <v>1956</v>
      </c>
      <c r="V368" s="5">
        <v>43398.433441982816</v>
      </c>
      <c r="W368" s="1" t="s">
        <v>435</v>
      </c>
      <c r="X368" s="6">
        <v>72604.78</v>
      </c>
      <c r="Y368" s="1"/>
      <c r="Z368" s="4">
        <v>43398</v>
      </c>
      <c r="AA368" s="5">
        <v>43465</v>
      </c>
      <c r="AB368" s="1" t="s">
        <v>1971</v>
      </c>
      <c r="AC368" s="1"/>
      <c r="AD368" s="1"/>
    </row>
    <row r="369" spans="1:30" hidden="1" x14ac:dyDescent="0.25">
      <c r="A369" s="1" t="s">
        <v>1932</v>
      </c>
      <c r="B369" s="1" t="s">
        <v>235</v>
      </c>
      <c r="C369" s="1" t="s">
        <v>1081</v>
      </c>
      <c r="D369" s="4">
        <v>43397</v>
      </c>
      <c r="E369" s="6">
        <v>99950</v>
      </c>
      <c r="F369" s="6"/>
      <c r="G369" s="6">
        <v>13.326666666666666</v>
      </c>
      <c r="H369" s="1" t="s">
        <v>1758</v>
      </c>
      <c r="I369" s="6">
        <v>50</v>
      </c>
      <c r="J369" s="6">
        <v>5.0000000000000001E-4</v>
      </c>
      <c r="K369" s="1" t="s">
        <v>1758</v>
      </c>
      <c r="L369" s="1" t="s">
        <v>546</v>
      </c>
      <c r="M369" s="1" t="s">
        <v>990</v>
      </c>
      <c r="N369" s="1" t="s">
        <v>42</v>
      </c>
      <c r="O369" s="6">
        <v>50</v>
      </c>
      <c r="P369" s="6">
        <v>5.0000000000000001E-4</v>
      </c>
      <c r="Q369" s="2" t="str">
        <f>HYPERLINK("https://auction.openprocurement.org/tenders/10098b9690d84cdcba42208e10a6ba18")</f>
        <v>https://auction.openprocurement.org/tenders/10098b9690d84cdcba42208e10a6ba18</v>
      </c>
      <c r="R369" s="5">
        <v>43417.501803691179</v>
      </c>
      <c r="S369" s="4">
        <v>43428</v>
      </c>
      <c r="T369" s="4">
        <v>43438</v>
      </c>
      <c r="U369" s="1" t="s">
        <v>1956</v>
      </c>
      <c r="V369" s="5">
        <v>43430.420804810499</v>
      </c>
      <c r="W369" s="1" t="s">
        <v>244</v>
      </c>
      <c r="X369" s="6">
        <v>99950</v>
      </c>
      <c r="Y369" s="1"/>
      <c r="Z369" s="4">
        <v>43444</v>
      </c>
      <c r="AA369" s="5">
        <v>43465</v>
      </c>
      <c r="AB369" s="1" t="s">
        <v>1971</v>
      </c>
      <c r="AC369" s="1"/>
      <c r="AD369" s="1"/>
    </row>
    <row r="370" spans="1:30" hidden="1" x14ac:dyDescent="0.25">
      <c r="A370" s="1" t="s">
        <v>1294</v>
      </c>
      <c r="B370" s="1" t="s">
        <v>609</v>
      </c>
      <c r="C370" s="1" t="s">
        <v>1081</v>
      </c>
      <c r="D370" s="4">
        <v>43396</v>
      </c>
      <c r="E370" s="6">
        <v>47542</v>
      </c>
      <c r="F370" s="6"/>
      <c r="G370" s="6">
        <v>23771</v>
      </c>
      <c r="H370" s="1" t="s">
        <v>1315</v>
      </c>
      <c r="I370" s="6">
        <v>458</v>
      </c>
      <c r="J370" s="6">
        <v>9.541666666666667E-3</v>
      </c>
      <c r="K370" s="1" t="s">
        <v>1315</v>
      </c>
      <c r="L370" s="1" t="s">
        <v>618</v>
      </c>
      <c r="M370" s="1" t="s">
        <v>977</v>
      </c>
      <c r="N370" s="1" t="s">
        <v>185</v>
      </c>
      <c r="O370" s="6">
        <v>458</v>
      </c>
      <c r="P370" s="6">
        <v>9.541666666666667E-3</v>
      </c>
      <c r="Q370" s="2" t="str">
        <f>HYPERLINK("https://auction.openprocurement.org/tenders/e0e8bd4a22bf4318ac897f86c0374f58")</f>
        <v>https://auction.openprocurement.org/tenders/e0e8bd4a22bf4318ac897f86c0374f58</v>
      </c>
      <c r="R370" s="5">
        <v>43413.484229822257</v>
      </c>
      <c r="S370" s="4">
        <v>43424</v>
      </c>
      <c r="T370" s="4">
        <v>43434</v>
      </c>
      <c r="U370" s="1" t="s">
        <v>1956</v>
      </c>
      <c r="V370" s="5">
        <v>43424.690863440279</v>
      </c>
      <c r="W370" s="1" t="s">
        <v>406</v>
      </c>
      <c r="X370" s="6">
        <v>47542</v>
      </c>
      <c r="Y370" s="1"/>
      <c r="Z370" s="4">
        <v>43452</v>
      </c>
      <c r="AA370" s="5">
        <v>43465</v>
      </c>
      <c r="AB370" s="1" t="s">
        <v>1971</v>
      </c>
      <c r="AC370" s="1"/>
      <c r="AD370" s="1"/>
    </row>
    <row r="371" spans="1:30" hidden="1" x14ac:dyDescent="0.25">
      <c r="A371" s="1" t="s">
        <v>1259</v>
      </c>
      <c r="B371" s="1" t="s">
        <v>761</v>
      </c>
      <c r="C371" s="1" t="s">
        <v>1081</v>
      </c>
      <c r="D371" s="4">
        <v>43395</v>
      </c>
      <c r="E371" s="6">
        <v>142250</v>
      </c>
      <c r="F371" s="6"/>
      <c r="G371" s="6">
        <v>17781.25</v>
      </c>
      <c r="H371" s="1" t="s">
        <v>1872</v>
      </c>
      <c r="I371" s="6">
        <v>7750</v>
      </c>
      <c r="J371" s="6">
        <v>5.1666666666666666E-2</v>
      </c>
      <c r="K371" s="1" t="s">
        <v>1872</v>
      </c>
      <c r="L371" s="1" t="s">
        <v>564</v>
      </c>
      <c r="M371" s="1" t="s">
        <v>897</v>
      </c>
      <c r="N371" s="1" t="s">
        <v>180</v>
      </c>
      <c r="O371" s="6">
        <v>7750</v>
      </c>
      <c r="P371" s="6">
        <v>5.1666666666666666E-2</v>
      </c>
      <c r="Q371" s="2" t="str">
        <f>HYPERLINK("https://auction.openprocurement.org/tenders/4368d17eab334560acd58a70891db31d_bf68e8024c60484aa99e6788f0163091")</f>
        <v>https://auction.openprocurement.org/tenders/4368d17eab334560acd58a70891db31d_bf68e8024c60484aa99e6788f0163091</v>
      </c>
      <c r="R371" s="5">
        <v>43412.592145851871</v>
      </c>
      <c r="S371" s="4">
        <v>43423</v>
      </c>
      <c r="T371" s="4">
        <v>43433</v>
      </c>
      <c r="U371" s="1" t="s">
        <v>1955</v>
      </c>
      <c r="V371" s="5">
        <v>43424.713183671462</v>
      </c>
      <c r="W371" s="1" t="s">
        <v>1952</v>
      </c>
      <c r="X371" s="6">
        <v>142250</v>
      </c>
      <c r="Y371" s="4">
        <v>43444</v>
      </c>
      <c r="Z371" s="4">
        <v>43489</v>
      </c>
      <c r="AA371" s="5">
        <v>43830</v>
      </c>
      <c r="AB371" s="1" t="s">
        <v>1971</v>
      </c>
      <c r="AC371" s="1"/>
      <c r="AD371" s="1"/>
    </row>
    <row r="372" spans="1:30" hidden="1" x14ac:dyDescent="0.25">
      <c r="A372" s="1" t="s">
        <v>1260</v>
      </c>
      <c r="B372" s="1" t="s">
        <v>761</v>
      </c>
      <c r="C372" s="1" t="s">
        <v>1081</v>
      </c>
      <c r="D372" s="4">
        <v>43395</v>
      </c>
      <c r="E372" s="6">
        <v>398000</v>
      </c>
      <c r="F372" s="6"/>
      <c r="G372" s="6">
        <v>49750</v>
      </c>
      <c r="H372" s="1" t="s">
        <v>1315</v>
      </c>
      <c r="I372" s="6">
        <v>2000</v>
      </c>
      <c r="J372" s="6">
        <v>5.0000000000000001E-3</v>
      </c>
      <c r="K372" s="1" t="s">
        <v>1315</v>
      </c>
      <c r="L372" s="1" t="s">
        <v>618</v>
      </c>
      <c r="M372" s="1" t="s">
        <v>977</v>
      </c>
      <c r="N372" s="1" t="s">
        <v>185</v>
      </c>
      <c r="O372" s="6">
        <v>2000</v>
      </c>
      <c r="P372" s="6">
        <v>5.0000000000000001E-3</v>
      </c>
      <c r="Q372" s="2" t="str">
        <f>HYPERLINK("https://auction.openprocurement.org/tenders/4368d17eab334560acd58a70891db31d_6a1057e9fd3c4555a8b3a6af2016f2b8")</f>
        <v>https://auction.openprocurement.org/tenders/4368d17eab334560acd58a70891db31d_6a1057e9fd3c4555a8b3a6af2016f2b8</v>
      </c>
      <c r="R372" s="5">
        <v>43412.592145851871</v>
      </c>
      <c r="S372" s="4">
        <v>43422</v>
      </c>
      <c r="T372" s="4">
        <v>43432</v>
      </c>
      <c r="U372" s="1" t="s">
        <v>1955</v>
      </c>
      <c r="V372" s="5">
        <v>43424.707586892328</v>
      </c>
      <c r="W372" s="1" t="s">
        <v>405</v>
      </c>
      <c r="X372" s="6">
        <v>398000</v>
      </c>
      <c r="Y372" s="4">
        <v>43444</v>
      </c>
      <c r="Z372" s="4">
        <v>43489</v>
      </c>
      <c r="AA372" s="5">
        <v>43830</v>
      </c>
      <c r="AB372" s="1" t="s">
        <v>1971</v>
      </c>
      <c r="AC372" s="1"/>
      <c r="AD372" s="1"/>
    </row>
    <row r="373" spans="1:30" hidden="1" x14ac:dyDescent="0.25">
      <c r="A373" s="1" t="s">
        <v>1275</v>
      </c>
      <c r="B373" s="1" t="s">
        <v>638</v>
      </c>
      <c r="C373" s="1" t="s">
        <v>1147</v>
      </c>
      <c r="D373" s="4">
        <v>43395</v>
      </c>
      <c r="E373" s="6">
        <v>55177</v>
      </c>
      <c r="F373" s="6"/>
      <c r="G373" s="6">
        <v>170.82662538699691</v>
      </c>
      <c r="H373" s="1" t="s">
        <v>1583</v>
      </c>
      <c r="I373" s="6">
        <v>41723</v>
      </c>
      <c r="J373" s="6">
        <v>0.430577915376677</v>
      </c>
      <c r="K373" s="1" t="s">
        <v>1315</v>
      </c>
      <c r="L373" s="1" t="s">
        <v>618</v>
      </c>
      <c r="M373" s="1" t="s">
        <v>977</v>
      </c>
      <c r="N373" s="1" t="s">
        <v>185</v>
      </c>
      <c r="O373" s="1"/>
      <c r="P373" s="1"/>
      <c r="Q373" s="2" t="str">
        <f>HYPERLINK("https://auction.openprocurement.org/tenders/034a02ae92d64b918b599b08991624ec")</f>
        <v>https://auction.openprocurement.org/tenders/034a02ae92d64b918b599b08991624ec</v>
      </c>
      <c r="R373" s="5">
        <v>43404.676408833737</v>
      </c>
      <c r="S373" s="4">
        <v>43406</v>
      </c>
      <c r="T373" s="4">
        <v>43428</v>
      </c>
      <c r="U373" s="1" t="s">
        <v>1956</v>
      </c>
      <c r="V373" s="5">
        <v>43410.361744999456</v>
      </c>
      <c r="W373" s="1" t="s">
        <v>1952</v>
      </c>
      <c r="X373" s="6">
        <v>96900</v>
      </c>
      <c r="Y373" s="1"/>
      <c r="Z373" s="4">
        <v>43449</v>
      </c>
      <c r="AA373" s="5">
        <v>43465</v>
      </c>
      <c r="AB373" s="1" t="s">
        <v>1971</v>
      </c>
      <c r="AC373" s="1"/>
      <c r="AD373" s="1"/>
    </row>
    <row r="374" spans="1:30" hidden="1" x14ac:dyDescent="0.25">
      <c r="A374" s="1" t="s">
        <v>1776</v>
      </c>
      <c r="B374" s="1" t="s">
        <v>235</v>
      </c>
      <c r="C374" s="1" t="s">
        <v>1081</v>
      </c>
      <c r="D374" s="4">
        <v>43392</v>
      </c>
      <c r="E374" s="6">
        <v>545000</v>
      </c>
      <c r="F374" s="6"/>
      <c r="G374" s="6">
        <v>181666.66666666666</v>
      </c>
      <c r="H374" s="1" t="s">
        <v>1877</v>
      </c>
      <c r="I374" s="6">
        <v>1000</v>
      </c>
      <c r="J374" s="6">
        <v>1.8315018315018315E-3</v>
      </c>
      <c r="K374" s="1"/>
      <c r="L374" s="1"/>
      <c r="M374" s="1"/>
      <c r="N374" s="1"/>
      <c r="O374" s="1"/>
      <c r="P374" s="1"/>
      <c r="Q374" s="2" t="str">
        <f>HYPERLINK("https://auction.openprocurement.org/tenders/157926e32bd2436cbf8e605db57cf8e2")</f>
        <v>https://auction.openprocurement.org/tenders/157926e32bd2436cbf8e605db57cf8e2</v>
      </c>
      <c r="R374" s="5">
        <v>43418.596941970798</v>
      </c>
      <c r="S374" s="1"/>
      <c r="T374" s="1"/>
      <c r="U374" s="1" t="s">
        <v>1957</v>
      </c>
      <c r="V374" s="5">
        <v>43429.002680429825</v>
      </c>
      <c r="W374" s="1"/>
      <c r="X374" s="1"/>
      <c r="Y374" s="1"/>
      <c r="Z374" s="4">
        <v>43434</v>
      </c>
      <c r="AA374" s="1"/>
      <c r="AB374" s="1"/>
      <c r="AC374" s="1"/>
      <c r="AD374" s="1"/>
    </row>
    <row r="375" spans="1:30" hidden="1" x14ac:dyDescent="0.25">
      <c r="A375" s="1" t="s">
        <v>1293</v>
      </c>
      <c r="B375" s="1" t="s">
        <v>609</v>
      </c>
      <c r="C375" s="1" t="s">
        <v>1081</v>
      </c>
      <c r="D375" s="4">
        <v>43381</v>
      </c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2"/>
      <c r="R375" s="1"/>
      <c r="S375" s="1"/>
      <c r="T375" s="1"/>
      <c r="U375" s="1" t="s">
        <v>1957</v>
      </c>
      <c r="V375" s="5">
        <v>43396.516750726369</v>
      </c>
      <c r="W375" s="1"/>
      <c r="X375" s="1"/>
      <c r="Y375" s="1"/>
      <c r="Z375" s="4">
        <v>43452</v>
      </c>
      <c r="AA375" s="1"/>
      <c r="AB375" s="1"/>
      <c r="AC375" s="1"/>
      <c r="AD375" s="1"/>
    </row>
    <row r="376" spans="1:30" hidden="1" x14ac:dyDescent="0.25">
      <c r="A376" s="1" t="s">
        <v>1272</v>
      </c>
      <c r="B376" s="1" t="s">
        <v>667</v>
      </c>
      <c r="C376" s="1" t="s">
        <v>1081</v>
      </c>
      <c r="D376" s="4">
        <v>43381</v>
      </c>
      <c r="E376" s="6">
        <v>149750</v>
      </c>
      <c r="F376" s="6"/>
      <c r="G376" s="6">
        <v>149750</v>
      </c>
      <c r="H376" s="1" t="s">
        <v>1651</v>
      </c>
      <c r="I376" s="6">
        <v>17000</v>
      </c>
      <c r="J376" s="6">
        <v>0.10194902548725637</v>
      </c>
      <c r="K376" s="1" t="s">
        <v>1315</v>
      </c>
      <c r="L376" s="1" t="s">
        <v>618</v>
      </c>
      <c r="M376" s="1" t="s">
        <v>977</v>
      </c>
      <c r="N376" s="1" t="s">
        <v>185</v>
      </c>
      <c r="O376" s="1"/>
      <c r="P376" s="1"/>
      <c r="Q376" s="2" t="str">
        <f>HYPERLINK("https://auction.openprocurement.org/tenders/d00828068cee4a97b79f4c78a97efc22")</f>
        <v>https://auction.openprocurement.org/tenders/d00828068cee4a97b79f4c78a97efc22</v>
      </c>
      <c r="R376" s="5">
        <v>43402.42923963139</v>
      </c>
      <c r="S376" s="4">
        <v>43413</v>
      </c>
      <c r="T376" s="4">
        <v>43423</v>
      </c>
      <c r="U376" s="1" t="s">
        <v>1956</v>
      </c>
      <c r="V376" s="5">
        <v>43413.441444004631</v>
      </c>
      <c r="W376" s="1" t="s">
        <v>403</v>
      </c>
      <c r="X376" s="6">
        <v>166750</v>
      </c>
      <c r="Y376" s="1"/>
      <c r="Z376" s="4">
        <v>43452</v>
      </c>
      <c r="AA376" s="5">
        <v>43465</v>
      </c>
      <c r="AB376" s="1" t="s">
        <v>1971</v>
      </c>
      <c r="AC376" s="1"/>
      <c r="AD376" s="1"/>
    </row>
    <row r="377" spans="1:30" hidden="1" x14ac:dyDescent="0.25">
      <c r="A377" s="1" t="s">
        <v>1595</v>
      </c>
      <c r="B377" s="1" t="s">
        <v>548</v>
      </c>
      <c r="C377" s="1" t="s">
        <v>1081</v>
      </c>
      <c r="D377" s="4">
        <v>43377</v>
      </c>
      <c r="E377" s="6">
        <v>289400</v>
      </c>
      <c r="F377" s="6"/>
      <c r="G377" s="6">
        <v>144700</v>
      </c>
      <c r="H377" s="1" t="s">
        <v>1315</v>
      </c>
      <c r="I377" s="6">
        <v>20225</v>
      </c>
      <c r="J377" s="6">
        <v>6.5320952765442072E-2</v>
      </c>
      <c r="K377" s="1" t="s">
        <v>1315</v>
      </c>
      <c r="L377" s="1" t="s">
        <v>618</v>
      </c>
      <c r="M377" s="1" t="s">
        <v>977</v>
      </c>
      <c r="N377" s="1" t="s">
        <v>185</v>
      </c>
      <c r="O377" s="6">
        <v>20225</v>
      </c>
      <c r="P377" s="6">
        <v>6.5320952765442072E-2</v>
      </c>
      <c r="Q377" s="2" t="str">
        <f>HYPERLINK("https://auction.openprocurement.org/tenders/0c0b490b6a17478c9b1c5703904393d6_e9a62f1b34a44195b9b686e15de09c98")</f>
        <v>https://auction.openprocurement.org/tenders/0c0b490b6a17478c9b1c5703904393d6_e9a62f1b34a44195b9b686e15de09c98</v>
      </c>
      <c r="R377" s="5">
        <v>43402.431840174431</v>
      </c>
      <c r="S377" s="4">
        <v>43413</v>
      </c>
      <c r="T377" s="4">
        <v>43423</v>
      </c>
      <c r="U377" s="1" t="s">
        <v>1955</v>
      </c>
      <c r="V377" s="5">
        <v>43413.436689108843</v>
      </c>
      <c r="W377" s="1" t="s">
        <v>404</v>
      </c>
      <c r="X377" s="6">
        <v>289400</v>
      </c>
      <c r="Y377" s="1"/>
      <c r="Z377" s="4">
        <v>43452</v>
      </c>
      <c r="AA377" s="5">
        <v>43465</v>
      </c>
      <c r="AB377" s="1" t="s">
        <v>1971</v>
      </c>
      <c r="AC377" s="1"/>
      <c r="AD377" s="1"/>
    </row>
    <row r="378" spans="1:30" hidden="1" x14ac:dyDescent="0.25">
      <c r="A378" s="1" t="s">
        <v>1596</v>
      </c>
      <c r="B378" s="1" t="s">
        <v>548</v>
      </c>
      <c r="C378" s="1" t="s">
        <v>1081</v>
      </c>
      <c r="D378" s="4">
        <v>43377</v>
      </c>
      <c r="E378" s="6">
        <v>1029400</v>
      </c>
      <c r="F378" s="6"/>
      <c r="G378" s="6">
        <v>33206.451612903227</v>
      </c>
      <c r="H378" s="1" t="s">
        <v>1879</v>
      </c>
      <c r="I378" s="6">
        <v>14781</v>
      </c>
      <c r="J378" s="6">
        <v>1.4155591798739873E-2</v>
      </c>
      <c r="K378" s="1" t="s">
        <v>1879</v>
      </c>
      <c r="L378" s="1" t="s">
        <v>550</v>
      </c>
      <c r="M378" s="1" t="s">
        <v>880</v>
      </c>
      <c r="N378" s="1" t="s">
        <v>97</v>
      </c>
      <c r="O378" s="6">
        <v>14781</v>
      </c>
      <c r="P378" s="6">
        <v>1.4155591798739873E-2</v>
      </c>
      <c r="Q378" s="2" t="str">
        <f>HYPERLINK("https://auction.openprocurement.org/tenders/0c0b490b6a17478c9b1c5703904393d6_cf142543efa14fe0a3bb41092bf7e7e8")</f>
        <v>https://auction.openprocurement.org/tenders/0c0b490b6a17478c9b1c5703904393d6_cf142543efa14fe0a3bb41092bf7e7e8</v>
      </c>
      <c r="R378" s="5">
        <v>43402.431840174431</v>
      </c>
      <c r="S378" s="4">
        <v>43413</v>
      </c>
      <c r="T378" s="4">
        <v>43423</v>
      </c>
      <c r="U378" s="1" t="s">
        <v>1955</v>
      </c>
      <c r="V378" s="5">
        <v>43416.684626472445</v>
      </c>
      <c r="W378" s="1" t="s">
        <v>353</v>
      </c>
      <c r="X378" s="6">
        <v>1029400</v>
      </c>
      <c r="Y378" s="1"/>
      <c r="Z378" s="4">
        <v>43452</v>
      </c>
      <c r="AA378" s="5">
        <v>43465</v>
      </c>
      <c r="AB378" s="1" t="s">
        <v>1971</v>
      </c>
      <c r="AC378" s="1"/>
      <c r="AD378" s="1"/>
    </row>
    <row r="379" spans="1:30" hidden="1" x14ac:dyDescent="0.25">
      <c r="A379" s="1" t="s">
        <v>1399</v>
      </c>
      <c r="B379" s="1" t="s">
        <v>810</v>
      </c>
      <c r="C379" s="1" t="s">
        <v>1081</v>
      </c>
      <c r="D379" s="4">
        <v>43374</v>
      </c>
      <c r="E379" s="6">
        <v>18032.400000000001</v>
      </c>
      <c r="F379" s="6"/>
      <c r="G379" s="6">
        <v>18032.400000000001</v>
      </c>
      <c r="H379" s="1" t="s">
        <v>1654</v>
      </c>
      <c r="I379" s="6">
        <v>0.59999999999854481</v>
      </c>
      <c r="J379" s="6">
        <v>3.3272334054153211E-5</v>
      </c>
      <c r="K379" s="1" t="s">
        <v>1654</v>
      </c>
      <c r="L379" s="1" t="s">
        <v>704</v>
      </c>
      <c r="M379" s="1" t="s">
        <v>889</v>
      </c>
      <c r="N379" s="1" t="s">
        <v>54</v>
      </c>
      <c r="O379" s="6">
        <v>0.59999999999854481</v>
      </c>
      <c r="P379" s="6">
        <v>3.3272334054153211E-5</v>
      </c>
      <c r="Q379" s="2" t="str">
        <f>HYPERLINK("https://auction.openprocurement.org/tenders/1b737735f2094bf8b615b8f625b4c16b")</f>
        <v>https://auction.openprocurement.org/tenders/1b737735f2094bf8b615b8f625b4c16b</v>
      </c>
      <c r="R379" s="5">
        <v>43395.495789542038</v>
      </c>
      <c r="S379" s="4">
        <v>43406</v>
      </c>
      <c r="T379" s="4">
        <v>43416</v>
      </c>
      <c r="U379" s="1" t="s">
        <v>1956</v>
      </c>
      <c r="V379" s="5">
        <v>43409.708027614768</v>
      </c>
      <c r="W379" s="1" t="s">
        <v>1952</v>
      </c>
      <c r="X379" s="6">
        <v>18032.400000000001</v>
      </c>
      <c r="Y379" s="1"/>
      <c r="Z379" s="4">
        <v>43419</v>
      </c>
      <c r="AA379" s="5">
        <v>43465</v>
      </c>
      <c r="AB379" s="1" t="s">
        <v>1971</v>
      </c>
      <c r="AC379" s="1"/>
      <c r="AD379" s="1"/>
    </row>
    <row r="380" spans="1:30" hidden="1" x14ac:dyDescent="0.25">
      <c r="A380" s="1" t="s">
        <v>1283</v>
      </c>
      <c r="B380" s="1" t="s">
        <v>729</v>
      </c>
      <c r="C380" s="1" t="s">
        <v>1081</v>
      </c>
      <c r="D380" s="4">
        <v>43374</v>
      </c>
      <c r="E380" s="6">
        <v>150000</v>
      </c>
      <c r="F380" s="6"/>
      <c r="G380" s="6">
        <v>212.7659574468085</v>
      </c>
      <c r="H380" s="1" t="s">
        <v>1859</v>
      </c>
      <c r="I380" s="6">
        <v>10000</v>
      </c>
      <c r="J380" s="6">
        <v>6.25E-2</v>
      </c>
      <c r="K380" s="1" t="s">
        <v>1859</v>
      </c>
      <c r="L380" s="1" t="s">
        <v>466</v>
      </c>
      <c r="M380" s="1" t="s">
        <v>873</v>
      </c>
      <c r="N380" s="1" t="s">
        <v>147</v>
      </c>
      <c r="O380" s="6">
        <v>10000</v>
      </c>
      <c r="P380" s="6">
        <v>6.25E-2</v>
      </c>
      <c r="Q380" s="2" t="str">
        <f>HYPERLINK("https://auction.openprocurement.org/tenders/047077888846459c805d136df63fb7b3")</f>
        <v>https://auction.openprocurement.org/tenders/047077888846459c805d136df63fb7b3</v>
      </c>
      <c r="R380" s="5">
        <v>43395.493879221365</v>
      </c>
      <c r="S380" s="4">
        <v>43406</v>
      </c>
      <c r="T380" s="4">
        <v>43416</v>
      </c>
      <c r="U380" s="1" t="s">
        <v>1956</v>
      </c>
      <c r="V380" s="5">
        <v>43409.589041646803</v>
      </c>
      <c r="W380" s="1" t="s">
        <v>352</v>
      </c>
      <c r="X380" s="6">
        <v>150000</v>
      </c>
      <c r="Y380" s="1"/>
      <c r="Z380" s="4">
        <v>43465</v>
      </c>
      <c r="AA380" s="5">
        <v>43465</v>
      </c>
      <c r="AB380" s="1" t="s">
        <v>1971</v>
      </c>
      <c r="AC380" s="1"/>
      <c r="AD380" s="1"/>
    </row>
    <row r="381" spans="1:30" hidden="1" x14ac:dyDescent="0.25">
      <c r="A381" s="1" t="s">
        <v>1242</v>
      </c>
      <c r="B381" s="1" t="s">
        <v>659</v>
      </c>
      <c r="C381" s="1" t="s">
        <v>1157</v>
      </c>
      <c r="D381" s="4">
        <v>43374</v>
      </c>
      <c r="E381" s="6">
        <v>130710</v>
      </c>
      <c r="F381" s="6"/>
      <c r="G381" s="6">
        <v>1840.9859154929577</v>
      </c>
      <c r="H381" s="1"/>
      <c r="I381" s="1"/>
      <c r="J381" s="1"/>
      <c r="K381" s="1" t="s">
        <v>1730</v>
      </c>
      <c r="L381" s="1" t="s">
        <v>706</v>
      </c>
      <c r="M381" s="1"/>
      <c r="N381" s="1" t="s">
        <v>322</v>
      </c>
      <c r="O381" s="1"/>
      <c r="P381" s="1"/>
      <c r="Q381" s="2"/>
      <c r="R381" s="1"/>
      <c r="S381" s="1"/>
      <c r="T381" s="1"/>
      <c r="U381" s="1" t="s">
        <v>1956</v>
      </c>
      <c r="V381" s="5">
        <v>43374.600192294238</v>
      </c>
      <c r="W381" s="1" t="s">
        <v>1952</v>
      </c>
      <c r="X381" s="6">
        <v>130710</v>
      </c>
      <c r="Y381" s="1"/>
      <c r="Z381" s="4">
        <v>43419</v>
      </c>
      <c r="AA381" s="5">
        <v>43465</v>
      </c>
      <c r="AB381" s="1" t="s">
        <v>1971</v>
      </c>
      <c r="AC381" s="1"/>
      <c r="AD381" s="1"/>
    </row>
    <row r="382" spans="1:30" hidden="1" x14ac:dyDescent="0.25">
      <c r="A382" s="1" t="s">
        <v>1225</v>
      </c>
      <c r="B382" s="1" t="s">
        <v>609</v>
      </c>
      <c r="C382" s="1" t="s">
        <v>1081</v>
      </c>
      <c r="D382" s="4">
        <v>43371</v>
      </c>
      <c r="E382" s="6">
        <v>120500</v>
      </c>
      <c r="F382" s="6"/>
      <c r="G382" s="6">
        <v>12050</v>
      </c>
      <c r="H382" s="1" t="s">
        <v>1869</v>
      </c>
      <c r="I382" s="6">
        <v>3150</v>
      </c>
      <c r="J382" s="6">
        <v>2.547513141932875E-2</v>
      </c>
      <c r="K382" s="1" t="s">
        <v>1869</v>
      </c>
      <c r="L382" s="1" t="s">
        <v>494</v>
      </c>
      <c r="M382" s="1" t="s">
        <v>953</v>
      </c>
      <c r="N382" s="1" t="s">
        <v>118</v>
      </c>
      <c r="O382" s="6">
        <v>3150</v>
      </c>
      <c r="P382" s="6">
        <v>2.547513141932875E-2</v>
      </c>
      <c r="Q382" s="2" t="str">
        <f>HYPERLINK("https://auction.openprocurement.org/tenders/d0a0f6a0ce434ff1af760b49890da5bf")</f>
        <v>https://auction.openprocurement.org/tenders/d0a0f6a0ce434ff1af760b49890da5bf</v>
      </c>
      <c r="R382" s="5">
        <v>43395.488308654494</v>
      </c>
      <c r="S382" s="4">
        <v>43406</v>
      </c>
      <c r="T382" s="4">
        <v>43416</v>
      </c>
      <c r="U382" s="1" t="s">
        <v>1956</v>
      </c>
      <c r="V382" s="5">
        <v>43409.62949478189</v>
      </c>
      <c r="W382" s="1" t="s">
        <v>1952</v>
      </c>
      <c r="X382" s="6">
        <v>120500</v>
      </c>
      <c r="Y382" s="1"/>
      <c r="Z382" s="4">
        <v>43434</v>
      </c>
      <c r="AA382" s="5">
        <v>43465</v>
      </c>
      <c r="AB382" s="1" t="s">
        <v>1971</v>
      </c>
      <c r="AC382" s="1"/>
      <c r="AD382" s="1"/>
    </row>
    <row r="383" spans="1:30" hidden="1" x14ac:dyDescent="0.25">
      <c r="A383" s="1" t="s">
        <v>1812</v>
      </c>
      <c r="B383" s="1" t="s">
        <v>609</v>
      </c>
      <c r="C383" s="1" t="s">
        <v>1081</v>
      </c>
      <c r="D383" s="4">
        <v>43371</v>
      </c>
      <c r="E383" s="6">
        <v>120000</v>
      </c>
      <c r="F383" s="6"/>
      <c r="G383" s="6">
        <v>3000</v>
      </c>
      <c r="H383" s="1" t="s">
        <v>1869</v>
      </c>
      <c r="I383" s="6">
        <v>4000</v>
      </c>
      <c r="J383" s="6">
        <v>3.2258064516129031E-2</v>
      </c>
      <c r="K383" s="1" t="s">
        <v>1869</v>
      </c>
      <c r="L383" s="1" t="s">
        <v>494</v>
      </c>
      <c r="M383" s="1" t="s">
        <v>953</v>
      </c>
      <c r="N383" s="1" t="s">
        <v>118</v>
      </c>
      <c r="O383" s="6">
        <v>4000</v>
      </c>
      <c r="P383" s="6">
        <v>3.2258064516129031E-2</v>
      </c>
      <c r="Q383" s="2" t="str">
        <f>HYPERLINK("https://auction.openprocurement.org/tenders/ead32865c1114f7793cbc4781f0a7791")</f>
        <v>https://auction.openprocurement.org/tenders/ead32865c1114f7793cbc4781f0a7791</v>
      </c>
      <c r="R383" s="5">
        <v>43395.490084795798</v>
      </c>
      <c r="S383" s="4">
        <v>43406</v>
      </c>
      <c r="T383" s="4">
        <v>43416</v>
      </c>
      <c r="U383" s="1" t="s">
        <v>1956</v>
      </c>
      <c r="V383" s="5">
        <v>43406.454278998193</v>
      </c>
      <c r="W383" s="1" t="s">
        <v>1952</v>
      </c>
      <c r="X383" s="6">
        <v>120000</v>
      </c>
      <c r="Y383" s="1"/>
      <c r="Z383" s="4">
        <v>43419</v>
      </c>
      <c r="AA383" s="5">
        <v>43465</v>
      </c>
      <c r="AB383" s="1" t="s">
        <v>1971</v>
      </c>
      <c r="AC383" s="1"/>
      <c r="AD383" s="1"/>
    </row>
    <row r="384" spans="1:30" hidden="1" x14ac:dyDescent="0.25">
      <c r="A384" s="1" t="s">
        <v>1220</v>
      </c>
      <c r="B384" s="1" t="s">
        <v>660</v>
      </c>
      <c r="C384" s="1" t="s">
        <v>1081</v>
      </c>
      <c r="D384" s="4">
        <v>43371</v>
      </c>
      <c r="E384" s="6">
        <v>379500</v>
      </c>
      <c r="F384" s="6"/>
      <c r="G384" s="6">
        <v>9487.5</v>
      </c>
      <c r="H384" s="1" t="s">
        <v>1869</v>
      </c>
      <c r="I384" s="6">
        <v>2750</v>
      </c>
      <c r="J384" s="6">
        <v>7.1942446043165471E-3</v>
      </c>
      <c r="K384" s="1" t="s">
        <v>1869</v>
      </c>
      <c r="L384" s="1" t="s">
        <v>494</v>
      </c>
      <c r="M384" s="1" t="s">
        <v>953</v>
      </c>
      <c r="N384" s="1" t="s">
        <v>118</v>
      </c>
      <c r="O384" s="6">
        <v>2750</v>
      </c>
      <c r="P384" s="6">
        <v>7.1942446043165471E-3</v>
      </c>
      <c r="Q384" s="2" t="str">
        <f>HYPERLINK("https://auction.openprocurement.org/tenders/64b3af0ac45f488fb3e22081f621434e")</f>
        <v>https://auction.openprocurement.org/tenders/64b3af0ac45f488fb3e22081f621434e</v>
      </c>
      <c r="R384" s="5">
        <v>43390.709702646098</v>
      </c>
      <c r="S384" s="4">
        <v>43401</v>
      </c>
      <c r="T384" s="4">
        <v>43411</v>
      </c>
      <c r="U384" s="1" t="s">
        <v>1956</v>
      </c>
      <c r="V384" s="5">
        <v>43406.46085619089</v>
      </c>
      <c r="W384" s="1" t="s">
        <v>1952</v>
      </c>
      <c r="X384" s="6">
        <v>379500</v>
      </c>
      <c r="Y384" s="1"/>
      <c r="Z384" s="4">
        <v>43434</v>
      </c>
      <c r="AA384" s="5">
        <v>43465</v>
      </c>
      <c r="AB384" s="1" t="s">
        <v>1971</v>
      </c>
      <c r="AC384" s="1"/>
      <c r="AD384" s="1"/>
    </row>
    <row r="385" spans="1:30" hidden="1" x14ac:dyDescent="0.25">
      <c r="A385" s="1" t="s">
        <v>1355</v>
      </c>
      <c r="B385" s="1" t="s">
        <v>810</v>
      </c>
      <c r="C385" s="1" t="s">
        <v>1081</v>
      </c>
      <c r="D385" s="4">
        <v>43371</v>
      </c>
      <c r="E385" s="6">
        <v>505000</v>
      </c>
      <c r="F385" s="6"/>
      <c r="G385" s="6">
        <v>505000</v>
      </c>
      <c r="H385" s="1" t="s">
        <v>1842</v>
      </c>
      <c r="I385" s="6">
        <v>5000</v>
      </c>
      <c r="J385" s="6">
        <v>9.8039215686274508E-3</v>
      </c>
      <c r="K385" s="1" t="s">
        <v>1842</v>
      </c>
      <c r="L385" s="1" t="s">
        <v>467</v>
      </c>
      <c r="M385" s="1" t="s">
        <v>883</v>
      </c>
      <c r="N385" s="1" t="s">
        <v>137</v>
      </c>
      <c r="O385" s="6">
        <v>5000</v>
      </c>
      <c r="P385" s="6">
        <v>9.8039215686274508E-3</v>
      </c>
      <c r="Q385" s="2" t="str">
        <f>HYPERLINK("https://auction.openprocurement.org/tenders/c595042eebbf487bb3a57608435dadaa")</f>
        <v>https://auction.openprocurement.org/tenders/c595042eebbf487bb3a57608435dadaa</v>
      </c>
      <c r="R385" s="5">
        <v>43395.492102359152</v>
      </c>
      <c r="S385" s="4">
        <v>43406</v>
      </c>
      <c r="T385" s="4">
        <v>43416</v>
      </c>
      <c r="U385" s="1" t="s">
        <v>1956</v>
      </c>
      <c r="V385" s="5">
        <v>43411.59580910403</v>
      </c>
      <c r="W385" s="1" t="s">
        <v>1952</v>
      </c>
      <c r="X385" s="6">
        <v>505000</v>
      </c>
      <c r="Y385" s="1"/>
      <c r="Z385" s="4">
        <v>43405</v>
      </c>
      <c r="AA385" s="5">
        <v>43465</v>
      </c>
      <c r="AB385" s="1" t="s">
        <v>1971</v>
      </c>
      <c r="AC385" s="1"/>
      <c r="AD385" s="1"/>
    </row>
    <row r="386" spans="1:30" hidden="1" x14ac:dyDescent="0.25">
      <c r="A386" s="1" t="s">
        <v>1204</v>
      </c>
      <c r="B386" s="1" t="s">
        <v>728</v>
      </c>
      <c r="C386" s="1" t="s">
        <v>1157</v>
      </c>
      <c r="D386" s="4">
        <v>43368</v>
      </c>
      <c r="E386" s="6">
        <v>122100</v>
      </c>
      <c r="F386" s="6"/>
      <c r="G386" s="6">
        <v>122100</v>
      </c>
      <c r="H386" s="1"/>
      <c r="I386" s="1"/>
      <c r="J386" s="1"/>
      <c r="K386" s="1" t="s">
        <v>1731</v>
      </c>
      <c r="L386" s="1" t="s">
        <v>650</v>
      </c>
      <c r="M386" s="1"/>
      <c r="N386" s="1" t="s">
        <v>316</v>
      </c>
      <c r="O386" s="1"/>
      <c r="P386" s="1"/>
      <c r="Q386" s="2"/>
      <c r="R386" s="1"/>
      <c r="S386" s="1"/>
      <c r="T386" s="1"/>
      <c r="U386" s="1" t="s">
        <v>1956</v>
      </c>
      <c r="V386" s="5">
        <v>43368.732968358243</v>
      </c>
      <c r="W386" s="1" t="s">
        <v>1952</v>
      </c>
      <c r="X386" s="6">
        <v>122100</v>
      </c>
      <c r="Y386" s="1"/>
      <c r="Z386" s="4">
        <v>43404</v>
      </c>
      <c r="AA386" s="5">
        <v>43465</v>
      </c>
      <c r="AB386" s="1" t="s">
        <v>1971</v>
      </c>
      <c r="AC386" s="1"/>
      <c r="AD386" s="1"/>
    </row>
    <row r="387" spans="1:30" hidden="1" x14ac:dyDescent="0.25">
      <c r="A387" s="1" t="s">
        <v>1548</v>
      </c>
      <c r="B387" s="1" t="s">
        <v>793</v>
      </c>
      <c r="C387" s="1" t="s">
        <v>1157</v>
      </c>
      <c r="D387" s="4">
        <v>43368</v>
      </c>
      <c r="E387" s="6">
        <v>309326</v>
      </c>
      <c r="F387" s="6"/>
      <c r="G387" s="6">
        <v>309326</v>
      </c>
      <c r="H387" s="1"/>
      <c r="I387" s="1"/>
      <c r="J387" s="1"/>
      <c r="K387" s="1" t="s">
        <v>1086</v>
      </c>
      <c r="L387" s="1" t="s">
        <v>591</v>
      </c>
      <c r="M387" s="1"/>
      <c r="N387" s="1" t="s">
        <v>324</v>
      </c>
      <c r="O387" s="1"/>
      <c r="P387" s="1"/>
      <c r="Q387" s="2"/>
      <c r="R387" s="1"/>
      <c r="S387" s="1"/>
      <c r="T387" s="1"/>
      <c r="U387" s="1" t="s">
        <v>1956</v>
      </c>
      <c r="V387" s="5">
        <v>43368.690349086311</v>
      </c>
      <c r="W387" s="1" t="s">
        <v>1952</v>
      </c>
      <c r="X387" s="6">
        <v>309326</v>
      </c>
      <c r="Y387" s="1"/>
      <c r="Z387" s="4">
        <v>43465</v>
      </c>
      <c r="AA387" s="5">
        <v>43465</v>
      </c>
      <c r="AB387" s="1" t="s">
        <v>1971</v>
      </c>
      <c r="AC387" s="1"/>
      <c r="AD387" s="1"/>
    </row>
    <row r="388" spans="1:30" hidden="1" x14ac:dyDescent="0.25">
      <c r="A388" s="1" t="s">
        <v>1403</v>
      </c>
      <c r="B388" s="1" t="s">
        <v>822</v>
      </c>
      <c r="C388" s="1" t="s">
        <v>1081</v>
      </c>
      <c r="D388" s="4">
        <v>43367</v>
      </c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2" t="str">
        <f>HYPERLINK("https://auction.openprocurement.org/tenders/21bd05f27cda4f0189b81057c0a181a8")</f>
        <v>https://auction.openprocurement.org/tenders/21bd05f27cda4f0189b81057c0a181a8</v>
      </c>
      <c r="R388" s="1"/>
      <c r="S388" s="1"/>
      <c r="T388" s="1"/>
      <c r="U388" s="1" t="s">
        <v>1972</v>
      </c>
      <c r="V388" s="5">
        <v>43383.397562643971</v>
      </c>
      <c r="W388" s="1"/>
      <c r="X388" s="1"/>
      <c r="Y388" s="4">
        <v>43400</v>
      </c>
      <c r="Z388" s="4">
        <v>43400</v>
      </c>
      <c r="AA388" s="1"/>
      <c r="AB388" s="1"/>
      <c r="AC388" s="1" t="s">
        <v>1789</v>
      </c>
      <c r="AD388" s="1"/>
    </row>
    <row r="389" spans="1:30" hidden="1" x14ac:dyDescent="0.25">
      <c r="A389" s="1" t="s">
        <v>1205</v>
      </c>
      <c r="B389" s="1" t="s">
        <v>728</v>
      </c>
      <c r="C389" s="1" t="s">
        <v>1082</v>
      </c>
      <c r="D389" s="4">
        <v>43362</v>
      </c>
      <c r="E389" s="6">
        <v>174795.6</v>
      </c>
      <c r="F389" s="6"/>
      <c r="G389" s="6">
        <v>87397.8</v>
      </c>
      <c r="H389" s="1" t="s">
        <v>1637</v>
      </c>
      <c r="I389" s="6">
        <v>562.39999999999418</v>
      </c>
      <c r="J389" s="6">
        <v>3.2071533662564248E-3</v>
      </c>
      <c r="K389" s="1" t="s">
        <v>1637</v>
      </c>
      <c r="L389" s="1" t="s">
        <v>650</v>
      </c>
      <c r="M389" s="1" t="s">
        <v>983</v>
      </c>
      <c r="N389" s="1" t="s">
        <v>140</v>
      </c>
      <c r="O389" s="6">
        <v>562.39999999999418</v>
      </c>
      <c r="P389" s="6">
        <v>3.2071533662564248E-3</v>
      </c>
      <c r="Q389" s="2" t="str">
        <f>HYPERLINK("https://auction.openprocurement.org/tenders/9d45515fdbff4fe0b7c0b32938fae578")</f>
        <v>https://auction.openprocurement.org/tenders/9d45515fdbff4fe0b7c0b32938fae578</v>
      </c>
      <c r="R389" s="5">
        <v>43404.566266597663</v>
      </c>
      <c r="S389" s="4">
        <v>43415</v>
      </c>
      <c r="T389" s="4">
        <v>43425</v>
      </c>
      <c r="U389" s="1" t="s">
        <v>1956</v>
      </c>
      <c r="V389" s="5">
        <v>43418.380997831839</v>
      </c>
      <c r="W389" s="1" t="s">
        <v>784</v>
      </c>
      <c r="X389" s="6">
        <v>174795.6</v>
      </c>
      <c r="Y389" s="1"/>
      <c r="Z389" s="4">
        <v>43434</v>
      </c>
      <c r="AA389" s="5">
        <v>43465</v>
      </c>
      <c r="AB389" s="1" t="s">
        <v>1971</v>
      </c>
      <c r="AC389" s="1"/>
      <c r="AD389" s="1"/>
    </row>
    <row r="390" spans="1:30" hidden="1" x14ac:dyDescent="0.25">
      <c r="A390" s="1" t="s">
        <v>1780</v>
      </c>
      <c r="B390" s="1" t="s">
        <v>774</v>
      </c>
      <c r="C390" s="1" t="s">
        <v>1081</v>
      </c>
      <c r="D390" s="4">
        <v>43361</v>
      </c>
      <c r="E390" s="6">
        <v>189752.69</v>
      </c>
      <c r="F390" s="6"/>
      <c r="G390" s="6">
        <v>189752.69</v>
      </c>
      <c r="H390" s="1" t="s">
        <v>1175</v>
      </c>
      <c r="I390" s="6">
        <v>247.30999999999767</v>
      </c>
      <c r="J390" s="6">
        <v>1.3016315789473561E-3</v>
      </c>
      <c r="K390" s="1" t="s">
        <v>1175</v>
      </c>
      <c r="L390" s="1" t="s">
        <v>232</v>
      </c>
      <c r="M390" s="1" t="s">
        <v>927</v>
      </c>
      <c r="N390" s="1" t="s">
        <v>807</v>
      </c>
      <c r="O390" s="6">
        <v>247.30999999999767</v>
      </c>
      <c r="P390" s="6">
        <v>1.3016315789473561E-3</v>
      </c>
      <c r="Q390" s="2" t="str">
        <f>HYPERLINK("https://auction.openprocurement.org/tenders/01f5d2f3b783430b886c0bfaf995da1f")</f>
        <v>https://auction.openprocurement.org/tenders/01f5d2f3b783430b886c0bfaf995da1f</v>
      </c>
      <c r="R390" s="5">
        <v>43381.422212105128</v>
      </c>
      <c r="S390" s="4">
        <v>43392</v>
      </c>
      <c r="T390" s="4">
        <v>43402</v>
      </c>
      <c r="U390" s="1" t="s">
        <v>1956</v>
      </c>
      <c r="V390" s="5">
        <v>43397.42081636205</v>
      </c>
      <c r="W390" s="1" t="s">
        <v>1952</v>
      </c>
      <c r="X390" s="6">
        <v>189752.69</v>
      </c>
      <c r="Y390" s="1"/>
      <c r="Z390" s="4">
        <v>43465</v>
      </c>
      <c r="AA390" s="5">
        <v>43465</v>
      </c>
      <c r="AB390" s="1" t="s">
        <v>1971</v>
      </c>
      <c r="AC390" s="1"/>
      <c r="AD390" s="1"/>
    </row>
    <row r="391" spans="1:30" hidden="1" x14ac:dyDescent="0.25">
      <c r="A391" s="1" t="s">
        <v>1403</v>
      </c>
      <c r="B391" s="1" t="s">
        <v>822</v>
      </c>
      <c r="C391" s="1" t="s">
        <v>1081</v>
      </c>
      <c r="D391" s="4">
        <v>43356</v>
      </c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2"/>
      <c r="R391" s="1"/>
      <c r="S391" s="1"/>
      <c r="T391" s="1"/>
      <c r="U391" s="1" t="s">
        <v>1972</v>
      </c>
      <c r="V391" s="5">
        <v>43363.656342801369</v>
      </c>
      <c r="W391" s="1"/>
      <c r="X391" s="1"/>
      <c r="Y391" s="4">
        <v>43387</v>
      </c>
      <c r="Z391" s="4">
        <v>43387</v>
      </c>
      <c r="AA391" s="1"/>
      <c r="AB391" s="1"/>
      <c r="AC391" s="1" t="s">
        <v>1789</v>
      </c>
      <c r="AD391" s="1"/>
    </row>
    <row r="392" spans="1:30" hidden="1" x14ac:dyDescent="0.25">
      <c r="A392" s="1" t="s">
        <v>1458</v>
      </c>
      <c r="B392" s="1" t="s">
        <v>754</v>
      </c>
      <c r="C392" s="1" t="s">
        <v>1157</v>
      </c>
      <c r="D392" s="4">
        <v>43348</v>
      </c>
      <c r="E392" s="6">
        <v>36000</v>
      </c>
      <c r="F392" s="6"/>
      <c r="G392" s="6">
        <v>36000</v>
      </c>
      <c r="H392" s="1"/>
      <c r="I392" s="1"/>
      <c r="J392" s="1"/>
      <c r="K392" s="1" t="s">
        <v>1622</v>
      </c>
      <c r="L392" s="1" t="s">
        <v>543</v>
      </c>
      <c r="M392" s="1"/>
      <c r="N392" s="1" t="s">
        <v>335</v>
      </c>
      <c r="O392" s="1"/>
      <c r="P392" s="1"/>
      <c r="Q392" s="2"/>
      <c r="R392" s="1"/>
      <c r="S392" s="1"/>
      <c r="T392" s="1"/>
      <c r="U392" s="1" t="s">
        <v>1956</v>
      </c>
      <c r="V392" s="5">
        <v>43348.744997108603</v>
      </c>
      <c r="W392" s="1" t="s">
        <v>1952</v>
      </c>
      <c r="X392" s="6">
        <v>36000</v>
      </c>
      <c r="Y392" s="4">
        <v>43348</v>
      </c>
      <c r="Z392" s="4">
        <v>43373</v>
      </c>
      <c r="AA392" s="5">
        <v>43465</v>
      </c>
      <c r="AB392" s="1" t="s">
        <v>1971</v>
      </c>
      <c r="AC392" s="1"/>
      <c r="AD392" s="1"/>
    </row>
    <row r="393" spans="1:30" hidden="1" x14ac:dyDescent="0.25">
      <c r="A393" s="1" t="s">
        <v>1017</v>
      </c>
      <c r="B393" s="1" t="s">
        <v>738</v>
      </c>
      <c r="C393" s="1" t="s">
        <v>1157</v>
      </c>
      <c r="D393" s="4">
        <v>43346</v>
      </c>
      <c r="E393" s="6">
        <v>5160.6000000000004</v>
      </c>
      <c r="F393" s="6"/>
      <c r="G393" s="6">
        <v>5160.6000000000004</v>
      </c>
      <c r="H393" s="1"/>
      <c r="I393" s="1"/>
      <c r="J393" s="1"/>
      <c r="K393" s="1" t="s">
        <v>1739</v>
      </c>
      <c r="L393" s="1" t="s">
        <v>718</v>
      </c>
      <c r="M393" s="1"/>
      <c r="N393" s="1" t="s">
        <v>336</v>
      </c>
      <c r="O393" s="1"/>
      <c r="P393" s="1"/>
      <c r="Q393" s="2"/>
      <c r="R393" s="1"/>
      <c r="S393" s="1"/>
      <c r="T393" s="1"/>
      <c r="U393" s="1" t="s">
        <v>1956</v>
      </c>
      <c r="V393" s="5">
        <v>43346.656779075129</v>
      </c>
      <c r="W393" s="1" t="s">
        <v>438</v>
      </c>
      <c r="X393" s="6">
        <v>5160.6000000000004</v>
      </c>
      <c r="Y393" s="1"/>
      <c r="Z393" s="4">
        <v>43347</v>
      </c>
      <c r="AA393" s="5">
        <v>43465</v>
      </c>
      <c r="AB393" s="1" t="s">
        <v>1971</v>
      </c>
      <c r="AC393" s="1"/>
      <c r="AD393" s="1"/>
    </row>
    <row r="394" spans="1:30" hidden="1" x14ac:dyDescent="0.25">
      <c r="A394" s="1" t="s">
        <v>1203</v>
      </c>
      <c r="B394" s="1" t="s">
        <v>639</v>
      </c>
      <c r="C394" s="1" t="s">
        <v>1081</v>
      </c>
      <c r="D394" s="4">
        <v>43333</v>
      </c>
      <c r="E394" s="6">
        <v>940450</v>
      </c>
      <c r="F394" s="6"/>
      <c r="G394" s="6">
        <v>940450</v>
      </c>
      <c r="H394" s="1" t="s">
        <v>1720</v>
      </c>
      <c r="I394" s="6">
        <v>50</v>
      </c>
      <c r="J394" s="6">
        <v>5.3163211057947899E-5</v>
      </c>
      <c r="K394" s="1" t="s">
        <v>1720</v>
      </c>
      <c r="L394" s="1" t="s">
        <v>640</v>
      </c>
      <c r="M394" s="1" t="s">
        <v>881</v>
      </c>
      <c r="N394" s="1" t="s">
        <v>112</v>
      </c>
      <c r="O394" s="6">
        <v>50</v>
      </c>
      <c r="P394" s="6">
        <v>5.3163211057947899E-5</v>
      </c>
      <c r="Q394" s="2" t="str">
        <f>HYPERLINK("https://auction.openprocurement.org/tenders/8c039c68d27b48e5adfcc2db1543ae78")</f>
        <v>https://auction.openprocurement.org/tenders/8c039c68d27b48e5adfcc2db1543ae78</v>
      </c>
      <c r="R394" s="5">
        <v>43354.518581184464</v>
      </c>
      <c r="S394" s="4">
        <v>43365</v>
      </c>
      <c r="T394" s="4">
        <v>43375</v>
      </c>
      <c r="U394" s="1" t="s">
        <v>1956</v>
      </c>
      <c r="V394" s="5">
        <v>43367.721681554875</v>
      </c>
      <c r="W394" s="1" t="s">
        <v>780</v>
      </c>
      <c r="X394" s="6">
        <v>940450</v>
      </c>
      <c r="Y394" s="1"/>
      <c r="Z394" s="4">
        <v>43374</v>
      </c>
      <c r="AA394" s="5">
        <v>43465</v>
      </c>
      <c r="AB394" s="1" t="s">
        <v>1971</v>
      </c>
      <c r="AC394" s="1"/>
      <c r="AD394" s="1"/>
    </row>
    <row r="395" spans="1:30" hidden="1" x14ac:dyDescent="0.25">
      <c r="A395" s="1" t="s">
        <v>1021</v>
      </c>
      <c r="B395" s="1" t="s">
        <v>739</v>
      </c>
      <c r="C395" s="1" t="s">
        <v>1157</v>
      </c>
      <c r="D395" s="4">
        <v>43332</v>
      </c>
      <c r="E395" s="6">
        <v>30176</v>
      </c>
      <c r="F395" s="6"/>
      <c r="G395" s="6">
        <v>3352.8888888888887</v>
      </c>
      <c r="H395" s="1"/>
      <c r="I395" s="1"/>
      <c r="J395" s="1"/>
      <c r="K395" s="1" t="s">
        <v>1739</v>
      </c>
      <c r="L395" s="1" t="s">
        <v>718</v>
      </c>
      <c r="M395" s="1"/>
      <c r="N395" s="1" t="s">
        <v>296</v>
      </c>
      <c r="O395" s="1"/>
      <c r="P395" s="1"/>
      <c r="Q395" s="2"/>
      <c r="R395" s="1"/>
      <c r="S395" s="1"/>
      <c r="T395" s="1"/>
      <c r="U395" s="1" t="s">
        <v>1956</v>
      </c>
      <c r="V395" s="5">
        <v>43332.686803271368</v>
      </c>
      <c r="W395" s="1" t="s">
        <v>199</v>
      </c>
      <c r="X395" s="6">
        <v>30176</v>
      </c>
      <c r="Y395" s="1"/>
      <c r="Z395" s="4">
        <v>43351</v>
      </c>
      <c r="AA395" s="5">
        <v>43465</v>
      </c>
      <c r="AB395" s="1" t="s">
        <v>1971</v>
      </c>
      <c r="AC395" s="1"/>
      <c r="AD395" s="1"/>
    </row>
    <row r="396" spans="1:30" hidden="1" x14ac:dyDescent="0.25">
      <c r="A396" s="1" t="s">
        <v>1235</v>
      </c>
      <c r="B396" s="1" t="s">
        <v>320</v>
      </c>
      <c r="C396" s="1" t="s">
        <v>1147</v>
      </c>
      <c r="D396" s="4">
        <v>43328</v>
      </c>
      <c r="E396" s="6">
        <v>18100</v>
      </c>
      <c r="F396" s="6"/>
      <c r="G396" s="6">
        <v>149.58677685950414</v>
      </c>
      <c r="H396" s="1" t="s">
        <v>1133</v>
      </c>
      <c r="I396" s="1"/>
      <c r="J396" s="1"/>
      <c r="K396" s="1" t="s">
        <v>1133</v>
      </c>
      <c r="L396" s="1" t="s">
        <v>588</v>
      </c>
      <c r="M396" s="1" t="s">
        <v>960</v>
      </c>
      <c r="N396" s="1" t="s">
        <v>113</v>
      </c>
      <c r="O396" s="1"/>
      <c r="P396" s="1"/>
      <c r="Q396" s="2"/>
      <c r="R396" s="5">
        <v>43339.431892915032</v>
      </c>
      <c r="S396" s="4">
        <v>43342</v>
      </c>
      <c r="T396" s="4">
        <v>43363</v>
      </c>
      <c r="U396" s="1" t="s">
        <v>1956</v>
      </c>
      <c r="V396" s="5">
        <v>43343.389796308933</v>
      </c>
      <c r="W396" s="1" t="s">
        <v>1952</v>
      </c>
      <c r="X396" s="6">
        <v>18100</v>
      </c>
      <c r="Y396" s="1"/>
      <c r="Z396" s="4">
        <v>43357</v>
      </c>
      <c r="AA396" s="5">
        <v>43465</v>
      </c>
      <c r="AB396" s="1" t="s">
        <v>1971</v>
      </c>
      <c r="AC396" s="1"/>
      <c r="AD396" s="1"/>
    </row>
    <row r="397" spans="1:30" hidden="1" x14ac:dyDescent="0.25">
      <c r="A397" s="1" t="s">
        <v>1563</v>
      </c>
      <c r="B397" s="1" t="s">
        <v>788</v>
      </c>
      <c r="C397" s="1" t="s">
        <v>1157</v>
      </c>
      <c r="D397" s="4">
        <v>43328</v>
      </c>
      <c r="E397" s="6">
        <v>68247</v>
      </c>
      <c r="F397" s="6"/>
      <c r="G397" s="6">
        <v>68247</v>
      </c>
      <c r="H397" s="1"/>
      <c r="I397" s="1"/>
      <c r="J397" s="1"/>
      <c r="K397" s="1" t="s">
        <v>1752</v>
      </c>
      <c r="L397" s="1" t="s">
        <v>711</v>
      </c>
      <c r="M397" s="1"/>
      <c r="N397" s="1" t="s">
        <v>306</v>
      </c>
      <c r="O397" s="1"/>
      <c r="P397" s="1"/>
      <c r="Q397" s="2"/>
      <c r="R397" s="1"/>
      <c r="S397" s="1"/>
      <c r="T397" s="1"/>
      <c r="U397" s="1" t="s">
        <v>1956</v>
      </c>
      <c r="V397" s="5">
        <v>43328.625314824756</v>
      </c>
      <c r="W397" s="1" t="s">
        <v>1952</v>
      </c>
      <c r="X397" s="6">
        <v>68247</v>
      </c>
      <c r="Y397" s="4">
        <v>43318</v>
      </c>
      <c r="Z397" s="4">
        <v>43465</v>
      </c>
      <c r="AA397" s="5">
        <v>43465</v>
      </c>
      <c r="AB397" s="1" t="s">
        <v>1971</v>
      </c>
      <c r="AC397" s="1"/>
      <c r="AD397" s="1" t="s">
        <v>1168</v>
      </c>
    </row>
    <row r="398" spans="1:30" hidden="1" x14ac:dyDescent="0.25">
      <c r="A398" s="1" t="s">
        <v>1329</v>
      </c>
      <c r="B398" s="1" t="s">
        <v>318</v>
      </c>
      <c r="C398" s="1" t="s">
        <v>1147</v>
      </c>
      <c r="D398" s="4">
        <v>43328</v>
      </c>
      <c r="E398" s="6">
        <v>92400</v>
      </c>
      <c r="F398" s="6"/>
      <c r="G398" s="6">
        <v>26.4</v>
      </c>
      <c r="H398" s="1" t="s">
        <v>1717</v>
      </c>
      <c r="I398" s="6">
        <v>7140</v>
      </c>
      <c r="J398" s="6">
        <v>7.1729957805907171E-2</v>
      </c>
      <c r="K398" s="1" t="s">
        <v>1717</v>
      </c>
      <c r="L398" s="1" t="s">
        <v>687</v>
      </c>
      <c r="M398" s="1" t="s">
        <v>949</v>
      </c>
      <c r="N398" s="1" t="s">
        <v>127</v>
      </c>
      <c r="O398" s="6">
        <v>7140</v>
      </c>
      <c r="P398" s="6">
        <v>7.1729957805907171E-2</v>
      </c>
      <c r="Q398" s="2" t="str">
        <f>HYPERLINK("https://auction.openprocurement.org/tenders/4e0affd479994b29aaa7066b89f95863")</f>
        <v>https://auction.openprocurement.org/tenders/4e0affd479994b29aaa7066b89f95863</v>
      </c>
      <c r="R398" s="5">
        <v>43342.614324435461</v>
      </c>
      <c r="S398" s="4">
        <v>43346</v>
      </c>
      <c r="T398" s="4">
        <v>43363</v>
      </c>
      <c r="U398" s="1" t="s">
        <v>1956</v>
      </c>
      <c r="V398" s="5">
        <v>43347.627327518603</v>
      </c>
      <c r="W398" s="1" t="s">
        <v>1952</v>
      </c>
      <c r="X398" s="6">
        <v>92400</v>
      </c>
      <c r="Y398" s="1"/>
      <c r="Z398" s="4">
        <v>43357</v>
      </c>
      <c r="AA398" s="5">
        <v>43465</v>
      </c>
      <c r="AB398" s="1" t="s">
        <v>1971</v>
      </c>
      <c r="AC398" s="1"/>
      <c r="AD398" s="1"/>
    </row>
    <row r="399" spans="1:30" hidden="1" x14ac:dyDescent="0.25">
      <c r="A399" s="1" t="s">
        <v>1474</v>
      </c>
      <c r="B399" s="1" t="s">
        <v>786</v>
      </c>
      <c r="C399" s="1" t="s">
        <v>1157</v>
      </c>
      <c r="D399" s="4">
        <v>43326</v>
      </c>
      <c r="E399" s="6">
        <v>18500</v>
      </c>
      <c r="F399" s="6"/>
      <c r="G399" s="6">
        <v>18500</v>
      </c>
      <c r="H399" s="1"/>
      <c r="I399" s="1"/>
      <c r="J399" s="1"/>
      <c r="K399" s="1" t="s">
        <v>1533</v>
      </c>
      <c r="L399" s="1" t="s">
        <v>536</v>
      </c>
      <c r="M399" s="1"/>
      <c r="N399" s="1" t="s">
        <v>327</v>
      </c>
      <c r="O399" s="1"/>
      <c r="P399" s="1"/>
      <c r="Q399" s="2"/>
      <c r="R399" s="1"/>
      <c r="S399" s="1"/>
      <c r="T399" s="1"/>
      <c r="U399" s="1" t="s">
        <v>1956</v>
      </c>
      <c r="V399" s="5">
        <v>43326.720329333672</v>
      </c>
      <c r="W399" s="1" t="s">
        <v>849</v>
      </c>
      <c r="X399" s="6">
        <v>18500</v>
      </c>
      <c r="Y399" s="4">
        <v>43326</v>
      </c>
      <c r="Z399" s="4">
        <v>43387</v>
      </c>
      <c r="AA399" s="5">
        <v>43465</v>
      </c>
      <c r="AB399" s="1" t="s">
        <v>1971</v>
      </c>
      <c r="AC399" s="1"/>
      <c r="AD399" s="1" t="s">
        <v>1168</v>
      </c>
    </row>
    <row r="400" spans="1:30" hidden="1" x14ac:dyDescent="0.25">
      <c r="A400" s="1" t="s">
        <v>1388</v>
      </c>
      <c r="B400" s="1" t="s">
        <v>792</v>
      </c>
      <c r="C400" s="1" t="s">
        <v>1157</v>
      </c>
      <c r="D400" s="4">
        <v>43326</v>
      </c>
      <c r="E400" s="6">
        <v>99483</v>
      </c>
      <c r="F400" s="6"/>
      <c r="G400" s="6">
        <v>99483</v>
      </c>
      <c r="H400" s="1"/>
      <c r="I400" s="1"/>
      <c r="J400" s="1"/>
      <c r="K400" s="1" t="s">
        <v>1737</v>
      </c>
      <c r="L400" s="1" t="s">
        <v>705</v>
      </c>
      <c r="M400" s="1"/>
      <c r="N400" s="1" t="s">
        <v>102</v>
      </c>
      <c r="O400" s="1"/>
      <c r="P400" s="1"/>
      <c r="Q400" s="2"/>
      <c r="R400" s="1"/>
      <c r="S400" s="1"/>
      <c r="T400" s="1"/>
      <c r="U400" s="1" t="s">
        <v>1956</v>
      </c>
      <c r="V400" s="5">
        <v>43326.671593013139</v>
      </c>
      <c r="W400" s="1" t="s">
        <v>1952</v>
      </c>
      <c r="X400" s="6">
        <v>99483</v>
      </c>
      <c r="Y400" s="1"/>
      <c r="Z400" s="4">
        <v>43340</v>
      </c>
      <c r="AA400" s="5">
        <v>43465</v>
      </c>
      <c r="AB400" s="1" t="s">
        <v>1971</v>
      </c>
      <c r="AC400" s="1"/>
      <c r="AD400" s="1"/>
    </row>
    <row r="401" spans="1:30" hidden="1" x14ac:dyDescent="0.25">
      <c r="A401" s="1" t="s">
        <v>1552</v>
      </c>
      <c r="B401" s="1" t="s">
        <v>793</v>
      </c>
      <c r="C401" s="1" t="s">
        <v>1157</v>
      </c>
      <c r="D401" s="4">
        <v>43326</v>
      </c>
      <c r="E401" s="6">
        <v>458694.61</v>
      </c>
      <c r="F401" s="6"/>
      <c r="G401" s="6">
        <v>458694.61</v>
      </c>
      <c r="H401" s="1"/>
      <c r="I401" s="1"/>
      <c r="J401" s="1"/>
      <c r="K401" s="1" t="s">
        <v>1324</v>
      </c>
      <c r="L401" s="1" t="s">
        <v>576</v>
      </c>
      <c r="M401" s="1"/>
      <c r="N401" s="1" t="s">
        <v>297</v>
      </c>
      <c r="O401" s="1"/>
      <c r="P401" s="1"/>
      <c r="Q401" s="2"/>
      <c r="R401" s="1"/>
      <c r="S401" s="1"/>
      <c r="T401" s="1"/>
      <c r="U401" s="1" t="s">
        <v>1956</v>
      </c>
      <c r="V401" s="5">
        <v>43326.406121151551</v>
      </c>
      <c r="W401" s="1" t="s">
        <v>1952</v>
      </c>
      <c r="X401" s="6">
        <v>458694.61</v>
      </c>
      <c r="Y401" s="4">
        <v>43326</v>
      </c>
      <c r="Z401" s="4">
        <v>43465</v>
      </c>
      <c r="AA401" s="5">
        <v>43465</v>
      </c>
      <c r="AB401" s="1" t="s">
        <v>1971</v>
      </c>
      <c r="AC401" s="1"/>
      <c r="AD401" s="1" t="s">
        <v>1168</v>
      </c>
    </row>
    <row r="402" spans="1:30" hidden="1" x14ac:dyDescent="0.25">
      <c r="A402" s="1" t="s">
        <v>1626</v>
      </c>
      <c r="B402" s="1" t="s">
        <v>548</v>
      </c>
      <c r="C402" s="1" t="s">
        <v>1157</v>
      </c>
      <c r="D402" s="4">
        <v>43325</v>
      </c>
      <c r="E402" s="6">
        <v>99540</v>
      </c>
      <c r="F402" s="6"/>
      <c r="G402" s="6">
        <v>3555</v>
      </c>
      <c r="H402" s="1"/>
      <c r="I402" s="1"/>
      <c r="J402" s="1"/>
      <c r="K402" s="1" t="s">
        <v>1934</v>
      </c>
      <c r="L402" s="1" t="s">
        <v>550</v>
      </c>
      <c r="M402" s="1"/>
      <c r="N402" s="1" t="s">
        <v>334</v>
      </c>
      <c r="O402" s="1"/>
      <c r="P402" s="1"/>
      <c r="Q402" s="2"/>
      <c r="R402" s="1"/>
      <c r="S402" s="1"/>
      <c r="T402" s="1"/>
      <c r="U402" s="1" t="s">
        <v>1956</v>
      </c>
      <c r="V402" s="5">
        <v>43325.676038835198</v>
      </c>
      <c r="W402" s="1" t="s">
        <v>1952</v>
      </c>
      <c r="X402" s="6">
        <v>99540</v>
      </c>
      <c r="Y402" s="1"/>
      <c r="Z402" s="4">
        <v>43344</v>
      </c>
      <c r="AA402" s="5">
        <v>43465</v>
      </c>
      <c r="AB402" s="1" t="s">
        <v>1971</v>
      </c>
      <c r="AC402" s="1"/>
      <c r="AD402" s="1"/>
    </row>
    <row r="403" spans="1:30" hidden="1" x14ac:dyDescent="0.25">
      <c r="A403" s="1" t="s">
        <v>1205</v>
      </c>
      <c r="B403" s="1" t="s">
        <v>728</v>
      </c>
      <c r="C403" s="1" t="s">
        <v>1082</v>
      </c>
      <c r="D403" s="4">
        <v>43325</v>
      </c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2"/>
      <c r="R403" s="1"/>
      <c r="S403" s="1"/>
      <c r="T403" s="1"/>
      <c r="U403" s="1" t="s">
        <v>1957</v>
      </c>
      <c r="V403" s="5">
        <v>43362.000445045269</v>
      </c>
      <c r="W403" s="1"/>
      <c r="X403" s="1"/>
      <c r="Y403" s="1"/>
      <c r="Z403" s="4">
        <v>43392</v>
      </c>
      <c r="AA403" s="1"/>
      <c r="AB403" s="1"/>
      <c r="AC403" s="1"/>
      <c r="AD403" s="1"/>
    </row>
    <row r="404" spans="1:30" hidden="1" x14ac:dyDescent="0.25">
      <c r="A404" s="1" t="s">
        <v>1561</v>
      </c>
      <c r="B404" s="1" t="s">
        <v>788</v>
      </c>
      <c r="C404" s="1" t="s">
        <v>1157</v>
      </c>
      <c r="D404" s="4">
        <v>43318</v>
      </c>
      <c r="E404" s="6">
        <v>29000</v>
      </c>
      <c r="F404" s="6"/>
      <c r="G404" s="6">
        <v>29000</v>
      </c>
      <c r="H404" s="1"/>
      <c r="I404" s="1"/>
      <c r="J404" s="1"/>
      <c r="K404" s="1" t="s">
        <v>1350</v>
      </c>
      <c r="L404" s="1" t="s">
        <v>491</v>
      </c>
      <c r="M404" s="1"/>
      <c r="N404" s="1" t="s">
        <v>307</v>
      </c>
      <c r="O404" s="1"/>
      <c r="P404" s="1"/>
      <c r="Q404" s="2"/>
      <c r="R404" s="1"/>
      <c r="S404" s="1"/>
      <c r="T404" s="1"/>
      <c r="U404" s="1" t="s">
        <v>1956</v>
      </c>
      <c r="V404" s="5">
        <v>43318.478369264674</v>
      </c>
      <c r="W404" s="1" t="s">
        <v>1025</v>
      </c>
      <c r="X404" s="6">
        <v>29000</v>
      </c>
      <c r="Y404" s="1"/>
      <c r="Z404" s="4">
        <v>43465</v>
      </c>
      <c r="AA404" s="5">
        <v>43465</v>
      </c>
      <c r="AB404" s="1" t="s">
        <v>1971</v>
      </c>
      <c r="AC404" s="1"/>
      <c r="AD404" s="1" t="s">
        <v>1168</v>
      </c>
    </row>
    <row r="405" spans="1:30" hidden="1" x14ac:dyDescent="0.25">
      <c r="A405" s="1" t="s">
        <v>1502</v>
      </c>
      <c r="B405" s="1" t="s">
        <v>758</v>
      </c>
      <c r="C405" s="1" t="s">
        <v>1081</v>
      </c>
      <c r="D405" s="4">
        <v>43315</v>
      </c>
      <c r="E405" s="6">
        <v>51927</v>
      </c>
      <c r="F405" s="6"/>
      <c r="G405" s="6">
        <v>51927</v>
      </c>
      <c r="H405" s="1" t="s">
        <v>1869</v>
      </c>
      <c r="I405" s="6">
        <v>273</v>
      </c>
      <c r="J405" s="6">
        <v>5.2298850574712639E-3</v>
      </c>
      <c r="K405" s="1" t="s">
        <v>1869</v>
      </c>
      <c r="L405" s="1" t="s">
        <v>494</v>
      </c>
      <c r="M405" s="1" t="s">
        <v>953</v>
      </c>
      <c r="N405" s="1" t="s">
        <v>118</v>
      </c>
      <c r="O405" s="6">
        <v>273</v>
      </c>
      <c r="P405" s="6">
        <v>5.2298850574712639E-3</v>
      </c>
      <c r="Q405" s="2" t="str">
        <f>HYPERLINK("https://auction.openprocurement.org/tenders/4b1229f3c21f401a93d2c8faf60caba3")</f>
        <v>https://auction.openprocurement.org/tenders/4b1229f3c21f401a93d2c8faf60caba3</v>
      </c>
      <c r="R405" s="5">
        <v>43334.498268069998</v>
      </c>
      <c r="S405" s="4">
        <v>43345</v>
      </c>
      <c r="T405" s="4">
        <v>43355</v>
      </c>
      <c r="U405" s="1" t="s">
        <v>1956</v>
      </c>
      <c r="V405" s="5">
        <v>43346.420896932221</v>
      </c>
      <c r="W405" s="1" t="s">
        <v>408</v>
      </c>
      <c r="X405" s="6">
        <v>51927</v>
      </c>
      <c r="Y405" s="1"/>
      <c r="Z405" s="4">
        <v>43350</v>
      </c>
      <c r="AA405" s="5">
        <v>43465</v>
      </c>
      <c r="AB405" s="1" t="s">
        <v>1971</v>
      </c>
      <c r="AC405" s="1"/>
      <c r="AD405" s="1"/>
    </row>
    <row r="406" spans="1:30" hidden="1" x14ac:dyDescent="0.25">
      <c r="A406" s="1" t="s">
        <v>1193</v>
      </c>
      <c r="B406" s="1" t="s">
        <v>747</v>
      </c>
      <c r="C406" s="1" t="s">
        <v>1081</v>
      </c>
      <c r="D406" s="4">
        <v>43314</v>
      </c>
      <c r="E406" s="6">
        <v>395500</v>
      </c>
      <c r="F406" s="6"/>
      <c r="G406" s="6">
        <v>395500</v>
      </c>
      <c r="H406" s="1" t="s">
        <v>1654</v>
      </c>
      <c r="I406" s="6">
        <v>4500</v>
      </c>
      <c r="J406" s="6">
        <v>1.125E-2</v>
      </c>
      <c r="K406" s="1" t="s">
        <v>1654</v>
      </c>
      <c r="L406" s="1" t="s">
        <v>704</v>
      </c>
      <c r="M406" s="1" t="s">
        <v>889</v>
      </c>
      <c r="N406" s="1" t="s">
        <v>54</v>
      </c>
      <c r="O406" s="6">
        <v>4500</v>
      </c>
      <c r="P406" s="6">
        <v>1.125E-2</v>
      </c>
      <c r="Q406" s="2" t="str">
        <f>HYPERLINK("https://auction.openprocurement.org/tenders/c0d98fd9303f464baeb63173d642e698")</f>
        <v>https://auction.openprocurement.org/tenders/c0d98fd9303f464baeb63173d642e698</v>
      </c>
      <c r="R406" s="5">
        <v>43333.649445124363</v>
      </c>
      <c r="S406" s="4">
        <v>43344</v>
      </c>
      <c r="T406" s="4">
        <v>43354</v>
      </c>
      <c r="U406" s="1" t="s">
        <v>1956</v>
      </c>
      <c r="V406" s="5">
        <v>43347.710881667015</v>
      </c>
      <c r="W406" s="1" t="s">
        <v>251</v>
      </c>
      <c r="X406" s="6">
        <v>395500</v>
      </c>
      <c r="Y406" s="1"/>
      <c r="Z406" s="4">
        <v>43349</v>
      </c>
      <c r="AA406" s="5">
        <v>43465</v>
      </c>
      <c r="AB406" s="1" t="s">
        <v>1971</v>
      </c>
      <c r="AC406" s="1"/>
      <c r="AD406" s="1"/>
    </row>
    <row r="407" spans="1:30" hidden="1" x14ac:dyDescent="0.25">
      <c r="A407" s="1" t="s">
        <v>1576</v>
      </c>
      <c r="B407" s="1" t="s">
        <v>471</v>
      </c>
      <c r="C407" s="1" t="s">
        <v>1081</v>
      </c>
      <c r="D407" s="4">
        <v>43314</v>
      </c>
      <c r="E407" s="6">
        <v>398000</v>
      </c>
      <c r="F407" s="6"/>
      <c r="G407" s="6">
        <v>398000</v>
      </c>
      <c r="H407" s="1" t="s">
        <v>1707</v>
      </c>
      <c r="I407" s="6">
        <v>32000</v>
      </c>
      <c r="J407" s="6">
        <v>7.441860465116279E-2</v>
      </c>
      <c r="K407" s="1" t="s">
        <v>1842</v>
      </c>
      <c r="L407" s="1" t="s">
        <v>467</v>
      </c>
      <c r="M407" s="1" t="s">
        <v>883</v>
      </c>
      <c r="N407" s="1" t="s">
        <v>137</v>
      </c>
      <c r="O407" s="6">
        <v>2000</v>
      </c>
      <c r="P407" s="6">
        <v>4.6511627906976744E-3</v>
      </c>
      <c r="Q407" s="2" t="str">
        <f>HYPERLINK("https://auction.openprocurement.org/tenders/a213ee4fff4546e992961d3ba6c4a691")</f>
        <v>https://auction.openprocurement.org/tenders/a213ee4fff4546e992961d3ba6c4a691</v>
      </c>
      <c r="R407" s="5">
        <v>43332.714991641769</v>
      </c>
      <c r="S407" s="4">
        <v>43343</v>
      </c>
      <c r="T407" s="4">
        <v>43353</v>
      </c>
      <c r="U407" s="1" t="s">
        <v>1956</v>
      </c>
      <c r="V407" s="5">
        <v>43346.697636454039</v>
      </c>
      <c r="W407" s="1" t="s">
        <v>242</v>
      </c>
      <c r="X407" s="6">
        <v>428000</v>
      </c>
      <c r="Y407" s="1"/>
      <c r="Z407" s="4">
        <v>43346</v>
      </c>
      <c r="AA407" s="5">
        <v>43465</v>
      </c>
      <c r="AB407" s="1" t="s">
        <v>1971</v>
      </c>
      <c r="AC407" s="1"/>
      <c r="AD407" s="1"/>
    </row>
    <row r="408" spans="1:30" hidden="1" x14ac:dyDescent="0.25">
      <c r="A408" s="1" t="s">
        <v>1357</v>
      </c>
      <c r="B408" s="1" t="s">
        <v>774</v>
      </c>
      <c r="C408" s="1" t="s">
        <v>1157</v>
      </c>
      <c r="D408" s="4">
        <v>43314</v>
      </c>
      <c r="E408" s="6">
        <v>27000</v>
      </c>
      <c r="F408" s="6"/>
      <c r="G408" s="6">
        <v>27000</v>
      </c>
      <c r="H408" s="1"/>
      <c r="I408" s="1"/>
      <c r="J408" s="1"/>
      <c r="K408" s="1" t="s">
        <v>1175</v>
      </c>
      <c r="L408" s="1" t="s">
        <v>232</v>
      </c>
      <c r="M408" s="1"/>
      <c r="N408" s="1" t="s">
        <v>282</v>
      </c>
      <c r="O408" s="1"/>
      <c r="P408" s="1"/>
      <c r="Q408" s="2"/>
      <c r="R408" s="1"/>
      <c r="S408" s="1"/>
      <c r="T408" s="1"/>
      <c r="U408" s="1" t="s">
        <v>1956</v>
      </c>
      <c r="V408" s="5">
        <v>43314.405900987353</v>
      </c>
      <c r="W408" s="1" t="s">
        <v>811</v>
      </c>
      <c r="X408" s="6">
        <v>27000</v>
      </c>
      <c r="Y408" s="1"/>
      <c r="Z408" s="4">
        <v>43465</v>
      </c>
      <c r="AA408" s="5">
        <v>43465</v>
      </c>
      <c r="AB408" s="1" t="s">
        <v>1971</v>
      </c>
      <c r="AC408" s="1"/>
      <c r="AD408" s="1"/>
    </row>
    <row r="409" spans="1:30" hidden="1" x14ac:dyDescent="0.25">
      <c r="A409" s="1" t="s">
        <v>1333</v>
      </c>
      <c r="B409" s="1" t="s">
        <v>631</v>
      </c>
      <c r="C409" s="1" t="s">
        <v>1157</v>
      </c>
      <c r="D409" s="4">
        <v>43311</v>
      </c>
      <c r="E409" s="6">
        <v>162750</v>
      </c>
      <c r="F409" s="6"/>
      <c r="G409" s="6">
        <v>5085.9375</v>
      </c>
      <c r="H409" s="1"/>
      <c r="I409" s="1"/>
      <c r="J409" s="1"/>
      <c r="K409" s="1" t="s">
        <v>1949</v>
      </c>
      <c r="L409" s="1" t="s">
        <v>500</v>
      </c>
      <c r="M409" s="1"/>
      <c r="N409" s="1" t="s">
        <v>313</v>
      </c>
      <c r="O409" s="1"/>
      <c r="P409" s="1"/>
      <c r="Q409" s="2"/>
      <c r="R409" s="1"/>
      <c r="S409" s="1"/>
      <c r="T409" s="1"/>
      <c r="U409" s="1" t="s">
        <v>1956</v>
      </c>
      <c r="V409" s="5">
        <v>43311.71894996507</v>
      </c>
      <c r="W409" s="1" t="s">
        <v>1952</v>
      </c>
      <c r="X409" s="6">
        <v>162750</v>
      </c>
      <c r="Y409" s="1"/>
      <c r="Z409" s="4">
        <v>43349</v>
      </c>
      <c r="AA409" s="5">
        <v>43465</v>
      </c>
      <c r="AB409" s="1" t="s">
        <v>1971</v>
      </c>
      <c r="AC409" s="1"/>
      <c r="AD409" s="1"/>
    </row>
    <row r="410" spans="1:30" hidden="1" x14ac:dyDescent="0.25">
      <c r="A410" s="1" t="s">
        <v>1044</v>
      </c>
      <c r="B410" s="1" t="s">
        <v>235</v>
      </c>
      <c r="C410" s="1" t="s">
        <v>1081</v>
      </c>
      <c r="D410" s="4">
        <v>43311</v>
      </c>
      <c r="E410" s="6">
        <v>229750</v>
      </c>
      <c r="F410" s="6"/>
      <c r="G410" s="6">
        <v>199.78260869565219</v>
      </c>
      <c r="H410" s="1" t="s">
        <v>1758</v>
      </c>
      <c r="I410" s="6">
        <v>250</v>
      </c>
      <c r="J410" s="6">
        <v>1.0869565217391304E-3</v>
      </c>
      <c r="K410" s="1" t="s">
        <v>1758</v>
      </c>
      <c r="L410" s="1" t="s">
        <v>546</v>
      </c>
      <c r="M410" s="1" t="s">
        <v>990</v>
      </c>
      <c r="N410" s="1" t="s">
        <v>42</v>
      </c>
      <c r="O410" s="6">
        <v>250</v>
      </c>
      <c r="P410" s="6">
        <v>1.0869565217391304E-3</v>
      </c>
      <c r="Q410" s="2" t="str">
        <f>HYPERLINK("https://auction.openprocurement.org/tenders/cba8148d4af443bdb25affe0be0ceff6")</f>
        <v>https://auction.openprocurement.org/tenders/cba8148d4af443bdb25affe0be0ceff6</v>
      </c>
      <c r="R410" s="5">
        <v>43327.704748408978</v>
      </c>
      <c r="S410" s="4">
        <v>43338</v>
      </c>
      <c r="T410" s="4">
        <v>43348</v>
      </c>
      <c r="U410" s="1" t="s">
        <v>1956</v>
      </c>
      <c r="V410" s="5">
        <v>43339.698422764908</v>
      </c>
      <c r="W410" s="1" t="s">
        <v>218</v>
      </c>
      <c r="X410" s="6">
        <v>229750</v>
      </c>
      <c r="Y410" s="1"/>
      <c r="Z410" s="4">
        <v>43349</v>
      </c>
      <c r="AA410" s="5">
        <v>43465</v>
      </c>
      <c r="AB410" s="1" t="s">
        <v>1971</v>
      </c>
      <c r="AC410" s="1"/>
      <c r="AD410" s="1"/>
    </row>
    <row r="411" spans="1:30" hidden="1" x14ac:dyDescent="0.25">
      <c r="A411" s="1" t="s">
        <v>1517</v>
      </c>
      <c r="B411" s="1" t="s">
        <v>413</v>
      </c>
      <c r="C411" s="1" t="s">
        <v>1157</v>
      </c>
      <c r="D411" s="4">
        <v>43308</v>
      </c>
      <c r="E411" s="6">
        <v>4279.97</v>
      </c>
      <c r="F411" s="6"/>
      <c r="G411" s="6">
        <v>534.99625000000003</v>
      </c>
      <c r="H411" s="1"/>
      <c r="I411" s="1"/>
      <c r="J411" s="1"/>
      <c r="K411" s="1" t="s">
        <v>1732</v>
      </c>
      <c r="L411" s="1" t="s">
        <v>560</v>
      </c>
      <c r="M411" s="1"/>
      <c r="N411" s="1" t="s">
        <v>293</v>
      </c>
      <c r="O411" s="1"/>
      <c r="P411" s="1"/>
      <c r="Q411" s="2"/>
      <c r="R411" s="1"/>
      <c r="S411" s="1"/>
      <c r="T411" s="1"/>
      <c r="U411" s="1" t="s">
        <v>1956</v>
      </c>
      <c r="V411" s="5">
        <v>43308.498828839409</v>
      </c>
      <c r="W411" s="1" t="s">
        <v>1952</v>
      </c>
      <c r="X411" s="6">
        <v>4279.97</v>
      </c>
      <c r="Y411" s="1"/>
      <c r="Z411" s="4">
        <v>43327</v>
      </c>
      <c r="AA411" s="5">
        <v>43465</v>
      </c>
      <c r="AB411" s="1" t="s">
        <v>1971</v>
      </c>
      <c r="AC411" s="1"/>
      <c r="AD411" s="1"/>
    </row>
    <row r="412" spans="1:30" hidden="1" x14ac:dyDescent="0.25">
      <c r="A412" s="1" t="s">
        <v>1246</v>
      </c>
      <c r="B412" s="1" t="s">
        <v>739</v>
      </c>
      <c r="C412" s="1" t="s">
        <v>1157</v>
      </c>
      <c r="D412" s="4">
        <v>43306</v>
      </c>
      <c r="E412" s="6">
        <v>75000</v>
      </c>
      <c r="F412" s="6"/>
      <c r="G412" s="6">
        <v>75000</v>
      </c>
      <c r="H412" s="1"/>
      <c r="I412" s="1"/>
      <c r="J412" s="1"/>
      <c r="K412" s="1" t="s">
        <v>1739</v>
      </c>
      <c r="L412" s="1" t="s">
        <v>718</v>
      </c>
      <c r="M412" s="1"/>
      <c r="N412" s="1" t="s">
        <v>104</v>
      </c>
      <c r="O412" s="1"/>
      <c r="P412" s="1"/>
      <c r="Q412" s="2"/>
      <c r="R412" s="1"/>
      <c r="S412" s="1"/>
      <c r="T412" s="1"/>
      <c r="U412" s="1" t="s">
        <v>1956</v>
      </c>
      <c r="V412" s="5">
        <v>43306.550303303637</v>
      </c>
      <c r="W412" s="1" t="s">
        <v>436</v>
      </c>
      <c r="X412" s="6">
        <v>75000</v>
      </c>
      <c r="Y412" s="1"/>
      <c r="Z412" s="4">
        <v>43344</v>
      </c>
      <c r="AA412" s="5">
        <v>43465</v>
      </c>
      <c r="AB412" s="1" t="s">
        <v>1971</v>
      </c>
      <c r="AC412" s="1"/>
      <c r="AD412" s="1"/>
    </row>
    <row r="413" spans="1:30" hidden="1" x14ac:dyDescent="0.25">
      <c r="A413" s="1" t="s">
        <v>1017</v>
      </c>
      <c r="B413" s="1" t="s">
        <v>667</v>
      </c>
      <c r="C413" s="1" t="s">
        <v>1157</v>
      </c>
      <c r="D413" s="4">
        <v>43306</v>
      </c>
      <c r="E413" s="6">
        <v>25000</v>
      </c>
      <c r="F413" s="6"/>
      <c r="G413" s="6">
        <v>12500</v>
      </c>
      <c r="H413" s="1"/>
      <c r="I413" s="1"/>
      <c r="J413" s="1"/>
      <c r="K413" s="1" t="s">
        <v>1739</v>
      </c>
      <c r="L413" s="1" t="s">
        <v>718</v>
      </c>
      <c r="M413" s="1"/>
      <c r="N413" s="1" t="s">
        <v>104</v>
      </c>
      <c r="O413" s="1"/>
      <c r="P413" s="1"/>
      <c r="Q413" s="2"/>
      <c r="R413" s="1"/>
      <c r="S413" s="1"/>
      <c r="T413" s="1"/>
      <c r="U413" s="1" t="s">
        <v>1956</v>
      </c>
      <c r="V413" s="5">
        <v>43306.520692988852</v>
      </c>
      <c r="W413" s="1" t="s">
        <v>343</v>
      </c>
      <c r="X413" s="6">
        <v>25000</v>
      </c>
      <c r="Y413" s="1"/>
      <c r="Z413" s="4">
        <v>43344</v>
      </c>
      <c r="AA413" s="5">
        <v>43465</v>
      </c>
      <c r="AB413" s="1" t="s">
        <v>1971</v>
      </c>
      <c r="AC413" s="1"/>
      <c r="AD413" s="1"/>
    </row>
    <row r="414" spans="1:30" hidden="1" x14ac:dyDescent="0.25">
      <c r="A414" s="1" t="s">
        <v>1271</v>
      </c>
      <c r="B414" s="1" t="s">
        <v>717</v>
      </c>
      <c r="C414" s="1" t="s">
        <v>1157</v>
      </c>
      <c r="D414" s="4">
        <v>43304</v>
      </c>
      <c r="E414" s="6">
        <v>51311.92</v>
      </c>
      <c r="F414" s="6"/>
      <c r="G414" s="6">
        <v>51311.92</v>
      </c>
      <c r="H414" s="1"/>
      <c r="I414" s="1"/>
      <c r="J414" s="1"/>
      <c r="K414" s="1" t="s">
        <v>1938</v>
      </c>
      <c r="L414" s="1" t="s">
        <v>539</v>
      </c>
      <c r="M414" s="1"/>
      <c r="N414" s="1" t="s">
        <v>286</v>
      </c>
      <c r="O414" s="1"/>
      <c r="P414" s="1"/>
      <c r="Q414" s="2"/>
      <c r="R414" s="1"/>
      <c r="S414" s="1"/>
      <c r="T414" s="1"/>
      <c r="U414" s="1" t="s">
        <v>1956</v>
      </c>
      <c r="V414" s="5">
        <v>43304.71763060127</v>
      </c>
      <c r="W414" s="1" t="s">
        <v>1952</v>
      </c>
      <c r="X414" s="6">
        <v>51311.92</v>
      </c>
      <c r="Y414" s="1"/>
      <c r="Z414" s="4">
        <v>43312</v>
      </c>
      <c r="AA414" s="5">
        <v>43465</v>
      </c>
      <c r="AB414" s="1" t="s">
        <v>1971</v>
      </c>
      <c r="AC414" s="1"/>
      <c r="AD414" s="1"/>
    </row>
    <row r="415" spans="1:30" hidden="1" x14ac:dyDescent="0.25">
      <c r="A415" s="1" t="s">
        <v>1179</v>
      </c>
      <c r="B415" s="1" t="s">
        <v>737</v>
      </c>
      <c r="C415" s="1" t="s">
        <v>1157</v>
      </c>
      <c r="D415" s="4">
        <v>43301</v>
      </c>
      <c r="E415" s="6">
        <v>34461.800000000003</v>
      </c>
      <c r="F415" s="6"/>
      <c r="G415" s="6">
        <v>10.34888888888889</v>
      </c>
      <c r="H415" s="1"/>
      <c r="I415" s="1"/>
      <c r="J415" s="1"/>
      <c r="K415" s="1" t="s">
        <v>1938</v>
      </c>
      <c r="L415" s="1" t="s">
        <v>539</v>
      </c>
      <c r="M415" s="1"/>
      <c r="N415" s="1" t="s">
        <v>87</v>
      </c>
      <c r="O415" s="1"/>
      <c r="P415" s="1"/>
      <c r="Q415" s="2"/>
      <c r="R415" s="1"/>
      <c r="S415" s="1"/>
      <c r="T415" s="1"/>
      <c r="U415" s="1" t="s">
        <v>1956</v>
      </c>
      <c r="V415" s="5">
        <v>43301.683810225819</v>
      </c>
      <c r="W415" s="1" t="s">
        <v>1952</v>
      </c>
      <c r="X415" s="6">
        <v>34461.800000000003</v>
      </c>
      <c r="Y415" s="1"/>
      <c r="Z415" s="4">
        <v>43312</v>
      </c>
      <c r="AA415" s="5">
        <v>43465</v>
      </c>
      <c r="AB415" s="1" t="s">
        <v>1971</v>
      </c>
      <c r="AC415" s="1"/>
      <c r="AD415" s="1"/>
    </row>
    <row r="416" spans="1:30" hidden="1" x14ac:dyDescent="0.25">
      <c r="A416" s="1" t="s">
        <v>1061</v>
      </c>
      <c r="B416" s="1" t="s">
        <v>427</v>
      </c>
      <c r="C416" s="1" t="s">
        <v>1081</v>
      </c>
      <c r="D416" s="4">
        <v>43301</v>
      </c>
      <c r="E416" s="6">
        <v>130850</v>
      </c>
      <c r="F416" s="6"/>
      <c r="G416" s="6">
        <v>2617</v>
      </c>
      <c r="H416" s="1" t="s">
        <v>1896</v>
      </c>
      <c r="I416" s="6">
        <v>50</v>
      </c>
      <c r="J416" s="6">
        <v>3.8197097020626432E-4</v>
      </c>
      <c r="K416" s="1" t="s">
        <v>1896</v>
      </c>
      <c r="L416" s="1" t="s">
        <v>561</v>
      </c>
      <c r="M416" s="1" t="s">
        <v>974</v>
      </c>
      <c r="N416" s="1" t="s">
        <v>93</v>
      </c>
      <c r="O416" s="6">
        <v>50</v>
      </c>
      <c r="P416" s="6">
        <v>3.8197097020626432E-4</v>
      </c>
      <c r="Q416" s="2" t="str">
        <f>HYPERLINK("https://auction.openprocurement.org/tenders/eda26f3afd2a4d3eaac47d3b0cf440eb")</f>
        <v>https://auction.openprocurement.org/tenders/eda26f3afd2a4d3eaac47d3b0cf440eb</v>
      </c>
      <c r="R416" s="5">
        <v>43322.631786510159</v>
      </c>
      <c r="S416" s="4">
        <v>43333</v>
      </c>
      <c r="T416" s="4">
        <v>43343</v>
      </c>
      <c r="U416" s="1" t="s">
        <v>1956</v>
      </c>
      <c r="V416" s="5">
        <v>43333.381560417431</v>
      </c>
      <c r="W416" s="1" t="s">
        <v>1952</v>
      </c>
      <c r="X416" s="6">
        <v>130850</v>
      </c>
      <c r="Y416" s="1"/>
      <c r="Z416" s="4">
        <v>43344</v>
      </c>
      <c r="AA416" s="5">
        <v>43465</v>
      </c>
      <c r="AB416" s="1" t="s">
        <v>1971</v>
      </c>
      <c r="AC416" s="1"/>
      <c r="AD416" s="1"/>
    </row>
    <row r="417" spans="1:30" hidden="1" x14ac:dyDescent="0.25">
      <c r="A417" s="1" t="s">
        <v>1375</v>
      </c>
      <c r="B417" s="1" t="s">
        <v>778</v>
      </c>
      <c r="C417" s="1" t="s">
        <v>1081</v>
      </c>
      <c r="D417" s="4">
        <v>43300</v>
      </c>
      <c r="E417" s="6">
        <v>269300</v>
      </c>
      <c r="F417" s="6"/>
      <c r="G417" s="6">
        <v>269300</v>
      </c>
      <c r="H417" s="1" t="s">
        <v>1633</v>
      </c>
      <c r="I417" s="6">
        <v>10700</v>
      </c>
      <c r="J417" s="6">
        <v>3.8214285714285715E-2</v>
      </c>
      <c r="K417" s="1" t="s">
        <v>1633</v>
      </c>
      <c r="L417" s="1" t="s">
        <v>628</v>
      </c>
      <c r="M417" s="1" t="s">
        <v>866</v>
      </c>
      <c r="N417" s="1" t="s">
        <v>179</v>
      </c>
      <c r="O417" s="6">
        <v>10700</v>
      </c>
      <c r="P417" s="6">
        <v>3.8214285714285715E-2</v>
      </c>
      <c r="Q417" s="2" t="str">
        <f>HYPERLINK("https://auction.openprocurement.org/tenders/7d1d7cb2a59648bea4db478d930b0896")</f>
        <v>https://auction.openprocurement.org/tenders/7d1d7cb2a59648bea4db478d930b0896</v>
      </c>
      <c r="R417" s="5">
        <v>43320.589443610523</v>
      </c>
      <c r="S417" s="4">
        <v>43331</v>
      </c>
      <c r="T417" s="4">
        <v>43341</v>
      </c>
      <c r="U417" s="1" t="s">
        <v>1956</v>
      </c>
      <c r="V417" s="5">
        <v>43332.430038391874</v>
      </c>
      <c r="W417" s="1" t="s">
        <v>205</v>
      </c>
      <c r="X417" s="6">
        <v>269300</v>
      </c>
      <c r="Y417" s="1"/>
      <c r="Z417" s="4">
        <v>43344</v>
      </c>
      <c r="AA417" s="5">
        <v>43465</v>
      </c>
      <c r="AB417" s="1" t="s">
        <v>1971</v>
      </c>
      <c r="AC417" s="1"/>
      <c r="AD417" s="1"/>
    </row>
    <row r="418" spans="1:30" hidden="1" x14ac:dyDescent="0.25">
      <c r="A418" s="1" t="s">
        <v>1284</v>
      </c>
      <c r="B418" s="1" t="s">
        <v>729</v>
      </c>
      <c r="C418" s="1" t="s">
        <v>1081</v>
      </c>
      <c r="D418" s="4">
        <v>43300</v>
      </c>
      <c r="E418" s="6">
        <v>235726</v>
      </c>
      <c r="F418" s="6"/>
      <c r="G418" s="6">
        <v>88.253837514039688</v>
      </c>
      <c r="H418" s="1" t="s">
        <v>1923</v>
      </c>
      <c r="I418" s="6">
        <v>1644</v>
      </c>
      <c r="J418" s="6">
        <v>6.9258962800690903E-3</v>
      </c>
      <c r="K418" s="1" t="s">
        <v>1923</v>
      </c>
      <c r="L418" s="1" t="s">
        <v>501</v>
      </c>
      <c r="M418" s="1" t="s">
        <v>985</v>
      </c>
      <c r="N418" s="1" t="s">
        <v>138</v>
      </c>
      <c r="O418" s="6">
        <v>1644</v>
      </c>
      <c r="P418" s="6">
        <v>6.9258962800690903E-3</v>
      </c>
      <c r="Q418" s="2" t="str">
        <f>HYPERLINK("https://auction.openprocurement.org/tenders/58ccfed5ff3d4bf692798e97913d521a")</f>
        <v>https://auction.openprocurement.org/tenders/58ccfed5ff3d4bf692798e97913d521a</v>
      </c>
      <c r="R418" s="5">
        <v>43320.503399282141</v>
      </c>
      <c r="S418" s="4">
        <v>43331</v>
      </c>
      <c r="T418" s="4">
        <v>43341</v>
      </c>
      <c r="U418" s="1" t="s">
        <v>1956</v>
      </c>
      <c r="V418" s="5">
        <v>43332.426557513863</v>
      </c>
      <c r="W418" s="1" t="s">
        <v>1952</v>
      </c>
      <c r="X418" s="6">
        <v>235726</v>
      </c>
      <c r="Y418" s="1"/>
      <c r="Z418" s="4">
        <v>43344</v>
      </c>
      <c r="AA418" s="5">
        <v>43465</v>
      </c>
      <c r="AB418" s="1" t="s">
        <v>1971</v>
      </c>
      <c r="AC418" s="1"/>
      <c r="AD418" s="1"/>
    </row>
    <row r="419" spans="1:30" hidden="1" x14ac:dyDescent="0.25">
      <c r="A419" s="1" t="s">
        <v>1054</v>
      </c>
      <c r="B419" s="1" t="s">
        <v>375</v>
      </c>
      <c r="C419" s="1" t="s">
        <v>1157</v>
      </c>
      <c r="D419" s="4">
        <v>43300</v>
      </c>
      <c r="E419" s="6">
        <v>8300</v>
      </c>
      <c r="F419" s="6"/>
      <c r="G419" s="6">
        <v>415</v>
      </c>
      <c r="H419" s="1"/>
      <c r="I419" s="1"/>
      <c r="J419" s="1"/>
      <c r="K419" s="1" t="s">
        <v>1265</v>
      </c>
      <c r="L419" s="1" t="s">
        <v>466</v>
      </c>
      <c r="M419" s="1"/>
      <c r="N419" s="1" t="s">
        <v>147</v>
      </c>
      <c r="O419" s="1"/>
      <c r="P419" s="1"/>
      <c r="Q419" s="2"/>
      <c r="R419" s="1"/>
      <c r="S419" s="1"/>
      <c r="T419" s="1"/>
      <c r="U419" s="1" t="s">
        <v>1956</v>
      </c>
      <c r="V419" s="5">
        <v>43300.690426282017</v>
      </c>
      <c r="W419" s="1" t="s">
        <v>1952</v>
      </c>
      <c r="X419" s="6">
        <v>8300</v>
      </c>
      <c r="Y419" s="1"/>
      <c r="Z419" s="4">
        <v>43312</v>
      </c>
      <c r="AA419" s="5">
        <v>43465</v>
      </c>
      <c r="AB419" s="1" t="s">
        <v>1971</v>
      </c>
      <c r="AC419" s="1"/>
      <c r="AD419" s="1"/>
    </row>
    <row r="420" spans="1:30" hidden="1" x14ac:dyDescent="0.25">
      <c r="A420" s="1" t="s">
        <v>1508</v>
      </c>
      <c r="B420" s="1" t="s">
        <v>762</v>
      </c>
      <c r="C420" s="1" t="s">
        <v>1157</v>
      </c>
      <c r="D420" s="4">
        <v>43291</v>
      </c>
      <c r="E420" s="6">
        <v>4914</v>
      </c>
      <c r="F420" s="6"/>
      <c r="G420" s="6">
        <v>4914</v>
      </c>
      <c r="H420" s="1"/>
      <c r="I420" s="1"/>
      <c r="J420" s="1"/>
      <c r="K420" s="1" t="s">
        <v>1934</v>
      </c>
      <c r="L420" s="1" t="s">
        <v>550</v>
      </c>
      <c r="M420" s="1"/>
      <c r="N420" s="1" t="s">
        <v>334</v>
      </c>
      <c r="O420" s="1"/>
      <c r="P420" s="1"/>
      <c r="Q420" s="2"/>
      <c r="R420" s="1"/>
      <c r="S420" s="1"/>
      <c r="T420" s="1"/>
      <c r="U420" s="1" t="s">
        <v>1956</v>
      </c>
      <c r="V420" s="5">
        <v>43291.717605630234</v>
      </c>
      <c r="W420" s="1" t="s">
        <v>1952</v>
      </c>
      <c r="X420" s="6">
        <v>4914</v>
      </c>
      <c r="Y420" s="1"/>
      <c r="Z420" s="4">
        <v>43312</v>
      </c>
      <c r="AA420" s="5">
        <v>43465</v>
      </c>
      <c r="AB420" s="1" t="s">
        <v>1971</v>
      </c>
      <c r="AC420" s="1"/>
      <c r="AD420" s="1"/>
    </row>
    <row r="421" spans="1:30" hidden="1" x14ac:dyDescent="0.25">
      <c r="A421" s="1" t="s">
        <v>998</v>
      </c>
      <c r="B421" s="1" t="s">
        <v>753</v>
      </c>
      <c r="C421" s="1" t="s">
        <v>1081</v>
      </c>
      <c r="D421" s="4">
        <v>43287</v>
      </c>
      <c r="E421" s="6">
        <v>25159959.32</v>
      </c>
      <c r="F421" s="6"/>
      <c r="G421" s="6">
        <v>25159959.32</v>
      </c>
      <c r="H421" s="1" t="s">
        <v>1684</v>
      </c>
      <c r="I421" s="6">
        <v>4492.269999999553</v>
      </c>
      <c r="J421" s="6">
        <v>1.7851650706287268E-4</v>
      </c>
      <c r="K421" s="1" t="s">
        <v>1684</v>
      </c>
      <c r="L421" s="1" t="s">
        <v>582</v>
      </c>
      <c r="M421" s="1" t="s">
        <v>430</v>
      </c>
      <c r="N421" s="1" t="s">
        <v>171</v>
      </c>
      <c r="O421" s="6">
        <v>4492.269999999553</v>
      </c>
      <c r="P421" s="6">
        <v>1.7851650706287268E-4</v>
      </c>
      <c r="Q421" s="2" t="str">
        <f>HYPERLINK("https://auction.openprocurement.org/tenders/cb67d23f27b5496e92b385b6b7ccba7b")</f>
        <v>https://auction.openprocurement.org/tenders/cb67d23f27b5496e92b385b6b7ccba7b</v>
      </c>
      <c r="R421" s="5">
        <v>43304.72545233649</v>
      </c>
      <c r="S421" s="4">
        <v>43315</v>
      </c>
      <c r="T421" s="4">
        <v>43325</v>
      </c>
      <c r="U421" s="1" t="s">
        <v>1956</v>
      </c>
      <c r="V421" s="5">
        <v>43318.7389936787</v>
      </c>
      <c r="W421" s="1" t="s">
        <v>773</v>
      </c>
      <c r="X421" s="6">
        <v>25159959.32</v>
      </c>
      <c r="Y421" s="1"/>
      <c r="Z421" s="4">
        <v>43404</v>
      </c>
      <c r="AA421" s="5">
        <v>43465</v>
      </c>
      <c r="AB421" s="1" t="s">
        <v>1971</v>
      </c>
      <c r="AC421" s="1"/>
      <c r="AD421" s="1"/>
    </row>
    <row r="422" spans="1:30" hidden="1" x14ac:dyDescent="0.25">
      <c r="A422" s="1" t="s">
        <v>1041</v>
      </c>
      <c r="B422" s="1" t="s">
        <v>234</v>
      </c>
      <c r="C422" s="1" t="s">
        <v>1081</v>
      </c>
      <c r="D422" s="4">
        <v>43287</v>
      </c>
      <c r="E422" s="6">
        <v>346500</v>
      </c>
      <c r="F422" s="6"/>
      <c r="G422" s="6">
        <v>165</v>
      </c>
      <c r="H422" s="1" t="s">
        <v>1777</v>
      </c>
      <c r="I422" s="6">
        <v>22050</v>
      </c>
      <c r="J422" s="6">
        <v>5.9829059829059832E-2</v>
      </c>
      <c r="K422" s="1" t="s">
        <v>1688</v>
      </c>
      <c r="L422" s="1" t="s">
        <v>699</v>
      </c>
      <c r="M422" s="1" t="s">
        <v>865</v>
      </c>
      <c r="N422" s="1" t="s">
        <v>122</v>
      </c>
      <c r="O422" s="6">
        <v>1843</v>
      </c>
      <c r="P422" s="6">
        <v>5.000678334011667E-3</v>
      </c>
      <c r="Q422" s="2" t="str">
        <f>HYPERLINK("https://auction.openprocurement.org/tenders/f2036c6f1aeb4d9497895a4f7e8b1616")</f>
        <v>https://auction.openprocurement.org/tenders/f2036c6f1aeb4d9497895a4f7e8b1616</v>
      </c>
      <c r="R422" s="5">
        <v>43308.500587420014</v>
      </c>
      <c r="S422" s="4">
        <v>43319</v>
      </c>
      <c r="T422" s="4">
        <v>43329</v>
      </c>
      <c r="U422" s="1" t="s">
        <v>1956</v>
      </c>
      <c r="V422" s="5">
        <v>43321.631939707477</v>
      </c>
      <c r="W422" s="1" t="s">
        <v>1952</v>
      </c>
      <c r="X422" s="6">
        <v>366707</v>
      </c>
      <c r="Y422" s="1"/>
      <c r="Z422" s="4">
        <v>43343</v>
      </c>
      <c r="AA422" s="5">
        <v>43465</v>
      </c>
      <c r="AB422" s="1" t="s">
        <v>1971</v>
      </c>
      <c r="AC422" s="1"/>
      <c r="AD422" s="1"/>
    </row>
    <row r="423" spans="1:30" hidden="1" x14ac:dyDescent="0.25">
      <c r="A423" s="1" t="s">
        <v>1514</v>
      </c>
      <c r="B423" s="1" t="s">
        <v>751</v>
      </c>
      <c r="C423" s="1" t="s">
        <v>1081</v>
      </c>
      <c r="D423" s="4">
        <v>43286</v>
      </c>
      <c r="E423" s="6">
        <v>696008.11</v>
      </c>
      <c r="F423" s="6"/>
      <c r="G423" s="6">
        <v>696008.11</v>
      </c>
      <c r="H423" s="1" t="s">
        <v>1859</v>
      </c>
      <c r="I423" s="6">
        <v>3991.890000000014</v>
      </c>
      <c r="J423" s="6">
        <v>5.7027000000000197E-3</v>
      </c>
      <c r="K423" s="1" t="s">
        <v>1859</v>
      </c>
      <c r="L423" s="1" t="s">
        <v>466</v>
      </c>
      <c r="M423" s="1" t="s">
        <v>873</v>
      </c>
      <c r="N423" s="1" t="s">
        <v>147</v>
      </c>
      <c r="O423" s="6">
        <v>3991.890000000014</v>
      </c>
      <c r="P423" s="6">
        <v>5.7027000000000197E-3</v>
      </c>
      <c r="Q423" s="2" t="str">
        <f>HYPERLINK("https://auction.openprocurement.org/tenders/dfa62b58cdbd450c9934036c6ec58abe")</f>
        <v>https://auction.openprocurement.org/tenders/dfa62b58cdbd450c9934036c6ec58abe</v>
      </c>
      <c r="R423" s="5">
        <v>43307.409897334008</v>
      </c>
      <c r="S423" s="4">
        <v>43318</v>
      </c>
      <c r="T423" s="4">
        <v>43328</v>
      </c>
      <c r="U423" s="1" t="s">
        <v>1956</v>
      </c>
      <c r="V423" s="5">
        <v>43319.390261275737</v>
      </c>
      <c r="W423" s="1" t="s">
        <v>1952</v>
      </c>
      <c r="X423" s="6">
        <v>696008.11</v>
      </c>
      <c r="Y423" s="1"/>
      <c r="Z423" s="4">
        <v>43344</v>
      </c>
      <c r="AA423" s="5">
        <v>43465</v>
      </c>
      <c r="AB423" s="1" t="s">
        <v>1971</v>
      </c>
      <c r="AC423" s="1"/>
      <c r="AD423" s="1"/>
    </row>
    <row r="424" spans="1:30" hidden="1" x14ac:dyDescent="0.25">
      <c r="A424" s="1" t="s">
        <v>1292</v>
      </c>
      <c r="B424" s="1" t="s">
        <v>735</v>
      </c>
      <c r="C424" s="1" t="s">
        <v>1147</v>
      </c>
      <c r="D424" s="4">
        <v>43277</v>
      </c>
      <c r="E424" s="6">
        <v>114960</v>
      </c>
      <c r="F424" s="6"/>
      <c r="G424" s="6">
        <v>958</v>
      </c>
      <c r="H424" s="1" t="s">
        <v>1849</v>
      </c>
      <c r="I424" s="6">
        <v>40</v>
      </c>
      <c r="J424" s="6">
        <v>3.4782608695652176E-4</v>
      </c>
      <c r="K424" s="1" t="s">
        <v>1849</v>
      </c>
      <c r="L424" s="1" t="s">
        <v>447</v>
      </c>
      <c r="M424" s="1" t="s">
        <v>915</v>
      </c>
      <c r="N424" s="1" t="s">
        <v>135</v>
      </c>
      <c r="O424" s="6">
        <v>40</v>
      </c>
      <c r="P424" s="6">
        <v>3.4782608695652176E-4</v>
      </c>
      <c r="Q424" s="2"/>
      <c r="R424" s="5">
        <v>43286.688143079882</v>
      </c>
      <c r="S424" s="4">
        <v>43290</v>
      </c>
      <c r="T424" s="4">
        <v>43314</v>
      </c>
      <c r="U424" s="1" t="s">
        <v>1956</v>
      </c>
      <c r="V424" s="5">
        <v>43290.737453982998</v>
      </c>
      <c r="W424" s="1" t="s">
        <v>1952</v>
      </c>
      <c r="X424" s="6">
        <v>114960</v>
      </c>
      <c r="Y424" s="1"/>
      <c r="Z424" s="4">
        <v>43297</v>
      </c>
      <c r="AA424" s="5">
        <v>43465</v>
      </c>
      <c r="AB424" s="1" t="s">
        <v>1971</v>
      </c>
      <c r="AC424" s="1"/>
      <c r="AD424" s="1"/>
    </row>
    <row r="425" spans="1:30" hidden="1" x14ac:dyDescent="0.25">
      <c r="A425" s="1" t="s">
        <v>1201</v>
      </c>
      <c r="B425" s="1" t="s">
        <v>795</v>
      </c>
      <c r="C425" s="1" t="s">
        <v>1157</v>
      </c>
      <c r="D425" s="4">
        <v>43277</v>
      </c>
      <c r="E425" s="6">
        <v>3300</v>
      </c>
      <c r="F425" s="6"/>
      <c r="G425" s="6">
        <v>3300</v>
      </c>
      <c r="H425" s="1"/>
      <c r="I425" s="1"/>
      <c r="J425" s="1"/>
      <c r="K425" s="1" t="s">
        <v>18</v>
      </c>
      <c r="L425" s="1" t="s">
        <v>537</v>
      </c>
      <c r="M425" s="1"/>
      <c r="N425" s="1" t="s">
        <v>265</v>
      </c>
      <c r="O425" s="1"/>
      <c r="P425" s="1"/>
      <c r="Q425" s="2"/>
      <c r="R425" s="1"/>
      <c r="S425" s="1"/>
      <c r="T425" s="1"/>
      <c r="U425" s="1" t="s">
        <v>1956</v>
      </c>
      <c r="V425" s="5">
        <v>43277.413225622848</v>
      </c>
      <c r="W425" s="1" t="s">
        <v>402</v>
      </c>
      <c r="X425" s="6">
        <v>3300</v>
      </c>
      <c r="Y425" s="1"/>
      <c r="Z425" s="4">
        <v>43294</v>
      </c>
      <c r="AA425" s="5">
        <v>43294</v>
      </c>
      <c r="AB425" s="1" t="s">
        <v>1971</v>
      </c>
      <c r="AC425" s="1"/>
      <c r="AD425" s="1" t="s">
        <v>1168</v>
      </c>
    </row>
    <row r="426" spans="1:30" hidden="1" x14ac:dyDescent="0.25">
      <c r="A426" s="1" t="s">
        <v>1501</v>
      </c>
      <c r="B426" s="1" t="s">
        <v>758</v>
      </c>
      <c r="C426" s="1" t="s">
        <v>1081</v>
      </c>
      <c r="D426" s="4">
        <v>43277</v>
      </c>
      <c r="E426" s="6">
        <v>350000</v>
      </c>
      <c r="F426" s="6"/>
      <c r="G426" s="6">
        <v>350000</v>
      </c>
      <c r="H426" s="1" t="s">
        <v>1869</v>
      </c>
      <c r="I426" s="6">
        <v>50000</v>
      </c>
      <c r="J426" s="6">
        <v>0.125</v>
      </c>
      <c r="K426" s="1" t="s">
        <v>1869</v>
      </c>
      <c r="L426" s="1" t="s">
        <v>494</v>
      </c>
      <c r="M426" s="1" t="s">
        <v>953</v>
      </c>
      <c r="N426" s="1" t="s">
        <v>118</v>
      </c>
      <c r="O426" s="6">
        <v>50000</v>
      </c>
      <c r="P426" s="6">
        <v>0.125</v>
      </c>
      <c r="Q426" s="2" t="str">
        <f>HYPERLINK("https://auction.openprocurement.org/tenders/b24b73a657524a2f954bd84b177dd417")</f>
        <v>https://auction.openprocurement.org/tenders/b24b73a657524a2f954bd84b177dd417</v>
      </c>
      <c r="R426" s="5">
        <v>43294.616324071307</v>
      </c>
      <c r="S426" s="4">
        <v>43305</v>
      </c>
      <c r="T426" s="4">
        <v>43315</v>
      </c>
      <c r="U426" s="1" t="s">
        <v>1956</v>
      </c>
      <c r="V426" s="5">
        <v>43306.515436102964</v>
      </c>
      <c r="W426" s="1" t="s">
        <v>481</v>
      </c>
      <c r="X426" s="6">
        <v>350000</v>
      </c>
      <c r="Y426" s="1"/>
      <c r="Z426" s="4">
        <v>43322</v>
      </c>
      <c r="AA426" s="5">
        <v>43465</v>
      </c>
      <c r="AB426" s="1" t="s">
        <v>1971</v>
      </c>
      <c r="AC426" s="1"/>
      <c r="AD426" s="1"/>
    </row>
    <row r="427" spans="1:30" hidden="1" x14ac:dyDescent="0.25">
      <c r="A427" s="1" t="s">
        <v>1016</v>
      </c>
      <c r="B427" s="1" t="s">
        <v>795</v>
      </c>
      <c r="C427" s="1" t="s">
        <v>1157</v>
      </c>
      <c r="D427" s="4">
        <v>43276</v>
      </c>
      <c r="E427" s="6">
        <v>5700</v>
      </c>
      <c r="F427" s="6"/>
      <c r="G427" s="6">
        <v>5700</v>
      </c>
      <c r="H427" s="1"/>
      <c r="I427" s="1"/>
      <c r="J427" s="1"/>
      <c r="K427" s="1" t="s">
        <v>1334</v>
      </c>
      <c r="L427" s="1" t="s">
        <v>537</v>
      </c>
      <c r="M427" s="1"/>
      <c r="N427" s="1" t="s">
        <v>269</v>
      </c>
      <c r="O427" s="1"/>
      <c r="P427" s="1"/>
      <c r="Q427" s="2"/>
      <c r="R427" s="1"/>
      <c r="S427" s="1"/>
      <c r="T427" s="1"/>
      <c r="U427" s="1" t="s">
        <v>1956</v>
      </c>
      <c r="V427" s="5">
        <v>43276.660617943169</v>
      </c>
      <c r="W427" s="1" t="s">
        <v>401</v>
      </c>
      <c r="X427" s="6">
        <v>5700</v>
      </c>
      <c r="Y427" s="1"/>
      <c r="Z427" s="4">
        <v>43677</v>
      </c>
      <c r="AA427" s="5">
        <v>43677</v>
      </c>
      <c r="AB427" s="1" t="s">
        <v>1971</v>
      </c>
      <c r="AC427" s="1"/>
      <c r="AD427" s="1" t="s">
        <v>1168</v>
      </c>
    </row>
    <row r="428" spans="1:30" hidden="1" x14ac:dyDescent="0.25">
      <c r="A428" s="1" t="s">
        <v>1940</v>
      </c>
      <c r="B428" s="1" t="s">
        <v>379</v>
      </c>
      <c r="C428" s="1" t="s">
        <v>1157</v>
      </c>
      <c r="D428" s="4">
        <v>43276</v>
      </c>
      <c r="E428" s="6">
        <v>27900</v>
      </c>
      <c r="F428" s="6"/>
      <c r="G428" s="6">
        <v>253.63636363636363</v>
      </c>
      <c r="H428" s="1"/>
      <c r="I428" s="1"/>
      <c r="J428" s="1"/>
      <c r="K428" s="1" t="s">
        <v>1265</v>
      </c>
      <c r="L428" s="1" t="s">
        <v>466</v>
      </c>
      <c r="M428" s="1"/>
      <c r="N428" s="1" t="s">
        <v>311</v>
      </c>
      <c r="O428" s="1"/>
      <c r="P428" s="1"/>
      <c r="Q428" s="2"/>
      <c r="R428" s="1"/>
      <c r="S428" s="1"/>
      <c r="T428" s="1"/>
      <c r="U428" s="1" t="s">
        <v>1956</v>
      </c>
      <c r="V428" s="5">
        <v>43276.602468608631</v>
      </c>
      <c r="W428" s="1" t="s">
        <v>1952</v>
      </c>
      <c r="X428" s="6">
        <v>27900</v>
      </c>
      <c r="Y428" s="1"/>
      <c r="Z428" s="4">
        <v>43281</v>
      </c>
      <c r="AA428" s="5">
        <v>43465</v>
      </c>
      <c r="AB428" s="1" t="s">
        <v>1971</v>
      </c>
      <c r="AC428" s="1"/>
      <c r="AD428" s="1"/>
    </row>
    <row r="429" spans="1:30" hidden="1" x14ac:dyDescent="0.25">
      <c r="A429" s="1" t="s">
        <v>1054</v>
      </c>
      <c r="B429" s="1" t="s">
        <v>375</v>
      </c>
      <c r="C429" s="1" t="s">
        <v>1157</v>
      </c>
      <c r="D429" s="4">
        <v>43276</v>
      </c>
      <c r="E429" s="6">
        <v>12600</v>
      </c>
      <c r="F429" s="6"/>
      <c r="G429" s="6">
        <v>630</v>
      </c>
      <c r="H429" s="1"/>
      <c r="I429" s="1"/>
      <c r="J429" s="1"/>
      <c r="K429" s="1" t="s">
        <v>1265</v>
      </c>
      <c r="L429" s="1" t="s">
        <v>466</v>
      </c>
      <c r="M429" s="1"/>
      <c r="N429" s="1" t="s">
        <v>311</v>
      </c>
      <c r="O429" s="1"/>
      <c r="P429" s="1"/>
      <c r="Q429" s="2"/>
      <c r="R429" s="1"/>
      <c r="S429" s="1"/>
      <c r="T429" s="1"/>
      <c r="U429" s="1" t="s">
        <v>1956</v>
      </c>
      <c r="V429" s="5">
        <v>43276.596980326409</v>
      </c>
      <c r="W429" s="1" t="s">
        <v>1952</v>
      </c>
      <c r="X429" s="6">
        <v>12600</v>
      </c>
      <c r="Y429" s="1"/>
      <c r="Z429" s="4">
        <v>43281</v>
      </c>
      <c r="AA429" s="5">
        <v>43465</v>
      </c>
      <c r="AB429" s="1" t="s">
        <v>1971</v>
      </c>
      <c r="AC429" s="1"/>
      <c r="AD429" s="1"/>
    </row>
    <row r="430" spans="1:30" hidden="1" x14ac:dyDescent="0.25">
      <c r="A430" s="1" t="s">
        <v>1044</v>
      </c>
      <c r="B430" s="1" t="s">
        <v>235</v>
      </c>
      <c r="C430" s="1" t="s">
        <v>1081</v>
      </c>
      <c r="D430" s="4">
        <v>43276</v>
      </c>
      <c r="E430" s="6">
        <v>746430</v>
      </c>
      <c r="F430" s="6"/>
      <c r="G430" s="6">
        <v>348.79906542056074</v>
      </c>
      <c r="H430" s="1" t="s">
        <v>1886</v>
      </c>
      <c r="I430" s="6">
        <v>103570</v>
      </c>
      <c r="J430" s="6">
        <v>0.12184705882352941</v>
      </c>
      <c r="K430" s="1" t="s">
        <v>1758</v>
      </c>
      <c r="L430" s="1" t="s">
        <v>546</v>
      </c>
      <c r="M430" s="1" t="s">
        <v>990</v>
      </c>
      <c r="N430" s="1" t="s">
        <v>42</v>
      </c>
      <c r="O430" s="6">
        <v>5250</v>
      </c>
      <c r="P430" s="6">
        <v>6.1764705882352937E-3</v>
      </c>
      <c r="Q430" s="2" t="str">
        <f>HYPERLINK("https://auction.openprocurement.org/tenders/c3e68dbdca6043969e01a271179e2e07")</f>
        <v>https://auction.openprocurement.org/tenders/c3e68dbdca6043969e01a271179e2e07</v>
      </c>
      <c r="R430" s="5">
        <v>43294.610487842765</v>
      </c>
      <c r="S430" s="4">
        <v>43305</v>
      </c>
      <c r="T430" s="4">
        <v>43315</v>
      </c>
      <c r="U430" s="1" t="s">
        <v>1956</v>
      </c>
      <c r="V430" s="5">
        <v>43305.476527294064</v>
      </c>
      <c r="W430" s="1" t="s">
        <v>1952</v>
      </c>
      <c r="X430" s="6">
        <v>844750</v>
      </c>
      <c r="Y430" s="1"/>
      <c r="Z430" s="4">
        <v>43327</v>
      </c>
      <c r="AA430" s="5">
        <v>43465</v>
      </c>
      <c r="AB430" s="1" t="s">
        <v>1971</v>
      </c>
      <c r="AC430" s="1"/>
      <c r="AD430" s="1"/>
    </row>
    <row r="431" spans="1:30" hidden="1" x14ac:dyDescent="0.25">
      <c r="A431" s="1" t="s">
        <v>0</v>
      </c>
      <c r="B431" s="1" t="s">
        <v>753</v>
      </c>
      <c r="C431" s="1" t="s">
        <v>1081</v>
      </c>
      <c r="D431" s="4">
        <v>43274</v>
      </c>
      <c r="E431" s="6">
        <v>17077410.199999999</v>
      </c>
      <c r="F431" s="6"/>
      <c r="G431" s="6">
        <v>17077410.199999999</v>
      </c>
      <c r="H431" s="1" t="s">
        <v>1684</v>
      </c>
      <c r="I431" s="6">
        <v>198.40000000223517</v>
      </c>
      <c r="J431" s="6">
        <v>1.1617551651947051E-5</v>
      </c>
      <c r="K431" s="1" t="s">
        <v>1684</v>
      </c>
      <c r="L431" s="1" t="s">
        <v>582</v>
      </c>
      <c r="M431" s="1" t="s">
        <v>430</v>
      </c>
      <c r="N431" s="1" t="s">
        <v>171</v>
      </c>
      <c r="O431" s="6">
        <v>198.40000000223517</v>
      </c>
      <c r="P431" s="6">
        <v>1.1617551651947051E-5</v>
      </c>
      <c r="Q431" s="2" t="str">
        <f>HYPERLINK("https://auction.openprocurement.org/tenders/5aa55e0aba5842dab9218fa3a1566f88")</f>
        <v>https://auction.openprocurement.org/tenders/5aa55e0aba5842dab9218fa3a1566f88</v>
      </c>
      <c r="R431" s="5">
        <v>43294.633378334875</v>
      </c>
      <c r="S431" s="4">
        <v>43305</v>
      </c>
      <c r="T431" s="4">
        <v>43315</v>
      </c>
      <c r="U431" s="1" t="s">
        <v>1956</v>
      </c>
      <c r="V431" s="5">
        <v>43308.490915853843</v>
      </c>
      <c r="W431" s="1" t="s">
        <v>1952</v>
      </c>
      <c r="X431" s="6">
        <v>17077410.199999999</v>
      </c>
      <c r="Y431" s="1"/>
      <c r="Z431" s="4">
        <v>43465</v>
      </c>
      <c r="AA431" s="5">
        <v>43465</v>
      </c>
      <c r="AB431" s="1" t="s">
        <v>1971</v>
      </c>
      <c r="AC431" s="1"/>
      <c r="AD431" s="1" t="s">
        <v>1168</v>
      </c>
    </row>
    <row r="432" spans="1:30" hidden="1" x14ac:dyDescent="0.25">
      <c r="A432" s="1" t="s">
        <v>1564</v>
      </c>
      <c r="B432" s="1" t="s">
        <v>788</v>
      </c>
      <c r="C432" s="1" t="s">
        <v>1157</v>
      </c>
      <c r="D432" s="4">
        <v>43272</v>
      </c>
      <c r="E432" s="6">
        <v>370000</v>
      </c>
      <c r="F432" s="6"/>
      <c r="G432" s="6">
        <v>370000</v>
      </c>
      <c r="H432" s="1"/>
      <c r="I432" s="1"/>
      <c r="J432" s="1"/>
      <c r="K432" s="1" t="s">
        <v>1752</v>
      </c>
      <c r="L432" s="1" t="s">
        <v>711</v>
      </c>
      <c r="M432" s="1"/>
      <c r="N432" s="1" t="s">
        <v>306</v>
      </c>
      <c r="O432" s="1"/>
      <c r="P432" s="1"/>
      <c r="Q432" s="2"/>
      <c r="R432" s="1"/>
      <c r="S432" s="1"/>
      <c r="T432" s="1"/>
      <c r="U432" s="1" t="s">
        <v>1956</v>
      </c>
      <c r="V432" s="5">
        <v>43272.59083470831</v>
      </c>
      <c r="W432" s="1" t="s">
        <v>1952</v>
      </c>
      <c r="X432" s="6">
        <v>370000</v>
      </c>
      <c r="Y432" s="1"/>
      <c r="Z432" s="4">
        <v>43465</v>
      </c>
      <c r="AA432" s="5">
        <v>43465</v>
      </c>
      <c r="AB432" s="1" t="s">
        <v>1971</v>
      </c>
      <c r="AC432" s="1"/>
      <c r="AD432" s="1" t="s">
        <v>1168</v>
      </c>
    </row>
    <row r="433" spans="1:30" hidden="1" x14ac:dyDescent="0.25">
      <c r="A433" s="1" t="s">
        <v>1810</v>
      </c>
      <c r="B433" s="1" t="s">
        <v>757</v>
      </c>
      <c r="C433" s="1" t="s">
        <v>1157</v>
      </c>
      <c r="D433" s="4">
        <v>43269</v>
      </c>
      <c r="E433" s="6">
        <v>64915</v>
      </c>
      <c r="F433" s="6"/>
      <c r="G433" s="6">
        <v>64915</v>
      </c>
      <c r="H433" s="1"/>
      <c r="I433" s="1"/>
      <c r="J433" s="1"/>
      <c r="K433" s="1" t="s">
        <v>1199</v>
      </c>
      <c r="L433" s="1" t="s">
        <v>447</v>
      </c>
      <c r="M433" s="1"/>
      <c r="N433" s="1" t="s">
        <v>279</v>
      </c>
      <c r="O433" s="1"/>
      <c r="P433" s="1"/>
      <c r="Q433" s="2"/>
      <c r="R433" s="1"/>
      <c r="S433" s="1"/>
      <c r="T433" s="1"/>
      <c r="U433" s="1" t="s">
        <v>1956</v>
      </c>
      <c r="V433" s="5">
        <v>43269.723598311073</v>
      </c>
      <c r="W433" s="1" t="s">
        <v>1952</v>
      </c>
      <c r="X433" s="6">
        <v>64915</v>
      </c>
      <c r="Y433" s="1"/>
      <c r="Z433" s="4">
        <v>43276</v>
      </c>
      <c r="AA433" s="5">
        <v>43465</v>
      </c>
      <c r="AB433" s="1" t="s">
        <v>1971</v>
      </c>
      <c r="AC433" s="1"/>
      <c r="AD433" s="1"/>
    </row>
    <row r="434" spans="1:30" hidden="1" x14ac:dyDescent="0.25">
      <c r="A434" s="1" t="s">
        <v>1562</v>
      </c>
      <c r="B434" s="1" t="s">
        <v>788</v>
      </c>
      <c r="C434" s="1" t="s">
        <v>1157</v>
      </c>
      <c r="D434" s="4">
        <v>43269</v>
      </c>
      <c r="E434" s="6">
        <v>60520</v>
      </c>
      <c r="F434" s="6"/>
      <c r="G434" s="6">
        <v>60520</v>
      </c>
      <c r="H434" s="1"/>
      <c r="I434" s="1"/>
      <c r="J434" s="1"/>
      <c r="K434" s="1" t="s">
        <v>1752</v>
      </c>
      <c r="L434" s="1" t="s">
        <v>711</v>
      </c>
      <c r="M434" s="1"/>
      <c r="N434" s="1" t="s">
        <v>306</v>
      </c>
      <c r="O434" s="1"/>
      <c r="P434" s="1"/>
      <c r="Q434" s="2"/>
      <c r="R434" s="1"/>
      <c r="S434" s="1"/>
      <c r="T434" s="1"/>
      <c r="U434" s="1" t="s">
        <v>1956</v>
      </c>
      <c r="V434" s="5">
        <v>43269.609269985245</v>
      </c>
      <c r="W434" s="1" t="s">
        <v>1952</v>
      </c>
      <c r="X434" s="6">
        <v>60520</v>
      </c>
      <c r="Y434" s="4">
        <v>43266</v>
      </c>
      <c r="Z434" s="4">
        <v>43465</v>
      </c>
      <c r="AA434" s="5">
        <v>43465</v>
      </c>
      <c r="AB434" s="1" t="s">
        <v>1971</v>
      </c>
      <c r="AC434" s="1"/>
      <c r="AD434" s="1"/>
    </row>
    <row r="435" spans="1:30" hidden="1" x14ac:dyDescent="0.25">
      <c r="A435" s="1" t="s">
        <v>1054</v>
      </c>
      <c r="B435" s="1" t="s">
        <v>375</v>
      </c>
      <c r="C435" s="1" t="s">
        <v>1157</v>
      </c>
      <c r="D435" s="4">
        <v>43265</v>
      </c>
      <c r="E435" s="6">
        <v>55170</v>
      </c>
      <c r="F435" s="6"/>
      <c r="G435" s="6">
        <v>417.95454545454544</v>
      </c>
      <c r="H435" s="1"/>
      <c r="I435" s="1"/>
      <c r="J435" s="1"/>
      <c r="K435" s="1" t="s">
        <v>1265</v>
      </c>
      <c r="L435" s="1" t="s">
        <v>466</v>
      </c>
      <c r="M435" s="1"/>
      <c r="N435" s="1" t="s">
        <v>311</v>
      </c>
      <c r="O435" s="1"/>
      <c r="P435" s="1"/>
      <c r="Q435" s="2"/>
      <c r="R435" s="1"/>
      <c r="S435" s="1"/>
      <c r="T435" s="1"/>
      <c r="U435" s="1" t="s">
        <v>1956</v>
      </c>
      <c r="V435" s="5">
        <v>43265.728590514955</v>
      </c>
      <c r="W435" s="1" t="s">
        <v>1952</v>
      </c>
      <c r="X435" s="6">
        <v>55170</v>
      </c>
      <c r="Y435" s="1"/>
      <c r="Z435" s="4">
        <v>43281</v>
      </c>
      <c r="AA435" s="5">
        <v>43465</v>
      </c>
      <c r="AB435" s="1" t="s">
        <v>1971</v>
      </c>
      <c r="AC435" s="1"/>
      <c r="AD435" s="1"/>
    </row>
    <row r="436" spans="1:30" hidden="1" x14ac:dyDescent="0.25">
      <c r="A436" s="1" t="s">
        <v>1205</v>
      </c>
      <c r="B436" s="1" t="s">
        <v>728</v>
      </c>
      <c r="C436" s="1" t="s">
        <v>1082</v>
      </c>
      <c r="D436" s="4">
        <v>43265</v>
      </c>
      <c r="E436" s="6">
        <v>4974642</v>
      </c>
      <c r="F436" s="6"/>
      <c r="G436" s="6">
        <v>4974642</v>
      </c>
      <c r="H436" s="1" t="s">
        <v>1637</v>
      </c>
      <c r="I436" s="6">
        <v>25358</v>
      </c>
      <c r="J436" s="6">
        <v>5.0715999999999999E-3</v>
      </c>
      <c r="K436" s="1" t="s">
        <v>1637</v>
      </c>
      <c r="L436" s="1" t="s">
        <v>650</v>
      </c>
      <c r="M436" s="1" t="s">
        <v>983</v>
      </c>
      <c r="N436" s="1" t="s">
        <v>140</v>
      </c>
      <c r="O436" s="6">
        <v>25358</v>
      </c>
      <c r="P436" s="6">
        <v>5.0715999999999999E-3</v>
      </c>
      <c r="Q436" s="2" t="str">
        <f>HYPERLINK("https://auction.openprocurement.org/tenders/1fda4230fa934c81b9dad46c52e4543a")</f>
        <v>https://auction.openprocurement.org/tenders/1fda4230fa934c81b9dad46c52e4543a</v>
      </c>
      <c r="R436" s="5">
        <v>43306.496218902525</v>
      </c>
      <c r="S436" s="4">
        <v>43317</v>
      </c>
      <c r="T436" s="4">
        <v>43327</v>
      </c>
      <c r="U436" s="1" t="s">
        <v>1956</v>
      </c>
      <c r="V436" s="5">
        <v>43320.6266755377</v>
      </c>
      <c r="W436" s="1" t="s">
        <v>690</v>
      </c>
      <c r="X436" s="6">
        <v>4974642</v>
      </c>
      <c r="Y436" s="1"/>
      <c r="Z436" s="4">
        <v>43343</v>
      </c>
      <c r="AA436" s="5">
        <v>43465</v>
      </c>
      <c r="AB436" s="1" t="s">
        <v>1971</v>
      </c>
      <c r="AC436" s="1"/>
      <c r="AD436" s="1"/>
    </row>
    <row r="437" spans="1:30" hidden="1" x14ac:dyDescent="0.25">
      <c r="A437" s="1" t="s">
        <v>1550</v>
      </c>
      <c r="B437" s="1" t="s">
        <v>793</v>
      </c>
      <c r="C437" s="1" t="s">
        <v>1335</v>
      </c>
      <c r="D437" s="4">
        <v>43264</v>
      </c>
      <c r="E437" s="6">
        <v>123152</v>
      </c>
      <c r="F437" s="6"/>
      <c r="G437" s="6">
        <v>123152</v>
      </c>
      <c r="H437" s="1"/>
      <c r="I437" s="1"/>
      <c r="J437" s="1"/>
      <c r="K437" s="1" t="s">
        <v>1324</v>
      </c>
      <c r="L437" s="1" t="s">
        <v>576</v>
      </c>
      <c r="M437" s="1"/>
      <c r="N437" s="1" t="s">
        <v>297</v>
      </c>
      <c r="O437" s="1"/>
      <c r="P437" s="1"/>
      <c r="Q437" s="2"/>
      <c r="R437" s="1"/>
      <c r="S437" s="4">
        <v>43275</v>
      </c>
      <c r="T437" s="4">
        <v>43300</v>
      </c>
      <c r="U437" s="1" t="s">
        <v>1956</v>
      </c>
      <c r="V437" s="5">
        <v>43283.627350247698</v>
      </c>
      <c r="W437" s="1" t="s">
        <v>1952</v>
      </c>
      <c r="X437" s="6">
        <v>123152</v>
      </c>
      <c r="Y437" s="1"/>
      <c r="Z437" s="4">
        <v>43465</v>
      </c>
      <c r="AA437" s="5">
        <v>43465</v>
      </c>
      <c r="AB437" s="1" t="s">
        <v>1971</v>
      </c>
      <c r="AC437" s="1"/>
      <c r="AD437" s="1"/>
    </row>
    <row r="438" spans="1:30" hidden="1" x14ac:dyDescent="0.25">
      <c r="A438" s="1" t="s">
        <v>1073</v>
      </c>
      <c r="B438" s="1" t="s">
        <v>609</v>
      </c>
      <c r="C438" s="1" t="s">
        <v>1081</v>
      </c>
      <c r="D438" s="4">
        <v>43262</v>
      </c>
      <c r="E438" s="6">
        <v>663000</v>
      </c>
      <c r="F438" s="6"/>
      <c r="G438" s="6">
        <v>132600</v>
      </c>
      <c r="H438" s="1" t="s">
        <v>1311</v>
      </c>
      <c r="I438" s="6">
        <v>137000</v>
      </c>
      <c r="J438" s="6">
        <v>0.17125000000000001</v>
      </c>
      <c r="K438" s="1" t="s">
        <v>1664</v>
      </c>
      <c r="L438" s="1" t="s">
        <v>718</v>
      </c>
      <c r="M438" s="1" t="s">
        <v>957</v>
      </c>
      <c r="N438" s="1" t="s">
        <v>104</v>
      </c>
      <c r="O438" s="6">
        <v>135000</v>
      </c>
      <c r="P438" s="6">
        <v>0.16875000000000001</v>
      </c>
      <c r="Q438" s="2" t="str">
        <f>HYPERLINK("https://auction.openprocurement.org/tenders/8173a67a00614a95b904fbb87bd806e5")</f>
        <v>https://auction.openprocurement.org/tenders/8173a67a00614a95b904fbb87bd806e5</v>
      </c>
      <c r="R438" s="5">
        <v>43285.498780597103</v>
      </c>
      <c r="S438" s="4">
        <v>43296</v>
      </c>
      <c r="T438" s="4">
        <v>43306</v>
      </c>
      <c r="U438" s="1" t="s">
        <v>1956</v>
      </c>
      <c r="V438" s="5">
        <v>43297.597630050535</v>
      </c>
      <c r="W438" s="1" t="s">
        <v>239</v>
      </c>
      <c r="X438" s="6">
        <v>665000</v>
      </c>
      <c r="Y438" s="1"/>
      <c r="Z438" s="4">
        <v>43344</v>
      </c>
      <c r="AA438" s="5">
        <v>43465</v>
      </c>
      <c r="AB438" s="1" t="s">
        <v>1971</v>
      </c>
      <c r="AC438" s="1"/>
      <c r="AD438" s="1"/>
    </row>
    <row r="439" spans="1:30" hidden="1" x14ac:dyDescent="0.25">
      <c r="A439" s="1" t="s">
        <v>1194</v>
      </c>
      <c r="B439" s="1" t="s">
        <v>753</v>
      </c>
      <c r="C439" s="1" t="s">
        <v>1335</v>
      </c>
      <c r="D439" s="4">
        <v>43258</v>
      </c>
      <c r="E439" s="6">
        <v>6577454.2599999998</v>
      </c>
      <c r="F439" s="6"/>
      <c r="G439" s="6">
        <v>6577454.2599999998</v>
      </c>
      <c r="H439" s="1"/>
      <c r="I439" s="1"/>
      <c r="J439" s="1"/>
      <c r="K439" s="1" t="s">
        <v>1749</v>
      </c>
      <c r="L439" s="1" t="s">
        <v>582</v>
      </c>
      <c r="M439" s="1"/>
      <c r="N439" s="1" t="s">
        <v>333</v>
      </c>
      <c r="O439" s="1"/>
      <c r="P439" s="1"/>
      <c r="Q439" s="2"/>
      <c r="R439" s="1"/>
      <c r="S439" s="4">
        <v>43269</v>
      </c>
      <c r="T439" s="4">
        <v>43294</v>
      </c>
      <c r="U439" s="1" t="s">
        <v>1956</v>
      </c>
      <c r="V439" s="5">
        <v>43269.494307380337</v>
      </c>
      <c r="W439" s="1" t="s">
        <v>431</v>
      </c>
      <c r="X439" s="6">
        <v>6577454.2599999998</v>
      </c>
      <c r="Y439" s="1"/>
      <c r="Z439" s="4">
        <v>43465</v>
      </c>
      <c r="AA439" s="5">
        <v>43465</v>
      </c>
      <c r="AB439" s="1" t="s">
        <v>1971</v>
      </c>
      <c r="AC439" s="1"/>
      <c r="AD439" s="1"/>
    </row>
    <row r="440" spans="1:30" hidden="1" x14ac:dyDescent="0.25">
      <c r="A440" s="1" t="s">
        <v>1357</v>
      </c>
      <c r="B440" s="1" t="s">
        <v>774</v>
      </c>
      <c r="C440" s="1" t="s">
        <v>1157</v>
      </c>
      <c r="D440" s="4">
        <v>43257</v>
      </c>
      <c r="E440" s="6">
        <v>50000</v>
      </c>
      <c r="F440" s="6"/>
      <c r="G440" s="6">
        <v>50000</v>
      </c>
      <c r="H440" s="1"/>
      <c r="I440" s="1"/>
      <c r="J440" s="1"/>
      <c r="K440" s="1" t="s">
        <v>1175</v>
      </c>
      <c r="L440" s="1" t="s">
        <v>232</v>
      </c>
      <c r="M440" s="1"/>
      <c r="N440" s="1" t="s">
        <v>281</v>
      </c>
      <c r="O440" s="1"/>
      <c r="P440" s="1"/>
      <c r="Q440" s="2"/>
      <c r="R440" s="1"/>
      <c r="S440" s="1"/>
      <c r="T440" s="1"/>
      <c r="U440" s="1" t="s">
        <v>1956</v>
      </c>
      <c r="V440" s="5">
        <v>43257.671409619696</v>
      </c>
      <c r="W440" s="1" t="s">
        <v>777</v>
      </c>
      <c r="X440" s="6">
        <v>50000</v>
      </c>
      <c r="Y440" s="1"/>
      <c r="Z440" s="4">
        <v>43465</v>
      </c>
      <c r="AA440" s="5">
        <v>43465</v>
      </c>
      <c r="AB440" s="1" t="s">
        <v>1971</v>
      </c>
      <c r="AC440" s="1"/>
      <c r="AD440" s="1"/>
    </row>
    <row r="441" spans="1:30" hidden="1" x14ac:dyDescent="0.25">
      <c r="A441" s="1" t="s">
        <v>1356</v>
      </c>
      <c r="B441" s="1" t="s">
        <v>774</v>
      </c>
      <c r="C441" s="1" t="s">
        <v>1157</v>
      </c>
      <c r="D441" s="4">
        <v>43256</v>
      </c>
      <c r="E441" s="6">
        <v>50000</v>
      </c>
      <c r="F441" s="6"/>
      <c r="G441" s="6">
        <v>50000</v>
      </c>
      <c r="H441" s="1"/>
      <c r="I441" s="1"/>
      <c r="J441" s="1"/>
      <c r="K441" s="1" t="s">
        <v>1744</v>
      </c>
      <c r="L441" s="1" t="s">
        <v>573</v>
      </c>
      <c r="M441" s="1"/>
      <c r="N441" s="1" t="s">
        <v>285</v>
      </c>
      <c r="O441" s="1"/>
      <c r="P441" s="1"/>
      <c r="Q441" s="2"/>
      <c r="R441" s="1"/>
      <c r="S441" s="1"/>
      <c r="T441" s="1"/>
      <c r="U441" s="1" t="s">
        <v>1956</v>
      </c>
      <c r="V441" s="5">
        <v>43256.708559098217</v>
      </c>
      <c r="W441" s="1" t="s">
        <v>1952</v>
      </c>
      <c r="X441" s="6">
        <v>50000</v>
      </c>
      <c r="Y441" s="1"/>
      <c r="Z441" s="4">
        <v>43465</v>
      </c>
      <c r="AA441" s="5">
        <v>43465</v>
      </c>
      <c r="AB441" s="1" t="s">
        <v>1971</v>
      </c>
      <c r="AC441" s="1"/>
      <c r="AD441" s="1"/>
    </row>
    <row r="442" spans="1:30" hidden="1" x14ac:dyDescent="0.25">
      <c r="A442" s="1" t="s">
        <v>1625</v>
      </c>
      <c r="B442" s="1" t="s">
        <v>734</v>
      </c>
      <c r="C442" s="1" t="s">
        <v>1157</v>
      </c>
      <c r="D442" s="4">
        <v>43252</v>
      </c>
      <c r="E442" s="6">
        <v>176850</v>
      </c>
      <c r="F442" s="6"/>
      <c r="G442" s="6">
        <v>44212.5</v>
      </c>
      <c r="H442" s="1"/>
      <c r="I442" s="1"/>
      <c r="J442" s="1"/>
      <c r="K442" s="1" t="s">
        <v>1051</v>
      </c>
      <c r="L442" s="1" t="s">
        <v>558</v>
      </c>
      <c r="M442" s="1"/>
      <c r="N442" s="1" t="s">
        <v>329</v>
      </c>
      <c r="O442" s="1"/>
      <c r="P442" s="1"/>
      <c r="Q442" s="2"/>
      <c r="R442" s="1"/>
      <c r="S442" s="1"/>
      <c r="T442" s="1"/>
      <c r="U442" s="1" t="s">
        <v>1956</v>
      </c>
      <c r="V442" s="5">
        <v>43252.571179570892</v>
      </c>
      <c r="W442" s="1" t="s">
        <v>1952</v>
      </c>
      <c r="X442" s="6">
        <v>176850</v>
      </c>
      <c r="Y442" s="1"/>
      <c r="Z442" s="4">
        <v>43281</v>
      </c>
      <c r="AA442" s="5">
        <v>43465</v>
      </c>
      <c r="AB442" s="1" t="s">
        <v>1971</v>
      </c>
      <c r="AC442" s="1"/>
      <c r="AD442" s="1"/>
    </row>
    <row r="443" spans="1:30" hidden="1" x14ac:dyDescent="0.25">
      <c r="A443" s="1" t="s">
        <v>1551</v>
      </c>
      <c r="B443" s="1" t="s">
        <v>793</v>
      </c>
      <c r="C443" s="1" t="s">
        <v>1335</v>
      </c>
      <c r="D443" s="4">
        <v>43250</v>
      </c>
      <c r="E443" s="6">
        <v>105000</v>
      </c>
      <c r="F443" s="6"/>
      <c r="G443" s="6">
        <v>105000</v>
      </c>
      <c r="H443" s="1"/>
      <c r="I443" s="1"/>
      <c r="J443" s="1"/>
      <c r="K443" s="1" t="s">
        <v>1324</v>
      </c>
      <c r="L443" s="1" t="s">
        <v>576</v>
      </c>
      <c r="M443" s="1"/>
      <c r="N443" s="1" t="s">
        <v>297</v>
      </c>
      <c r="O443" s="1"/>
      <c r="P443" s="1"/>
      <c r="Q443" s="2"/>
      <c r="R443" s="1"/>
      <c r="S443" s="1"/>
      <c r="T443" s="1"/>
      <c r="U443" s="1" t="s">
        <v>1972</v>
      </c>
      <c r="V443" s="5">
        <v>43263.677673849546</v>
      </c>
      <c r="W443" s="1"/>
      <c r="X443" s="6">
        <v>105000</v>
      </c>
      <c r="Y443" s="1"/>
      <c r="Z443" s="4">
        <v>43465</v>
      </c>
      <c r="AA443" s="1"/>
      <c r="AB443" s="1" t="s">
        <v>1961</v>
      </c>
      <c r="AC443" s="1" t="s">
        <v>1791</v>
      </c>
      <c r="AD443" s="1"/>
    </row>
    <row r="444" spans="1:30" hidden="1" x14ac:dyDescent="0.25">
      <c r="A444" s="1" t="s">
        <v>1546</v>
      </c>
      <c r="B444" s="1" t="s">
        <v>793</v>
      </c>
      <c r="C444" s="1" t="s">
        <v>1157</v>
      </c>
      <c r="D444" s="4">
        <v>43250</v>
      </c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2"/>
      <c r="R444" s="1"/>
      <c r="S444" s="1"/>
      <c r="T444" s="1"/>
      <c r="U444" s="1" t="s">
        <v>1972</v>
      </c>
      <c r="V444" s="5">
        <v>43250.614271700346</v>
      </c>
      <c r="W444" s="1"/>
      <c r="X444" s="1"/>
      <c r="Y444" s="1"/>
      <c r="Z444" s="4">
        <v>43465</v>
      </c>
      <c r="AA444" s="1"/>
      <c r="AB444" s="1"/>
      <c r="AC444" s="1" t="s">
        <v>1798</v>
      </c>
      <c r="AD444" s="1"/>
    </row>
    <row r="445" spans="1:30" hidden="1" x14ac:dyDescent="0.25">
      <c r="A445" s="1" t="s">
        <v>1281</v>
      </c>
      <c r="B445" s="1" t="s">
        <v>637</v>
      </c>
      <c r="C445" s="1" t="s">
        <v>1081</v>
      </c>
      <c r="D445" s="4">
        <v>43250</v>
      </c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2" t="str">
        <f>HYPERLINK("https://auction.openprocurement.org/tenders/5a98131b4bdc4899ad43fd5a20e8c76b")</f>
        <v>https://auction.openprocurement.org/tenders/5a98131b4bdc4899ad43fd5a20e8c76b</v>
      </c>
      <c r="R445" s="1"/>
      <c r="S445" s="1"/>
      <c r="T445" s="1"/>
      <c r="U445" s="1" t="s">
        <v>1972</v>
      </c>
      <c r="V445" s="5">
        <v>43265.684387849709</v>
      </c>
      <c r="W445" s="1"/>
      <c r="X445" s="1"/>
      <c r="Y445" s="1"/>
      <c r="Z445" s="4">
        <v>43343</v>
      </c>
      <c r="AA445" s="1"/>
      <c r="AB445" s="1"/>
      <c r="AC445" s="1" t="s">
        <v>1789</v>
      </c>
      <c r="AD445" s="1"/>
    </row>
    <row r="446" spans="1:30" hidden="1" x14ac:dyDescent="0.25">
      <c r="A446" s="1" t="s">
        <v>1496</v>
      </c>
      <c r="B446" s="1" t="s">
        <v>755</v>
      </c>
      <c r="C446" s="1" t="s">
        <v>1157</v>
      </c>
      <c r="D446" s="4">
        <v>43249</v>
      </c>
      <c r="E446" s="6">
        <v>196149</v>
      </c>
      <c r="F446" s="6"/>
      <c r="G446" s="6">
        <v>196149</v>
      </c>
      <c r="H446" s="1"/>
      <c r="I446" s="1"/>
      <c r="J446" s="1"/>
      <c r="K446" s="1" t="s">
        <v>1536</v>
      </c>
      <c r="L446" s="1" t="s">
        <v>494</v>
      </c>
      <c r="M446" s="1"/>
      <c r="N446" s="1" t="s">
        <v>303</v>
      </c>
      <c r="O446" s="1"/>
      <c r="P446" s="1"/>
      <c r="Q446" s="2"/>
      <c r="R446" s="1"/>
      <c r="S446" s="1"/>
      <c r="T446" s="1"/>
      <c r="U446" s="1" t="s">
        <v>1956</v>
      </c>
      <c r="V446" s="5">
        <v>43249.622585948193</v>
      </c>
      <c r="W446" s="1" t="s">
        <v>1952</v>
      </c>
      <c r="X446" s="6">
        <v>196149</v>
      </c>
      <c r="Y446" s="1"/>
      <c r="Z446" s="4">
        <v>43266</v>
      </c>
      <c r="AA446" s="5">
        <v>43465</v>
      </c>
      <c r="AB446" s="1" t="s">
        <v>1971</v>
      </c>
      <c r="AC446" s="1"/>
      <c r="AD446" s="1"/>
    </row>
    <row r="447" spans="1:30" hidden="1" x14ac:dyDescent="0.25">
      <c r="A447" s="1" t="s">
        <v>1810</v>
      </c>
      <c r="B447" s="1" t="s">
        <v>757</v>
      </c>
      <c r="C447" s="1" t="s">
        <v>1157</v>
      </c>
      <c r="D447" s="4">
        <v>43249</v>
      </c>
      <c r="E447" s="6">
        <v>125000</v>
      </c>
      <c r="F447" s="6"/>
      <c r="G447" s="6">
        <v>125000</v>
      </c>
      <c r="H447" s="1"/>
      <c r="I447" s="1"/>
      <c r="J447" s="1"/>
      <c r="K447" s="1" t="s">
        <v>1199</v>
      </c>
      <c r="L447" s="1" t="s">
        <v>447</v>
      </c>
      <c r="M447" s="1"/>
      <c r="N447" s="1" t="s">
        <v>279</v>
      </c>
      <c r="O447" s="1"/>
      <c r="P447" s="1"/>
      <c r="Q447" s="2"/>
      <c r="R447" s="1"/>
      <c r="S447" s="1"/>
      <c r="T447" s="1"/>
      <c r="U447" s="1" t="s">
        <v>1956</v>
      </c>
      <c r="V447" s="5">
        <v>43249.598777913125</v>
      </c>
      <c r="W447" s="1" t="s">
        <v>1952</v>
      </c>
      <c r="X447" s="6">
        <v>125000</v>
      </c>
      <c r="Y447" s="1"/>
      <c r="Z447" s="4">
        <v>43272</v>
      </c>
      <c r="AA447" s="5">
        <v>43465</v>
      </c>
      <c r="AB447" s="1" t="s">
        <v>1971</v>
      </c>
      <c r="AC447" s="1"/>
      <c r="AD447" s="1"/>
    </row>
    <row r="448" spans="1:30" hidden="1" x14ac:dyDescent="0.25">
      <c r="A448" s="1" t="s">
        <v>1194</v>
      </c>
      <c r="B448" s="1" t="s">
        <v>753</v>
      </c>
      <c r="C448" s="1" t="s">
        <v>1335</v>
      </c>
      <c r="D448" s="4">
        <v>43245</v>
      </c>
      <c r="E448" s="6">
        <v>8656151.5999999996</v>
      </c>
      <c r="F448" s="6"/>
      <c r="G448" s="6">
        <v>8656151.5999999996</v>
      </c>
      <c r="H448" s="1"/>
      <c r="I448" s="1"/>
      <c r="J448" s="1"/>
      <c r="K448" s="1" t="s">
        <v>1749</v>
      </c>
      <c r="L448" s="1" t="s">
        <v>582</v>
      </c>
      <c r="M448" s="1"/>
      <c r="N448" s="1" t="s">
        <v>333</v>
      </c>
      <c r="O448" s="1"/>
      <c r="P448" s="1"/>
      <c r="Q448" s="2"/>
      <c r="R448" s="1"/>
      <c r="S448" s="1"/>
      <c r="T448" s="1"/>
      <c r="U448" s="1" t="s">
        <v>1972</v>
      </c>
      <c r="V448" s="5">
        <v>43258.7461402236</v>
      </c>
      <c r="W448" s="1"/>
      <c r="X448" s="6">
        <v>8656151.5999999996</v>
      </c>
      <c r="Y448" s="1"/>
      <c r="Z448" s="4">
        <v>43465</v>
      </c>
      <c r="AA448" s="1"/>
      <c r="AB448" s="1" t="s">
        <v>1961</v>
      </c>
      <c r="AC448" s="1" t="s">
        <v>1796</v>
      </c>
      <c r="AD448" s="1"/>
    </row>
    <row r="449" spans="1:30" hidden="1" x14ac:dyDescent="0.25">
      <c r="A449" s="1" t="s">
        <v>1076</v>
      </c>
      <c r="B449" s="1" t="s">
        <v>729</v>
      </c>
      <c r="C449" s="1" t="s">
        <v>1157</v>
      </c>
      <c r="D449" s="4">
        <v>43245</v>
      </c>
      <c r="E449" s="6">
        <v>185535.35</v>
      </c>
      <c r="F449" s="6"/>
      <c r="G449" s="6">
        <v>88.900503114518443</v>
      </c>
      <c r="H449" s="1"/>
      <c r="I449" s="1"/>
      <c r="J449" s="1"/>
      <c r="K449" s="1" t="s">
        <v>1265</v>
      </c>
      <c r="L449" s="1" t="s">
        <v>466</v>
      </c>
      <c r="M449" s="1"/>
      <c r="N449" s="1" t="s">
        <v>311</v>
      </c>
      <c r="O449" s="1"/>
      <c r="P449" s="1"/>
      <c r="Q449" s="2"/>
      <c r="R449" s="1"/>
      <c r="S449" s="1"/>
      <c r="T449" s="1"/>
      <c r="U449" s="1" t="s">
        <v>1956</v>
      </c>
      <c r="V449" s="5">
        <v>43245.472442939245</v>
      </c>
      <c r="W449" s="1" t="s">
        <v>1952</v>
      </c>
      <c r="X449" s="6">
        <v>185535.35</v>
      </c>
      <c r="Y449" s="1"/>
      <c r="Z449" s="4">
        <v>43259</v>
      </c>
      <c r="AA449" s="5">
        <v>43465</v>
      </c>
      <c r="AB449" s="1" t="s">
        <v>1971</v>
      </c>
      <c r="AC449" s="1"/>
      <c r="AD449" s="1"/>
    </row>
    <row r="450" spans="1:30" hidden="1" x14ac:dyDescent="0.25">
      <c r="A450" s="1" t="s">
        <v>1466</v>
      </c>
      <c r="B450" s="1" t="s">
        <v>821</v>
      </c>
      <c r="C450" s="1" t="s">
        <v>1157</v>
      </c>
      <c r="D450" s="4">
        <v>43244</v>
      </c>
      <c r="E450" s="6">
        <v>80700</v>
      </c>
      <c r="F450" s="6"/>
      <c r="G450" s="6">
        <v>80700</v>
      </c>
      <c r="H450" s="1"/>
      <c r="I450" s="1"/>
      <c r="J450" s="1"/>
      <c r="K450" s="1" t="s">
        <v>1934</v>
      </c>
      <c r="L450" s="1" t="s">
        <v>550</v>
      </c>
      <c r="M450" s="1"/>
      <c r="N450" s="1" t="s">
        <v>334</v>
      </c>
      <c r="O450" s="1"/>
      <c r="P450" s="1"/>
      <c r="Q450" s="2"/>
      <c r="R450" s="1"/>
      <c r="S450" s="1"/>
      <c r="T450" s="1"/>
      <c r="U450" s="1" t="s">
        <v>1956</v>
      </c>
      <c r="V450" s="5">
        <v>43244.461195545038</v>
      </c>
      <c r="W450" s="1" t="s">
        <v>1952</v>
      </c>
      <c r="X450" s="6">
        <v>80700</v>
      </c>
      <c r="Y450" s="4">
        <v>43244</v>
      </c>
      <c r="Z450" s="4">
        <v>43287</v>
      </c>
      <c r="AA450" s="5">
        <v>43465</v>
      </c>
      <c r="AB450" s="1" t="s">
        <v>1971</v>
      </c>
      <c r="AC450" s="1"/>
      <c r="AD450" s="1"/>
    </row>
    <row r="451" spans="1:30" hidden="1" x14ac:dyDescent="0.25">
      <c r="A451" s="1" t="s">
        <v>1495</v>
      </c>
      <c r="B451" s="1" t="s">
        <v>747</v>
      </c>
      <c r="C451" s="1" t="s">
        <v>1081</v>
      </c>
      <c r="D451" s="4">
        <v>43242</v>
      </c>
      <c r="E451" s="6">
        <v>452000</v>
      </c>
      <c r="F451" s="6"/>
      <c r="G451" s="6">
        <v>452000</v>
      </c>
      <c r="H451" s="1" t="s">
        <v>1658</v>
      </c>
      <c r="I451" s="6">
        <v>23000</v>
      </c>
      <c r="J451" s="6">
        <v>4.8421052631578948E-2</v>
      </c>
      <c r="K451" s="1" t="s">
        <v>1658</v>
      </c>
      <c r="L451" s="1" t="s">
        <v>688</v>
      </c>
      <c r="M451" s="1" t="s">
        <v>893</v>
      </c>
      <c r="N451" s="1" t="s">
        <v>27</v>
      </c>
      <c r="O451" s="6">
        <v>23000</v>
      </c>
      <c r="P451" s="6">
        <v>4.8421052631578948E-2</v>
      </c>
      <c r="Q451" s="2" t="str">
        <f>HYPERLINK("https://auction.openprocurement.org/tenders/d95d659f44a44a39b18677b003482427")</f>
        <v>https://auction.openprocurement.org/tenders/d95d659f44a44a39b18677b003482427</v>
      </c>
      <c r="R451" s="5">
        <v>43264.620925516108</v>
      </c>
      <c r="S451" s="4">
        <v>43275</v>
      </c>
      <c r="T451" s="4">
        <v>43285</v>
      </c>
      <c r="U451" s="1" t="s">
        <v>1956</v>
      </c>
      <c r="V451" s="5">
        <v>43276.740934931448</v>
      </c>
      <c r="W451" s="1" t="s">
        <v>1952</v>
      </c>
      <c r="X451" s="6">
        <v>452000</v>
      </c>
      <c r="Y451" s="1"/>
      <c r="Z451" s="4">
        <v>43286</v>
      </c>
      <c r="AA451" s="5">
        <v>43465</v>
      </c>
      <c r="AB451" s="1" t="s">
        <v>1971</v>
      </c>
      <c r="AC451" s="1"/>
      <c r="AD451" s="1"/>
    </row>
    <row r="452" spans="1:30" hidden="1" x14ac:dyDescent="0.25">
      <c r="A452" s="1" t="s">
        <v>1367</v>
      </c>
      <c r="B452" s="1" t="s">
        <v>808</v>
      </c>
      <c r="C452" s="1" t="s">
        <v>1081</v>
      </c>
      <c r="D452" s="4">
        <v>43237</v>
      </c>
      <c r="E452" s="6">
        <v>1100000</v>
      </c>
      <c r="F452" s="6"/>
      <c r="G452" s="6">
        <v>1100000</v>
      </c>
      <c r="H452" s="1" t="s">
        <v>1657</v>
      </c>
      <c r="I452" s="6">
        <v>786441</v>
      </c>
      <c r="J452" s="6">
        <v>0.41689138435816442</v>
      </c>
      <c r="K452" s="1" t="s">
        <v>1662</v>
      </c>
      <c r="L452" s="1" t="s">
        <v>626</v>
      </c>
      <c r="M452" s="1" t="s">
        <v>962</v>
      </c>
      <c r="N452" s="1" t="s">
        <v>28</v>
      </c>
      <c r="O452" s="6">
        <v>136441</v>
      </c>
      <c r="P452" s="6">
        <v>7.2327202387988815E-2</v>
      </c>
      <c r="Q452" s="2" t="str">
        <f>HYPERLINK("https://auction.openprocurement.org/tenders/f4316c1815e6443096bc8a91e9681065")</f>
        <v>https://auction.openprocurement.org/tenders/f4316c1815e6443096bc8a91e9681065</v>
      </c>
      <c r="R452" s="5">
        <v>43273.478086402341</v>
      </c>
      <c r="S452" s="4">
        <v>43284</v>
      </c>
      <c r="T452" s="4">
        <v>43294</v>
      </c>
      <c r="U452" s="1" t="s">
        <v>1956</v>
      </c>
      <c r="V452" s="5">
        <v>43284.740105194789</v>
      </c>
      <c r="W452" s="1" t="s">
        <v>1952</v>
      </c>
      <c r="X452" s="6">
        <v>1750000</v>
      </c>
      <c r="Y452" s="1"/>
      <c r="Z452" s="4">
        <v>43465</v>
      </c>
      <c r="AA452" s="5">
        <v>43465</v>
      </c>
      <c r="AB452" s="1" t="s">
        <v>1971</v>
      </c>
      <c r="AC452" s="1"/>
      <c r="AD452" s="1"/>
    </row>
    <row r="453" spans="1:30" hidden="1" x14ac:dyDescent="0.25">
      <c r="A453" s="1" t="s">
        <v>1445</v>
      </c>
      <c r="B453" s="1" t="s">
        <v>833</v>
      </c>
      <c r="C453" s="1" t="s">
        <v>1081</v>
      </c>
      <c r="D453" s="4">
        <v>43237</v>
      </c>
      <c r="E453" s="6">
        <v>1028200</v>
      </c>
      <c r="F453" s="6"/>
      <c r="G453" s="6">
        <v>1028200</v>
      </c>
      <c r="H453" s="1" t="s">
        <v>1662</v>
      </c>
      <c r="I453" s="6">
        <v>17800</v>
      </c>
      <c r="J453" s="6">
        <v>1.7017208413001913E-2</v>
      </c>
      <c r="K453" s="1" t="s">
        <v>1662</v>
      </c>
      <c r="L453" s="1" t="s">
        <v>626</v>
      </c>
      <c r="M453" s="1" t="s">
        <v>962</v>
      </c>
      <c r="N453" s="1" t="s">
        <v>28</v>
      </c>
      <c r="O453" s="6">
        <v>17800</v>
      </c>
      <c r="P453" s="6">
        <v>1.7017208413001913E-2</v>
      </c>
      <c r="Q453" s="2" t="str">
        <f>HYPERLINK("https://auction.openprocurement.org/tenders/d66b93b602544f3999723f3acce6c681")</f>
        <v>https://auction.openprocurement.org/tenders/d66b93b602544f3999723f3acce6c681</v>
      </c>
      <c r="R453" s="5">
        <v>43257.530744970478</v>
      </c>
      <c r="S453" s="4">
        <v>43268</v>
      </c>
      <c r="T453" s="4">
        <v>43278</v>
      </c>
      <c r="U453" s="1" t="s">
        <v>1956</v>
      </c>
      <c r="V453" s="5">
        <v>43276.686338105304</v>
      </c>
      <c r="W453" s="1" t="s">
        <v>1952</v>
      </c>
      <c r="X453" s="6">
        <v>1028200</v>
      </c>
      <c r="Y453" s="1"/>
      <c r="Z453" s="4">
        <v>43465</v>
      </c>
      <c r="AA453" s="5">
        <v>43465</v>
      </c>
      <c r="AB453" s="1" t="s">
        <v>1971</v>
      </c>
      <c r="AC453" s="1"/>
      <c r="AD453" s="1"/>
    </row>
    <row r="454" spans="1:30" hidden="1" x14ac:dyDescent="0.25">
      <c r="A454" s="1" t="s">
        <v>1434</v>
      </c>
      <c r="B454" s="1" t="s">
        <v>810</v>
      </c>
      <c r="C454" s="1" t="s">
        <v>1081</v>
      </c>
      <c r="D454" s="4">
        <v>43236</v>
      </c>
      <c r="E454" s="6">
        <v>595350</v>
      </c>
      <c r="F454" s="6"/>
      <c r="G454" s="6">
        <v>595350</v>
      </c>
      <c r="H454" s="1" t="s">
        <v>1662</v>
      </c>
      <c r="I454" s="6">
        <v>3150</v>
      </c>
      <c r="J454" s="6">
        <v>5.263157894736842E-3</v>
      </c>
      <c r="K454" s="1" t="s">
        <v>1662</v>
      </c>
      <c r="L454" s="1" t="s">
        <v>626</v>
      </c>
      <c r="M454" s="1" t="s">
        <v>962</v>
      </c>
      <c r="N454" s="1" t="s">
        <v>28</v>
      </c>
      <c r="O454" s="6">
        <v>3150</v>
      </c>
      <c r="P454" s="6">
        <v>5.263157894736842E-3</v>
      </c>
      <c r="Q454" s="2" t="str">
        <f>HYPERLINK("https://auction.openprocurement.org/tenders/06568539be104daaacaadeceaf1a399a")</f>
        <v>https://auction.openprocurement.org/tenders/06568539be104daaacaadeceaf1a399a</v>
      </c>
      <c r="R454" s="5">
        <v>43257.4440090184</v>
      </c>
      <c r="S454" s="4">
        <v>43268</v>
      </c>
      <c r="T454" s="4">
        <v>43278</v>
      </c>
      <c r="U454" s="1" t="s">
        <v>1956</v>
      </c>
      <c r="V454" s="5">
        <v>43276.728237734962</v>
      </c>
      <c r="W454" s="1" t="s">
        <v>1952</v>
      </c>
      <c r="X454" s="6">
        <v>595350</v>
      </c>
      <c r="Y454" s="1"/>
      <c r="Z454" s="4">
        <v>43465</v>
      </c>
      <c r="AA454" s="5">
        <v>43465</v>
      </c>
      <c r="AB454" s="1" t="s">
        <v>1971</v>
      </c>
      <c r="AC454" s="1"/>
      <c r="AD454" s="1"/>
    </row>
    <row r="455" spans="1:30" hidden="1" x14ac:dyDescent="0.25">
      <c r="A455" s="1" t="s">
        <v>1571</v>
      </c>
      <c r="B455" s="1" t="s">
        <v>235</v>
      </c>
      <c r="C455" s="1" t="s">
        <v>1157</v>
      </c>
      <c r="D455" s="4">
        <v>43236</v>
      </c>
      <c r="E455" s="6">
        <v>50000</v>
      </c>
      <c r="F455" s="6"/>
      <c r="G455" s="6">
        <v>125</v>
      </c>
      <c r="H455" s="1"/>
      <c r="I455" s="1"/>
      <c r="J455" s="1"/>
      <c r="K455" s="1" t="s">
        <v>1758</v>
      </c>
      <c r="L455" s="1" t="s">
        <v>546</v>
      </c>
      <c r="M455" s="1"/>
      <c r="N455" s="1" t="s">
        <v>256</v>
      </c>
      <c r="O455" s="1"/>
      <c r="P455" s="1"/>
      <c r="Q455" s="2"/>
      <c r="R455" s="1"/>
      <c r="S455" s="1"/>
      <c r="T455" s="1"/>
      <c r="U455" s="1" t="s">
        <v>1956</v>
      </c>
      <c r="V455" s="5">
        <v>43236.721761277986</v>
      </c>
      <c r="W455" s="1" t="s">
        <v>1952</v>
      </c>
      <c r="X455" s="6">
        <v>50000</v>
      </c>
      <c r="Y455" s="1"/>
      <c r="Z455" s="4">
        <v>43251</v>
      </c>
      <c r="AA455" s="5">
        <v>43465</v>
      </c>
      <c r="AB455" s="1" t="s">
        <v>1971</v>
      </c>
      <c r="AC455" s="1"/>
      <c r="AD455" s="1"/>
    </row>
    <row r="456" spans="1:30" hidden="1" x14ac:dyDescent="0.25">
      <c r="A456" s="1" t="s">
        <v>1282</v>
      </c>
      <c r="B456" s="1" t="s">
        <v>637</v>
      </c>
      <c r="C456" s="1" t="s">
        <v>1081</v>
      </c>
      <c r="D456" s="4">
        <v>43235</v>
      </c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2"/>
      <c r="R456" s="1"/>
      <c r="S456" s="1"/>
      <c r="T456" s="1"/>
      <c r="U456" s="1" t="s">
        <v>1972</v>
      </c>
      <c r="V456" s="5">
        <v>43245.448096560263</v>
      </c>
      <c r="W456" s="1"/>
      <c r="X456" s="1"/>
      <c r="Y456" s="1"/>
      <c r="Z456" s="4">
        <v>43343</v>
      </c>
      <c r="AA456" s="1"/>
      <c r="AB456" s="1"/>
      <c r="AC456" s="1" t="s">
        <v>1789</v>
      </c>
      <c r="AD456" s="1"/>
    </row>
    <row r="457" spans="1:30" hidden="1" x14ac:dyDescent="0.25">
      <c r="A457" s="1" t="s">
        <v>1328</v>
      </c>
      <c r="B457" s="1" t="s">
        <v>418</v>
      </c>
      <c r="C457" s="1" t="s">
        <v>1157</v>
      </c>
      <c r="D457" s="4">
        <v>43235</v>
      </c>
      <c r="E457" s="6">
        <v>62548</v>
      </c>
      <c r="F457" s="6"/>
      <c r="G457" s="6">
        <v>67.986956521739131</v>
      </c>
      <c r="H457" s="1"/>
      <c r="I457" s="1"/>
      <c r="J457" s="1"/>
      <c r="K457" s="1" t="s">
        <v>1748</v>
      </c>
      <c r="L457" s="1" t="s">
        <v>698</v>
      </c>
      <c r="M457" s="1"/>
      <c r="N457" s="1" t="s">
        <v>331</v>
      </c>
      <c r="O457" s="1"/>
      <c r="P457" s="1"/>
      <c r="Q457" s="2"/>
      <c r="R457" s="1"/>
      <c r="S457" s="1"/>
      <c r="T457" s="1"/>
      <c r="U457" s="1" t="s">
        <v>1956</v>
      </c>
      <c r="V457" s="5">
        <v>43235.471774577665</v>
      </c>
      <c r="W457" s="1" t="s">
        <v>1952</v>
      </c>
      <c r="X457" s="6">
        <v>62548</v>
      </c>
      <c r="Y457" s="1"/>
      <c r="Z457" s="4">
        <v>43251</v>
      </c>
      <c r="AA457" s="5">
        <v>43465</v>
      </c>
      <c r="AB457" s="1" t="s">
        <v>1971</v>
      </c>
      <c r="AC457" s="1"/>
      <c r="AD457" s="1"/>
    </row>
    <row r="458" spans="1:30" hidden="1" x14ac:dyDescent="0.25">
      <c r="A458" s="1" t="s">
        <v>1094</v>
      </c>
      <c r="B458" s="1" t="s">
        <v>741</v>
      </c>
      <c r="C458" s="1" t="s">
        <v>1157</v>
      </c>
      <c r="D458" s="4">
        <v>43235</v>
      </c>
      <c r="E458" s="6">
        <v>121599.8</v>
      </c>
      <c r="F458" s="6"/>
      <c r="G458" s="6">
        <v>222.71025641025642</v>
      </c>
      <c r="H458" s="1"/>
      <c r="I458" s="1"/>
      <c r="J458" s="1"/>
      <c r="K458" s="1" t="s">
        <v>1748</v>
      </c>
      <c r="L458" s="1" t="s">
        <v>698</v>
      </c>
      <c r="M458" s="1"/>
      <c r="N458" s="1" t="s">
        <v>331</v>
      </c>
      <c r="O458" s="1"/>
      <c r="P458" s="1"/>
      <c r="Q458" s="2"/>
      <c r="R458" s="1"/>
      <c r="S458" s="1"/>
      <c r="T458" s="1"/>
      <c r="U458" s="1" t="s">
        <v>1956</v>
      </c>
      <c r="V458" s="5">
        <v>43235.459572279302</v>
      </c>
      <c r="W458" s="1" t="s">
        <v>1952</v>
      </c>
      <c r="X458" s="6">
        <v>121599.8</v>
      </c>
      <c r="Y458" s="1"/>
      <c r="Z458" s="4">
        <v>43251</v>
      </c>
      <c r="AA458" s="5">
        <v>43465</v>
      </c>
      <c r="AB458" s="1" t="s">
        <v>1971</v>
      </c>
      <c r="AC458" s="1"/>
      <c r="AD458" s="1"/>
    </row>
    <row r="459" spans="1:30" hidden="1" x14ac:dyDescent="0.25">
      <c r="A459" s="1" t="s">
        <v>1150</v>
      </c>
      <c r="B459" s="1" t="s">
        <v>323</v>
      </c>
      <c r="C459" s="1" t="s">
        <v>1335</v>
      </c>
      <c r="D459" s="4">
        <v>43227</v>
      </c>
      <c r="E459" s="6">
        <v>604282</v>
      </c>
      <c r="F459" s="6"/>
      <c r="G459" s="6">
        <v>2.3204844630815784</v>
      </c>
      <c r="H459" s="1"/>
      <c r="I459" s="1"/>
      <c r="J459" s="1"/>
      <c r="K459" s="1" t="s">
        <v>1326</v>
      </c>
      <c r="L459" s="1" t="s">
        <v>465</v>
      </c>
      <c r="M459" s="1"/>
      <c r="N459" s="1" t="s">
        <v>274</v>
      </c>
      <c r="O459" s="1"/>
      <c r="P459" s="1"/>
      <c r="Q459" s="2"/>
      <c r="R459" s="1"/>
      <c r="S459" s="4">
        <v>43238</v>
      </c>
      <c r="T459" s="4">
        <v>43263</v>
      </c>
      <c r="U459" s="1" t="s">
        <v>1956</v>
      </c>
      <c r="V459" s="5">
        <v>43241.693594671713</v>
      </c>
      <c r="W459" s="1" t="s">
        <v>226</v>
      </c>
      <c r="X459" s="6">
        <v>604282</v>
      </c>
      <c r="Y459" s="4">
        <v>43209</v>
      </c>
      <c r="Z459" s="4">
        <v>43465</v>
      </c>
      <c r="AA459" s="5">
        <v>43465</v>
      </c>
      <c r="AB459" s="1" t="s">
        <v>1971</v>
      </c>
      <c r="AC459" s="1"/>
      <c r="AD459" s="1"/>
    </row>
    <row r="460" spans="1:30" hidden="1" x14ac:dyDescent="0.25">
      <c r="A460" s="1" t="s">
        <v>1393</v>
      </c>
      <c r="B460" s="1" t="s">
        <v>833</v>
      </c>
      <c r="C460" s="1" t="s">
        <v>1157</v>
      </c>
      <c r="D460" s="4">
        <v>43222</v>
      </c>
      <c r="E460" s="6">
        <v>195922.16</v>
      </c>
      <c r="F460" s="6"/>
      <c r="G460" s="6">
        <v>195922.16</v>
      </c>
      <c r="H460" s="1"/>
      <c r="I460" s="1"/>
      <c r="J460" s="1"/>
      <c r="K460" s="1" t="s">
        <v>1738</v>
      </c>
      <c r="L460" s="1" t="s">
        <v>626</v>
      </c>
      <c r="M460" s="1"/>
      <c r="N460" s="1" t="s">
        <v>304</v>
      </c>
      <c r="O460" s="1"/>
      <c r="P460" s="1"/>
      <c r="Q460" s="2"/>
      <c r="R460" s="1"/>
      <c r="S460" s="1"/>
      <c r="T460" s="1"/>
      <c r="U460" s="1" t="s">
        <v>1956</v>
      </c>
      <c r="V460" s="5">
        <v>43222.717993847422</v>
      </c>
      <c r="W460" s="1" t="s">
        <v>1952</v>
      </c>
      <c r="X460" s="6">
        <v>195922.16</v>
      </c>
      <c r="Y460" s="4">
        <v>43222</v>
      </c>
      <c r="Z460" s="4">
        <v>43465</v>
      </c>
      <c r="AA460" s="5">
        <v>43465</v>
      </c>
      <c r="AB460" s="1" t="s">
        <v>1971</v>
      </c>
      <c r="AC460" s="1"/>
      <c r="AD460" s="1"/>
    </row>
    <row r="461" spans="1:30" hidden="1" x14ac:dyDescent="0.25">
      <c r="A461" s="1" t="s">
        <v>1434</v>
      </c>
      <c r="B461" s="1" t="s">
        <v>810</v>
      </c>
      <c r="C461" s="1" t="s">
        <v>1081</v>
      </c>
      <c r="D461" s="4">
        <v>43217</v>
      </c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2"/>
      <c r="R461" s="1"/>
      <c r="S461" s="1"/>
      <c r="T461" s="1"/>
      <c r="U461" s="1" t="s">
        <v>1972</v>
      </c>
      <c r="V461" s="5">
        <v>43224.491207780055</v>
      </c>
      <c r="W461" s="1"/>
      <c r="X461" s="1"/>
      <c r="Y461" s="1"/>
      <c r="Z461" s="4">
        <v>43465</v>
      </c>
      <c r="AA461" s="1"/>
      <c r="AB461" s="1"/>
      <c r="AC461" s="1" t="s">
        <v>1789</v>
      </c>
      <c r="AD461" s="1"/>
    </row>
    <row r="462" spans="1:30" hidden="1" x14ac:dyDescent="0.25">
      <c r="A462" s="1" t="s">
        <v>1373</v>
      </c>
      <c r="B462" s="1" t="s">
        <v>808</v>
      </c>
      <c r="C462" s="1" t="s">
        <v>1157</v>
      </c>
      <c r="D462" s="4">
        <v>43217</v>
      </c>
      <c r="E462" s="6">
        <v>198000</v>
      </c>
      <c r="F462" s="6"/>
      <c r="G462" s="6">
        <v>198000</v>
      </c>
      <c r="H462" s="1"/>
      <c r="I462" s="1"/>
      <c r="J462" s="1"/>
      <c r="K462" s="1" t="s">
        <v>1199</v>
      </c>
      <c r="L462" s="1" t="s">
        <v>447</v>
      </c>
      <c r="M462" s="1"/>
      <c r="N462" s="1" t="s">
        <v>279</v>
      </c>
      <c r="O462" s="1"/>
      <c r="P462" s="1"/>
      <c r="Q462" s="2"/>
      <c r="R462" s="1"/>
      <c r="S462" s="1"/>
      <c r="T462" s="1"/>
      <c r="U462" s="1" t="s">
        <v>1956</v>
      </c>
      <c r="V462" s="5">
        <v>43217.509671884494</v>
      </c>
      <c r="W462" s="1" t="s">
        <v>1952</v>
      </c>
      <c r="X462" s="6">
        <v>198000</v>
      </c>
      <c r="Y462" s="4">
        <v>43217</v>
      </c>
      <c r="Z462" s="4">
        <v>43298</v>
      </c>
      <c r="AA462" s="5">
        <v>43465</v>
      </c>
      <c r="AB462" s="1" t="s">
        <v>1971</v>
      </c>
      <c r="AC462" s="1"/>
      <c r="AD462" s="1"/>
    </row>
    <row r="463" spans="1:30" hidden="1" x14ac:dyDescent="0.25">
      <c r="A463" s="1" t="s">
        <v>1054</v>
      </c>
      <c r="B463" s="1" t="s">
        <v>375</v>
      </c>
      <c r="C463" s="1" t="s">
        <v>1157</v>
      </c>
      <c r="D463" s="4">
        <v>43217</v>
      </c>
      <c r="E463" s="6">
        <v>102945</v>
      </c>
      <c r="F463" s="6"/>
      <c r="G463" s="6">
        <v>0.63009548292324646</v>
      </c>
      <c r="H463" s="1"/>
      <c r="I463" s="1"/>
      <c r="J463" s="1"/>
      <c r="K463" s="1" t="s">
        <v>1265</v>
      </c>
      <c r="L463" s="1" t="s">
        <v>466</v>
      </c>
      <c r="M463" s="1"/>
      <c r="N463" s="1" t="s">
        <v>270</v>
      </c>
      <c r="O463" s="1"/>
      <c r="P463" s="1"/>
      <c r="Q463" s="2"/>
      <c r="R463" s="1"/>
      <c r="S463" s="1"/>
      <c r="T463" s="1"/>
      <c r="U463" s="1" t="s">
        <v>1956</v>
      </c>
      <c r="V463" s="5">
        <v>43217.462343849373</v>
      </c>
      <c r="W463" s="1" t="s">
        <v>1952</v>
      </c>
      <c r="X463" s="6">
        <v>102945</v>
      </c>
      <c r="Y463" s="1"/>
      <c r="Z463" s="4">
        <v>43220</v>
      </c>
      <c r="AA463" s="5">
        <v>43465</v>
      </c>
      <c r="AB463" s="1" t="s">
        <v>1971</v>
      </c>
      <c r="AC463" s="1"/>
      <c r="AD463" s="1"/>
    </row>
    <row r="464" spans="1:30" hidden="1" x14ac:dyDescent="0.25">
      <c r="A464" s="1" t="s">
        <v>1142</v>
      </c>
      <c r="B464" s="1" t="s">
        <v>639</v>
      </c>
      <c r="C464" s="1" t="s">
        <v>1081</v>
      </c>
      <c r="D464" s="4">
        <v>43216</v>
      </c>
      <c r="E464" s="6">
        <v>630000</v>
      </c>
      <c r="F464" s="6"/>
      <c r="G464" s="6">
        <v>630000</v>
      </c>
      <c r="H464" s="1" t="s">
        <v>1720</v>
      </c>
      <c r="I464" s="6">
        <v>50000</v>
      </c>
      <c r="J464" s="6">
        <v>7.3529411764705885E-2</v>
      </c>
      <c r="K464" s="1" t="s">
        <v>1720</v>
      </c>
      <c r="L464" s="1" t="s">
        <v>640</v>
      </c>
      <c r="M464" s="1" t="s">
        <v>881</v>
      </c>
      <c r="N464" s="1" t="s">
        <v>112</v>
      </c>
      <c r="O464" s="6">
        <v>50000</v>
      </c>
      <c r="P464" s="6">
        <v>7.3529411764705885E-2</v>
      </c>
      <c r="Q464" s="2" t="str">
        <f>HYPERLINK("https://auction.openprocurement.org/tenders/926fcfee664345aa9eff99cd09780cd3")</f>
        <v>https://auction.openprocurement.org/tenders/926fcfee664345aa9eff99cd09780cd3</v>
      </c>
      <c r="R464" s="5">
        <v>43235.687169023098</v>
      </c>
      <c r="S464" s="4">
        <v>43246</v>
      </c>
      <c r="T464" s="4">
        <v>43256</v>
      </c>
      <c r="U464" s="1" t="s">
        <v>1956</v>
      </c>
      <c r="V464" s="5">
        <v>43249.399284403684</v>
      </c>
      <c r="W464" s="1" t="s">
        <v>557</v>
      </c>
      <c r="X464" s="6">
        <v>630000</v>
      </c>
      <c r="Y464" s="1"/>
      <c r="Z464" s="4">
        <v>43281</v>
      </c>
      <c r="AA464" s="5">
        <v>43465</v>
      </c>
      <c r="AB464" s="1" t="s">
        <v>1971</v>
      </c>
      <c r="AC464" s="1"/>
      <c r="AD464" s="1"/>
    </row>
    <row r="465" spans="1:30" hidden="1" x14ac:dyDescent="0.25">
      <c r="A465" s="1" t="s">
        <v>1150</v>
      </c>
      <c r="B465" s="1" t="s">
        <v>323</v>
      </c>
      <c r="C465" s="1" t="s">
        <v>1335</v>
      </c>
      <c r="D465" s="4">
        <v>43215</v>
      </c>
      <c r="E465" s="6">
        <v>1076700</v>
      </c>
      <c r="F465" s="6"/>
      <c r="G465" s="6">
        <v>2.3051972381309214</v>
      </c>
      <c r="H465" s="1"/>
      <c r="I465" s="1"/>
      <c r="J465" s="1"/>
      <c r="K465" s="1"/>
      <c r="L465" s="1"/>
      <c r="M465" s="1"/>
      <c r="N465" s="1"/>
      <c r="O465" s="1"/>
      <c r="P465" s="1"/>
      <c r="Q465" s="2"/>
      <c r="R465" s="1"/>
      <c r="S465" s="1"/>
      <c r="T465" s="1"/>
      <c r="U465" s="1" t="s">
        <v>1972</v>
      </c>
      <c r="V465" s="5">
        <v>43215.63803345184</v>
      </c>
      <c r="W465" s="1"/>
      <c r="X465" s="1"/>
      <c r="Y465" s="4">
        <v>43196</v>
      </c>
      <c r="Z465" s="4">
        <v>43465</v>
      </c>
      <c r="AA465" s="1"/>
      <c r="AB465" s="1"/>
      <c r="AC465" s="1" t="s">
        <v>1805</v>
      </c>
      <c r="AD465" s="1"/>
    </row>
    <row r="466" spans="1:30" hidden="1" x14ac:dyDescent="0.25">
      <c r="A466" s="1" t="s">
        <v>1150</v>
      </c>
      <c r="B466" s="1" t="s">
        <v>323</v>
      </c>
      <c r="C466" s="1" t="s">
        <v>1335</v>
      </c>
      <c r="D466" s="4">
        <v>43215</v>
      </c>
      <c r="E466" s="6">
        <v>1067699</v>
      </c>
      <c r="F466" s="6"/>
      <c r="G466" s="6">
        <v>2.2859262431087086</v>
      </c>
      <c r="H466" s="1"/>
      <c r="I466" s="1"/>
      <c r="J466" s="1"/>
      <c r="K466" s="1"/>
      <c r="L466" s="1"/>
      <c r="M466" s="1"/>
      <c r="N466" s="1"/>
      <c r="O466" s="1"/>
      <c r="P466" s="1"/>
      <c r="Q466" s="2"/>
      <c r="R466" s="1"/>
      <c r="S466" s="1"/>
      <c r="T466" s="1"/>
      <c r="U466" s="1" t="s">
        <v>1972</v>
      </c>
      <c r="V466" s="5">
        <v>43215.415282800524</v>
      </c>
      <c r="W466" s="1"/>
      <c r="X466" s="1"/>
      <c r="Y466" s="4">
        <v>43196</v>
      </c>
      <c r="Z466" s="4">
        <v>43465</v>
      </c>
      <c r="AA466" s="1"/>
      <c r="AB466" s="1"/>
      <c r="AC466" s="1" t="s">
        <v>1798</v>
      </c>
      <c r="AD466" s="1"/>
    </row>
    <row r="467" spans="1:30" hidden="1" x14ac:dyDescent="0.25">
      <c r="A467" s="1" t="s">
        <v>1054</v>
      </c>
      <c r="B467" s="1" t="s">
        <v>375</v>
      </c>
      <c r="C467" s="1" t="s">
        <v>1157</v>
      </c>
      <c r="D467" s="4">
        <v>43213</v>
      </c>
      <c r="E467" s="6">
        <v>102945</v>
      </c>
      <c r="F467" s="6"/>
      <c r="G467" s="6">
        <v>1.281207218419415</v>
      </c>
      <c r="H467" s="1"/>
      <c r="I467" s="1"/>
      <c r="J467" s="1"/>
      <c r="K467" s="1" t="s">
        <v>1265</v>
      </c>
      <c r="L467" s="1" t="s">
        <v>466</v>
      </c>
      <c r="M467" s="1"/>
      <c r="N467" s="1" t="s">
        <v>311</v>
      </c>
      <c r="O467" s="1"/>
      <c r="P467" s="1"/>
      <c r="Q467" s="2"/>
      <c r="R467" s="1"/>
      <c r="S467" s="1"/>
      <c r="T467" s="1"/>
      <c r="U467" s="1" t="s">
        <v>1956</v>
      </c>
      <c r="V467" s="5">
        <v>43213.598468671102</v>
      </c>
      <c r="W467" s="1" t="s">
        <v>1952</v>
      </c>
      <c r="X467" s="6">
        <v>102945</v>
      </c>
      <c r="Y467" s="1"/>
      <c r="Z467" s="4">
        <v>43220</v>
      </c>
      <c r="AA467" s="5">
        <v>43465</v>
      </c>
      <c r="AB467" s="1" t="s">
        <v>1971</v>
      </c>
      <c r="AC467" s="1"/>
      <c r="AD467" s="1"/>
    </row>
    <row r="468" spans="1:30" hidden="1" x14ac:dyDescent="0.25">
      <c r="A468" s="1" t="s">
        <v>1269</v>
      </c>
      <c r="B468" s="1" t="s">
        <v>675</v>
      </c>
      <c r="C468" s="1" t="s">
        <v>1147</v>
      </c>
      <c r="D468" s="4">
        <v>43213</v>
      </c>
      <c r="E468" s="6">
        <v>168999</v>
      </c>
      <c r="F468" s="6"/>
      <c r="G468" s="6">
        <v>168999</v>
      </c>
      <c r="H468" s="1" t="s">
        <v>1889</v>
      </c>
      <c r="I468" s="6">
        <v>30001</v>
      </c>
      <c r="J468" s="6">
        <v>0.15075879396984926</v>
      </c>
      <c r="K468" s="1" t="s">
        <v>1837</v>
      </c>
      <c r="L468" s="1" t="s">
        <v>558</v>
      </c>
      <c r="M468" s="1" t="s">
        <v>330</v>
      </c>
      <c r="N468" s="1" t="s">
        <v>163</v>
      </c>
      <c r="O468" s="1"/>
      <c r="P468" s="1"/>
      <c r="Q468" s="2" t="str">
        <f>HYPERLINK("https://auction.openprocurement.org/tenders/2539219731834f669bf34115b751c4a7")</f>
        <v>https://auction.openprocurement.org/tenders/2539219731834f669bf34115b751c4a7</v>
      </c>
      <c r="R468" s="5">
        <v>43227.51064143244</v>
      </c>
      <c r="S468" s="4">
        <v>43231</v>
      </c>
      <c r="T468" s="4">
        <v>43246</v>
      </c>
      <c r="U468" s="1" t="s">
        <v>1956</v>
      </c>
      <c r="V468" s="5">
        <v>43237.443763485964</v>
      </c>
      <c r="W468" s="1" t="s">
        <v>1952</v>
      </c>
      <c r="X468" s="6">
        <v>199000</v>
      </c>
      <c r="Y468" s="1"/>
      <c r="Z468" s="4">
        <v>43252</v>
      </c>
      <c r="AA468" s="5">
        <v>43465</v>
      </c>
      <c r="AB468" s="1" t="s">
        <v>1971</v>
      </c>
      <c r="AC468" s="1"/>
      <c r="AD468" s="1"/>
    </row>
    <row r="469" spans="1:30" hidden="1" x14ac:dyDescent="0.25">
      <c r="A469" s="1" t="s">
        <v>1252</v>
      </c>
      <c r="B469" s="1" t="s">
        <v>733</v>
      </c>
      <c r="C469" s="1" t="s">
        <v>1081</v>
      </c>
      <c r="D469" s="4">
        <v>43208</v>
      </c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2"/>
      <c r="R469" s="1"/>
      <c r="S469" s="1"/>
      <c r="T469" s="1"/>
      <c r="U469" s="1" t="s">
        <v>1972</v>
      </c>
      <c r="V469" s="5">
        <v>43215.551241876739</v>
      </c>
      <c r="W469" s="1"/>
      <c r="X469" s="1"/>
      <c r="Y469" s="1"/>
      <c r="Z469" s="4">
        <v>43261</v>
      </c>
      <c r="AA469" s="1"/>
      <c r="AB469" s="1"/>
      <c r="AC469" s="1" t="s">
        <v>1801</v>
      </c>
      <c r="AD469" s="1"/>
    </row>
    <row r="470" spans="1:30" hidden="1" x14ac:dyDescent="0.25">
      <c r="A470" s="1" t="s">
        <v>1329</v>
      </c>
      <c r="B470" s="1" t="s">
        <v>318</v>
      </c>
      <c r="C470" s="1" t="s">
        <v>1147</v>
      </c>
      <c r="D470" s="4">
        <v>43208</v>
      </c>
      <c r="E470" s="6">
        <v>53712</v>
      </c>
      <c r="F470" s="6"/>
      <c r="G470" s="6">
        <v>26.856000000000002</v>
      </c>
      <c r="H470" s="1" t="s">
        <v>1653</v>
      </c>
      <c r="I470" s="6">
        <v>3388</v>
      </c>
      <c r="J470" s="6">
        <v>5.933450087565674E-2</v>
      </c>
      <c r="K470" s="1" t="s">
        <v>1741</v>
      </c>
      <c r="L470" s="1" t="s">
        <v>714</v>
      </c>
      <c r="M470" s="1" t="s">
        <v>860</v>
      </c>
      <c r="N470" s="1" t="s">
        <v>186</v>
      </c>
      <c r="O470" s="6">
        <v>3100</v>
      </c>
      <c r="P470" s="6">
        <v>5.4290718038528897E-2</v>
      </c>
      <c r="Q470" s="2" t="str">
        <f>HYPERLINK("https://auction.openprocurement.org/tenders/3ee3eab322864daf874a05dc45356093")</f>
        <v>https://auction.openprocurement.org/tenders/3ee3eab322864daf874a05dc45356093</v>
      </c>
      <c r="R470" s="5">
        <v>43222.421239481329</v>
      </c>
      <c r="S470" s="4">
        <v>43224</v>
      </c>
      <c r="T470" s="4">
        <v>43243</v>
      </c>
      <c r="U470" s="1" t="s">
        <v>1956</v>
      </c>
      <c r="V470" s="5">
        <v>43224.475225352224</v>
      </c>
      <c r="W470" s="1" t="s">
        <v>295</v>
      </c>
      <c r="X470" s="6">
        <v>54000</v>
      </c>
      <c r="Y470" s="1"/>
      <c r="Z470" s="4">
        <v>43230</v>
      </c>
      <c r="AA470" s="5">
        <v>43465</v>
      </c>
      <c r="AB470" s="1" t="s">
        <v>1971</v>
      </c>
      <c r="AC470" s="1"/>
      <c r="AD470" s="1"/>
    </row>
    <row r="471" spans="1:30" hidden="1" x14ac:dyDescent="0.25">
      <c r="A471" s="1" t="s">
        <v>1250</v>
      </c>
      <c r="B471" s="1" t="s">
        <v>733</v>
      </c>
      <c r="C471" s="1" t="s">
        <v>1081</v>
      </c>
      <c r="D471" s="4">
        <v>43206</v>
      </c>
      <c r="E471" s="6">
        <v>567000</v>
      </c>
      <c r="F471" s="6"/>
      <c r="G471" s="6">
        <v>94500</v>
      </c>
      <c r="H471" s="1" t="s">
        <v>1824</v>
      </c>
      <c r="I471" s="6">
        <v>33000</v>
      </c>
      <c r="J471" s="6">
        <v>5.5E-2</v>
      </c>
      <c r="K471" s="1"/>
      <c r="L471" s="1"/>
      <c r="M471" s="1"/>
      <c r="N471" s="1"/>
      <c r="O471" s="1"/>
      <c r="P471" s="1"/>
      <c r="Q471" s="2" t="str">
        <f>HYPERLINK("https://auction.openprocurement.org/tenders/6356c419f1ea4fab8c931b6671b77811")</f>
        <v>https://auction.openprocurement.org/tenders/6356c419f1ea4fab8c931b6671b77811</v>
      </c>
      <c r="R471" s="1"/>
      <c r="S471" s="1"/>
      <c r="T471" s="1"/>
      <c r="U471" s="1" t="s">
        <v>1972</v>
      </c>
      <c r="V471" s="5">
        <v>43228.485670991875</v>
      </c>
      <c r="W471" s="1"/>
      <c r="X471" s="1"/>
      <c r="Y471" s="1"/>
      <c r="Z471" s="4">
        <v>43261</v>
      </c>
      <c r="AA471" s="1"/>
      <c r="AB471" s="1"/>
      <c r="AC471" s="1" t="s">
        <v>1789</v>
      </c>
      <c r="AD471" s="1"/>
    </row>
    <row r="472" spans="1:30" hidden="1" x14ac:dyDescent="0.25">
      <c r="A472" s="1" t="s">
        <v>1396</v>
      </c>
      <c r="B472" s="1" t="s">
        <v>810</v>
      </c>
      <c r="C472" s="1" t="s">
        <v>1081</v>
      </c>
      <c r="D472" s="4">
        <v>43206</v>
      </c>
      <c r="E472" s="6">
        <v>982758.16</v>
      </c>
      <c r="F472" s="6"/>
      <c r="G472" s="6">
        <v>982758.16</v>
      </c>
      <c r="H472" s="1" t="s">
        <v>1654</v>
      </c>
      <c r="I472" s="6">
        <v>17241.839999999967</v>
      </c>
      <c r="J472" s="6">
        <v>1.7241839999999967E-2</v>
      </c>
      <c r="K472" s="1" t="s">
        <v>1654</v>
      </c>
      <c r="L472" s="1" t="s">
        <v>704</v>
      </c>
      <c r="M472" s="1" t="s">
        <v>889</v>
      </c>
      <c r="N472" s="1" t="s">
        <v>54</v>
      </c>
      <c r="O472" s="6">
        <v>17241.839999999967</v>
      </c>
      <c r="P472" s="6">
        <v>1.7241839999999967E-2</v>
      </c>
      <c r="Q472" s="2" t="str">
        <f>HYPERLINK("https://auction.openprocurement.org/tenders/3471bac760314befbaff42442ff2d950")</f>
        <v>https://auction.openprocurement.org/tenders/3471bac760314befbaff42442ff2d950</v>
      </c>
      <c r="R472" s="5">
        <v>43230.407948377186</v>
      </c>
      <c r="S472" s="4">
        <v>43241</v>
      </c>
      <c r="T472" s="4">
        <v>43251</v>
      </c>
      <c r="U472" s="1" t="s">
        <v>1956</v>
      </c>
      <c r="V472" s="5">
        <v>43241.397250031805</v>
      </c>
      <c r="W472" s="1" t="s">
        <v>1952</v>
      </c>
      <c r="X472" s="6">
        <v>982758.16</v>
      </c>
      <c r="Y472" s="4">
        <v>43235</v>
      </c>
      <c r="Z472" s="4">
        <v>43266</v>
      </c>
      <c r="AA472" s="5">
        <v>43465</v>
      </c>
      <c r="AB472" s="1" t="s">
        <v>1971</v>
      </c>
      <c r="AC472" s="1"/>
      <c r="AD472" s="1"/>
    </row>
    <row r="473" spans="1:30" hidden="1" x14ac:dyDescent="0.25">
      <c r="A473" s="1" t="s">
        <v>1137</v>
      </c>
      <c r="B473" s="1" t="s">
        <v>667</v>
      </c>
      <c r="C473" s="1" t="s">
        <v>1147</v>
      </c>
      <c r="D473" s="4">
        <v>43196</v>
      </c>
      <c r="E473" s="6">
        <v>199000</v>
      </c>
      <c r="F473" s="6"/>
      <c r="G473" s="6">
        <v>18090.909090909092</v>
      </c>
      <c r="H473" s="1" t="s">
        <v>1854</v>
      </c>
      <c r="I473" s="1"/>
      <c r="J473" s="1"/>
      <c r="K473" s="1" t="s">
        <v>1854</v>
      </c>
      <c r="L473" s="1" t="s">
        <v>535</v>
      </c>
      <c r="M473" s="1" t="s">
        <v>920</v>
      </c>
      <c r="N473" s="1" t="s">
        <v>181</v>
      </c>
      <c r="O473" s="1"/>
      <c r="P473" s="1"/>
      <c r="Q473" s="2"/>
      <c r="R473" s="5">
        <v>43209.518263934042</v>
      </c>
      <c r="S473" s="4">
        <v>43213</v>
      </c>
      <c r="T473" s="4">
        <v>43232</v>
      </c>
      <c r="U473" s="1" t="s">
        <v>1956</v>
      </c>
      <c r="V473" s="5">
        <v>43214.531210425012</v>
      </c>
      <c r="W473" s="1" t="s">
        <v>354</v>
      </c>
      <c r="X473" s="6">
        <v>199000</v>
      </c>
      <c r="Y473" s="1"/>
      <c r="Z473" s="4">
        <v>43235</v>
      </c>
      <c r="AA473" s="5">
        <v>43465</v>
      </c>
      <c r="AB473" s="1" t="s">
        <v>1971</v>
      </c>
      <c r="AC473" s="1"/>
      <c r="AD473" s="1"/>
    </row>
    <row r="474" spans="1:30" hidden="1" x14ac:dyDescent="0.25">
      <c r="A474" s="1" t="s">
        <v>1065</v>
      </c>
      <c r="B474" s="1" t="s">
        <v>791</v>
      </c>
      <c r="C474" s="1" t="s">
        <v>1147</v>
      </c>
      <c r="D474" s="4">
        <v>43196</v>
      </c>
      <c r="E474" s="6">
        <v>69950</v>
      </c>
      <c r="F474" s="6"/>
      <c r="G474" s="6">
        <v>69950</v>
      </c>
      <c r="H474" s="1" t="s">
        <v>1735</v>
      </c>
      <c r="I474" s="6">
        <v>32050</v>
      </c>
      <c r="J474" s="6">
        <v>0.3142156862745098</v>
      </c>
      <c r="K474" s="1" t="s">
        <v>1827</v>
      </c>
      <c r="L474" s="1" t="s">
        <v>536</v>
      </c>
      <c r="M474" s="1" t="s">
        <v>946</v>
      </c>
      <c r="N474" s="1" t="s">
        <v>159</v>
      </c>
      <c r="O474" s="6">
        <v>1020</v>
      </c>
      <c r="P474" s="6">
        <v>0.01</v>
      </c>
      <c r="Q474" s="2" t="str">
        <f>HYPERLINK("https://auction.openprocurement.org/tenders/60fa476de3404417af53cedbaaac105e")</f>
        <v>https://auction.openprocurement.org/tenders/60fa476de3404417af53cedbaaac105e</v>
      </c>
      <c r="R474" s="5">
        <v>43210.669760615587</v>
      </c>
      <c r="S474" s="4">
        <v>43214</v>
      </c>
      <c r="T474" s="4">
        <v>43232</v>
      </c>
      <c r="U474" s="1" t="s">
        <v>1956</v>
      </c>
      <c r="V474" s="5">
        <v>43216.640346249304</v>
      </c>
      <c r="W474" s="1" t="s">
        <v>1952</v>
      </c>
      <c r="X474" s="6">
        <v>100980</v>
      </c>
      <c r="Y474" s="1"/>
      <c r="Z474" s="4">
        <v>43434</v>
      </c>
      <c r="AA474" s="5">
        <v>43465</v>
      </c>
      <c r="AB474" s="1" t="s">
        <v>1971</v>
      </c>
      <c r="AC474" s="1"/>
      <c r="AD474" s="1"/>
    </row>
    <row r="475" spans="1:30" hidden="1" x14ac:dyDescent="0.25">
      <c r="A475" s="1" t="s">
        <v>1061</v>
      </c>
      <c r="B475" s="1" t="s">
        <v>427</v>
      </c>
      <c r="C475" s="1" t="s">
        <v>1147</v>
      </c>
      <c r="D475" s="4">
        <v>43196</v>
      </c>
      <c r="E475" s="6">
        <v>197500</v>
      </c>
      <c r="F475" s="6"/>
      <c r="G475" s="6">
        <v>2821.4285714285716</v>
      </c>
      <c r="H475" s="1" t="s">
        <v>1896</v>
      </c>
      <c r="I475" s="6">
        <v>32</v>
      </c>
      <c r="J475" s="6">
        <v>1.6199906850535608E-4</v>
      </c>
      <c r="K475" s="1" t="s">
        <v>1896</v>
      </c>
      <c r="L475" s="1" t="s">
        <v>561</v>
      </c>
      <c r="M475" s="1" t="s">
        <v>924</v>
      </c>
      <c r="N475" s="1" t="s">
        <v>93</v>
      </c>
      <c r="O475" s="6">
        <v>32</v>
      </c>
      <c r="P475" s="6">
        <v>1.6199906850535608E-4</v>
      </c>
      <c r="Q475" s="2"/>
      <c r="R475" s="5">
        <v>43208.492097872862</v>
      </c>
      <c r="S475" s="4">
        <v>43210</v>
      </c>
      <c r="T475" s="4">
        <v>43232</v>
      </c>
      <c r="U475" s="1" t="s">
        <v>1956</v>
      </c>
      <c r="V475" s="5">
        <v>43213.628868236978</v>
      </c>
      <c r="W475" s="1" t="s">
        <v>1952</v>
      </c>
      <c r="X475" s="6">
        <v>197500</v>
      </c>
      <c r="Y475" s="1"/>
      <c r="Z475" s="4">
        <v>43235</v>
      </c>
      <c r="AA475" s="5">
        <v>43465</v>
      </c>
      <c r="AB475" s="1" t="s">
        <v>1971</v>
      </c>
      <c r="AC475" s="1"/>
      <c r="AD475" s="1"/>
    </row>
    <row r="476" spans="1:30" hidden="1" x14ac:dyDescent="0.25">
      <c r="A476" s="1" t="s">
        <v>1364</v>
      </c>
      <c r="B476" s="1" t="s">
        <v>842</v>
      </c>
      <c r="C476" s="1" t="s">
        <v>1147</v>
      </c>
      <c r="D476" s="4">
        <v>43195</v>
      </c>
      <c r="E476" s="6">
        <v>32300</v>
      </c>
      <c r="F476" s="6"/>
      <c r="G476" s="6">
        <v>32300</v>
      </c>
      <c r="H476" s="1" t="s">
        <v>1892</v>
      </c>
      <c r="I476" s="6">
        <v>5700</v>
      </c>
      <c r="J476" s="6">
        <v>0.15</v>
      </c>
      <c r="K476" s="1" t="s">
        <v>1892</v>
      </c>
      <c r="L476" s="1" t="s">
        <v>517</v>
      </c>
      <c r="M476" s="1" t="s">
        <v>874</v>
      </c>
      <c r="N476" s="1" t="s">
        <v>175</v>
      </c>
      <c r="O476" s="6">
        <v>5700</v>
      </c>
      <c r="P476" s="6">
        <v>0.15</v>
      </c>
      <c r="Q476" s="2" t="str">
        <f>HYPERLINK("https://auction.openprocurement.org/tenders/7bfbbfe6ac8b4835a4f0063d714d2b56")</f>
        <v>https://auction.openprocurement.org/tenders/7bfbbfe6ac8b4835a4f0063d714d2b56</v>
      </c>
      <c r="R476" s="5">
        <v>43208.589112073205</v>
      </c>
      <c r="S476" s="4">
        <v>43210</v>
      </c>
      <c r="T476" s="4">
        <v>43231</v>
      </c>
      <c r="U476" s="1" t="s">
        <v>1956</v>
      </c>
      <c r="V476" s="5">
        <v>43216.629247163</v>
      </c>
      <c r="W476" s="1" t="s">
        <v>463</v>
      </c>
      <c r="X476" s="6">
        <v>32300</v>
      </c>
      <c r="Y476" s="1"/>
      <c r="Z476" s="4">
        <v>43373</v>
      </c>
      <c r="AA476" s="5">
        <v>43465</v>
      </c>
      <c r="AB476" s="1" t="s">
        <v>1971</v>
      </c>
      <c r="AC476" s="1"/>
      <c r="AD476" s="1"/>
    </row>
    <row r="477" spans="1:30" hidden="1" x14ac:dyDescent="0.25">
      <c r="A477" s="1" t="s">
        <v>1050</v>
      </c>
      <c r="B477" s="1" t="s">
        <v>725</v>
      </c>
      <c r="C477" s="1" t="s">
        <v>1147</v>
      </c>
      <c r="D477" s="4">
        <v>43194</v>
      </c>
      <c r="E477" s="6">
        <v>5500</v>
      </c>
      <c r="F477" s="6"/>
      <c r="G477" s="6">
        <v>5500</v>
      </c>
      <c r="H477" s="1" t="s">
        <v>1910</v>
      </c>
      <c r="I477" s="6">
        <v>1800</v>
      </c>
      <c r="J477" s="6">
        <v>0.24657534246575341</v>
      </c>
      <c r="K477" s="1" t="s">
        <v>1028</v>
      </c>
      <c r="L477" s="1" t="s">
        <v>644</v>
      </c>
      <c r="M477" s="1" t="s">
        <v>980</v>
      </c>
      <c r="N477" s="1" t="s">
        <v>46</v>
      </c>
      <c r="O477" s="6">
        <v>766</v>
      </c>
      <c r="P477" s="6">
        <v>0.10493150684931507</v>
      </c>
      <c r="Q477" s="2" t="str">
        <f>HYPERLINK("https://auction.openprocurement.org/tenders/dd5be88befd04bd79ccf97bc7204fcb7")</f>
        <v>https://auction.openprocurement.org/tenders/dd5be88befd04bd79ccf97bc7204fcb7</v>
      </c>
      <c r="R477" s="5">
        <v>43207.628971439328</v>
      </c>
      <c r="S477" s="4">
        <v>43209</v>
      </c>
      <c r="T477" s="4">
        <v>43230</v>
      </c>
      <c r="U477" s="1" t="s">
        <v>1956</v>
      </c>
      <c r="V477" s="5">
        <v>43210.674681924291</v>
      </c>
      <c r="W477" s="1" t="s">
        <v>1952</v>
      </c>
      <c r="X477" s="6">
        <v>6534</v>
      </c>
      <c r="Y477" s="1"/>
      <c r="Z477" s="4">
        <v>43220</v>
      </c>
      <c r="AA477" s="5">
        <v>43465</v>
      </c>
      <c r="AB477" s="1" t="s">
        <v>1971</v>
      </c>
      <c r="AC477" s="1"/>
      <c r="AD477" s="1"/>
    </row>
    <row r="478" spans="1:30" hidden="1" x14ac:dyDescent="0.25">
      <c r="A478" s="1" t="s">
        <v>1013</v>
      </c>
      <c r="B478" s="1" t="s">
        <v>639</v>
      </c>
      <c r="C478" s="1" t="s">
        <v>1081</v>
      </c>
      <c r="D478" s="4">
        <v>43192</v>
      </c>
      <c r="E478" s="6">
        <v>1610000</v>
      </c>
      <c r="F478" s="6"/>
      <c r="G478" s="6">
        <v>115000</v>
      </c>
      <c r="H478" s="1" t="s">
        <v>1720</v>
      </c>
      <c r="I478" s="6">
        <v>90000</v>
      </c>
      <c r="J478" s="6">
        <v>5.2941176470588235E-2</v>
      </c>
      <c r="K478" s="1" t="s">
        <v>1720</v>
      </c>
      <c r="L478" s="1" t="s">
        <v>640</v>
      </c>
      <c r="M478" s="1" t="s">
        <v>881</v>
      </c>
      <c r="N478" s="1" t="s">
        <v>112</v>
      </c>
      <c r="O478" s="6">
        <v>90000</v>
      </c>
      <c r="P478" s="6">
        <v>5.2941176470588235E-2</v>
      </c>
      <c r="Q478" s="2" t="str">
        <f>HYPERLINK("https://auction.openprocurement.org/tenders/010b8315c41d42f3a090c449f14a7282")</f>
        <v>https://auction.openprocurement.org/tenders/010b8315c41d42f3a090c449f14a7282</v>
      </c>
      <c r="R478" s="5">
        <v>43210.463342374933</v>
      </c>
      <c r="S478" s="4">
        <v>43221</v>
      </c>
      <c r="T478" s="4">
        <v>43231</v>
      </c>
      <c r="U478" s="1" t="s">
        <v>1956</v>
      </c>
      <c r="V478" s="5">
        <v>43227.552497698161</v>
      </c>
      <c r="W478" s="1" t="s">
        <v>450</v>
      </c>
      <c r="X478" s="6">
        <v>1610000</v>
      </c>
      <c r="Y478" s="1"/>
      <c r="Z478" s="4">
        <v>43343</v>
      </c>
      <c r="AA478" s="5">
        <v>43465</v>
      </c>
      <c r="AB478" s="1" t="s">
        <v>1971</v>
      </c>
      <c r="AC478" s="1"/>
      <c r="AD478" s="1"/>
    </row>
    <row r="479" spans="1:30" hidden="1" x14ac:dyDescent="0.25">
      <c r="A479" s="1" t="s">
        <v>1253</v>
      </c>
      <c r="B479" s="1" t="s">
        <v>733</v>
      </c>
      <c r="C479" s="1" t="s">
        <v>1081</v>
      </c>
      <c r="D479" s="4">
        <v>43189</v>
      </c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2"/>
      <c r="R479" s="1"/>
      <c r="S479" s="1"/>
      <c r="T479" s="1"/>
      <c r="U479" s="1" t="s">
        <v>1957</v>
      </c>
      <c r="V479" s="5">
        <v>43206.472056878891</v>
      </c>
      <c r="W479" s="1"/>
      <c r="X479" s="1"/>
      <c r="Y479" s="1"/>
      <c r="Z479" s="4">
        <v>43252</v>
      </c>
      <c r="AA479" s="1"/>
      <c r="AB479" s="1"/>
      <c r="AC479" s="1"/>
      <c r="AD479" s="1"/>
    </row>
    <row r="480" spans="1:30" hidden="1" x14ac:dyDescent="0.25">
      <c r="A480" s="1" t="s">
        <v>1254</v>
      </c>
      <c r="B480" s="1" t="s">
        <v>733</v>
      </c>
      <c r="C480" s="1" t="s">
        <v>1081</v>
      </c>
      <c r="D480" s="4">
        <v>43189</v>
      </c>
      <c r="E480" s="6">
        <v>44900</v>
      </c>
      <c r="F480" s="6"/>
      <c r="G480" s="6">
        <v>44900</v>
      </c>
      <c r="H480" s="1" t="s">
        <v>1859</v>
      </c>
      <c r="I480" s="6">
        <v>10100</v>
      </c>
      <c r="J480" s="6">
        <v>0.18363636363636363</v>
      </c>
      <c r="K480" s="1"/>
      <c r="L480" s="1"/>
      <c r="M480" s="1"/>
      <c r="N480" s="1"/>
      <c r="O480" s="1"/>
      <c r="P480" s="1"/>
      <c r="Q480" s="2" t="str">
        <f>HYPERLINK("https://auction.openprocurement.org/tenders/5bd2aa26761b42e9bf125402b425203c_27779e252e1b40b3950985a446a3edd0")</f>
        <v>https://auction.openprocurement.org/tenders/5bd2aa26761b42e9bf125402b425203c_27779e252e1b40b3950985a446a3edd0</v>
      </c>
      <c r="R480" s="1"/>
      <c r="S480" s="1"/>
      <c r="T480" s="1"/>
      <c r="U480" s="1" t="s">
        <v>1973</v>
      </c>
      <c r="V480" s="5">
        <v>43208.425384209419</v>
      </c>
      <c r="W480" s="1"/>
      <c r="X480" s="1"/>
      <c r="Y480" s="1"/>
      <c r="Z480" s="4">
        <v>43252</v>
      </c>
      <c r="AA480" s="1"/>
      <c r="AB480" s="1"/>
      <c r="AC480" s="1" t="s">
        <v>1801</v>
      </c>
      <c r="AD480" s="1"/>
    </row>
    <row r="481" spans="1:30" hidden="1" x14ac:dyDescent="0.25">
      <c r="A481" s="1" t="s">
        <v>1396</v>
      </c>
      <c r="B481" s="1" t="s">
        <v>810</v>
      </c>
      <c r="C481" s="1" t="s">
        <v>1081</v>
      </c>
      <c r="D481" s="4">
        <v>43189</v>
      </c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2"/>
      <c r="R481" s="1"/>
      <c r="S481" s="1"/>
      <c r="T481" s="1"/>
      <c r="U481" s="1" t="s">
        <v>1957</v>
      </c>
      <c r="V481" s="5">
        <v>43204.459169725218</v>
      </c>
      <c r="W481" s="1"/>
      <c r="X481" s="1"/>
      <c r="Y481" s="4">
        <v>43230</v>
      </c>
      <c r="Z481" s="4">
        <v>43266</v>
      </c>
      <c r="AA481" s="1"/>
      <c r="AB481" s="1"/>
      <c r="AC481" s="1"/>
      <c r="AD481" s="1"/>
    </row>
    <row r="482" spans="1:30" hidden="1" x14ac:dyDescent="0.25">
      <c r="A482" s="1" t="s">
        <v>1941</v>
      </c>
      <c r="B482" s="1" t="s">
        <v>731</v>
      </c>
      <c r="C482" s="1" t="s">
        <v>1147</v>
      </c>
      <c r="D482" s="4">
        <v>43187</v>
      </c>
      <c r="E482" s="6">
        <v>80000</v>
      </c>
      <c r="F482" s="6"/>
      <c r="G482" s="6">
        <v>1333.3333333333333</v>
      </c>
      <c r="H482" s="1" t="s">
        <v>1852</v>
      </c>
      <c r="I482" s="1"/>
      <c r="J482" s="1"/>
      <c r="K482" s="1" t="s">
        <v>1852</v>
      </c>
      <c r="L482" s="1" t="s">
        <v>509</v>
      </c>
      <c r="M482" s="1" t="s">
        <v>914</v>
      </c>
      <c r="N482" s="1" t="s">
        <v>173</v>
      </c>
      <c r="O482" s="1"/>
      <c r="P482" s="1"/>
      <c r="Q482" s="2"/>
      <c r="R482" s="5">
        <v>43196.453118203724</v>
      </c>
      <c r="S482" s="4">
        <v>43201</v>
      </c>
      <c r="T482" s="4">
        <v>43222</v>
      </c>
      <c r="U482" s="1" t="s">
        <v>1956</v>
      </c>
      <c r="V482" s="5">
        <v>43201.46878698971</v>
      </c>
      <c r="W482" s="1" t="s">
        <v>1952</v>
      </c>
      <c r="X482" s="6">
        <v>80000</v>
      </c>
      <c r="Y482" s="1"/>
      <c r="Z482" s="4">
        <v>43221</v>
      </c>
      <c r="AA482" s="5">
        <v>43465</v>
      </c>
      <c r="AB482" s="1" t="s">
        <v>1971</v>
      </c>
      <c r="AC482" s="1"/>
      <c r="AD482" s="1"/>
    </row>
    <row r="483" spans="1:30" hidden="1" x14ac:dyDescent="0.25">
      <c r="A483" s="1" t="s">
        <v>1181</v>
      </c>
      <c r="B483" s="1" t="s">
        <v>737</v>
      </c>
      <c r="C483" s="1" t="s">
        <v>1147</v>
      </c>
      <c r="D483" s="4">
        <v>43187</v>
      </c>
      <c r="E483" s="6">
        <v>63556.44</v>
      </c>
      <c r="F483" s="6"/>
      <c r="G483" s="6">
        <v>438.32027586206897</v>
      </c>
      <c r="H483" s="1" t="s">
        <v>1829</v>
      </c>
      <c r="I483" s="6">
        <v>6443.5599999999977</v>
      </c>
      <c r="J483" s="6">
        <v>9.2050857142857115E-2</v>
      </c>
      <c r="K483" s="1" t="s">
        <v>1829</v>
      </c>
      <c r="L483" s="1" t="s">
        <v>488</v>
      </c>
      <c r="M483" s="1" t="s">
        <v>895</v>
      </c>
      <c r="N483" s="1" t="s">
        <v>43</v>
      </c>
      <c r="O483" s="6">
        <v>6443.5599999999977</v>
      </c>
      <c r="P483" s="6">
        <v>9.2050857142857115E-2</v>
      </c>
      <c r="Q483" s="2"/>
      <c r="R483" s="5">
        <v>43196.442506969106</v>
      </c>
      <c r="S483" s="4">
        <v>43201</v>
      </c>
      <c r="T483" s="4">
        <v>43222</v>
      </c>
      <c r="U483" s="1" t="s">
        <v>1956</v>
      </c>
      <c r="V483" s="5">
        <v>43201.463607587073</v>
      </c>
      <c r="W483" s="1" t="s">
        <v>1952</v>
      </c>
      <c r="X483" s="6">
        <v>63556.44</v>
      </c>
      <c r="Y483" s="1"/>
      <c r="Z483" s="4">
        <v>43220</v>
      </c>
      <c r="AA483" s="5">
        <v>43465</v>
      </c>
      <c r="AB483" s="1" t="s">
        <v>1971</v>
      </c>
      <c r="AC483" s="1"/>
      <c r="AD483" s="1"/>
    </row>
    <row r="484" spans="1:30" hidden="1" x14ac:dyDescent="0.25">
      <c r="A484" s="1" t="s">
        <v>1571</v>
      </c>
      <c r="B484" s="1" t="s">
        <v>235</v>
      </c>
      <c r="C484" s="1" t="s">
        <v>1157</v>
      </c>
      <c r="D484" s="4">
        <v>43186</v>
      </c>
      <c r="E484" s="6">
        <v>145200</v>
      </c>
      <c r="F484" s="6"/>
      <c r="G484" s="6">
        <v>36.299999999999997</v>
      </c>
      <c r="H484" s="1"/>
      <c r="I484" s="1"/>
      <c r="J484" s="1"/>
      <c r="K484" s="1" t="s">
        <v>1758</v>
      </c>
      <c r="L484" s="1" t="s">
        <v>546</v>
      </c>
      <c r="M484" s="1"/>
      <c r="N484" s="1" t="s">
        <v>259</v>
      </c>
      <c r="O484" s="1"/>
      <c r="P484" s="1"/>
      <c r="Q484" s="2"/>
      <c r="R484" s="1"/>
      <c r="S484" s="1"/>
      <c r="T484" s="1"/>
      <c r="U484" s="1" t="s">
        <v>1956</v>
      </c>
      <c r="V484" s="5">
        <v>43186.528649247346</v>
      </c>
      <c r="W484" s="1" t="s">
        <v>1952</v>
      </c>
      <c r="X484" s="6">
        <v>145200</v>
      </c>
      <c r="Y484" s="1"/>
      <c r="Z484" s="4">
        <v>43200</v>
      </c>
      <c r="AA484" s="5">
        <v>43465</v>
      </c>
      <c r="AB484" s="1" t="s">
        <v>1971</v>
      </c>
      <c r="AC484" s="1"/>
      <c r="AD484" s="1"/>
    </row>
    <row r="485" spans="1:30" hidden="1" x14ac:dyDescent="0.25">
      <c r="A485" s="1" t="s">
        <v>1341</v>
      </c>
      <c r="B485" s="1" t="s">
        <v>681</v>
      </c>
      <c r="C485" s="1" t="s">
        <v>1147</v>
      </c>
      <c r="D485" s="4">
        <v>43182</v>
      </c>
      <c r="E485" s="6">
        <v>199000</v>
      </c>
      <c r="F485" s="6"/>
      <c r="G485" s="6">
        <v>5852.9411764705883</v>
      </c>
      <c r="H485" s="1" t="s">
        <v>1863</v>
      </c>
      <c r="I485" s="1"/>
      <c r="J485" s="1"/>
      <c r="K485" s="1" t="s">
        <v>1863</v>
      </c>
      <c r="L485" s="1" t="s">
        <v>581</v>
      </c>
      <c r="M485" s="1" t="s">
        <v>892</v>
      </c>
      <c r="N485" s="1" t="s">
        <v>41</v>
      </c>
      <c r="O485" s="1"/>
      <c r="P485" s="1"/>
      <c r="Q485" s="2"/>
      <c r="R485" s="5">
        <v>43194.441295562036</v>
      </c>
      <c r="S485" s="4">
        <v>43196</v>
      </c>
      <c r="T485" s="4">
        <v>43217</v>
      </c>
      <c r="U485" s="1" t="s">
        <v>1956</v>
      </c>
      <c r="V485" s="5">
        <v>43203.629912119482</v>
      </c>
      <c r="W485" s="1" t="s">
        <v>1952</v>
      </c>
      <c r="X485" s="6">
        <v>199000</v>
      </c>
      <c r="Y485" s="1"/>
      <c r="Z485" s="4">
        <v>43217</v>
      </c>
      <c r="AA485" s="5">
        <v>43465</v>
      </c>
      <c r="AB485" s="1" t="s">
        <v>1971</v>
      </c>
      <c r="AC485" s="1"/>
      <c r="AD485" s="1"/>
    </row>
    <row r="486" spans="1:30" hidden="1" x14ac:dyDescent="0.25">
      <c r="A486" s="1" t="s">
        <v>1464</v>
      </c>
      <c r="B486" s="1" t="s">
        <v>814</v>
      </c>
      <c r="C486" s="1" t="s">
        <v>1147</v>
      </c>
      <c r="D486" s="4">
        <v>43182</v>
      </c>
      <c r="E486" s="6">
        <v>49650</v>
      </c>
      <c r="F486" s="6"/>
      <c r="G486" s="6">
        <v>49650</v>
      </c>
      <c r="H486" s="1" t="s">
        <v>1883</v>
      </c>
      <c r="I486" s="6">
        <v>18350</v>
      </c>
      <c r="J486" s="6">
        <v>0.26985294117647057</v>
      </c>
      <c r="K486" s="1" t="s">
        <v>1881</v>
      </c>
      <c r="L486" s="1" t="s">
        <v>575</v>
      </c>
      <c r="M486" s="1" t="s">
        <v>925</v>
      </c>
      <c r="N486" s="1" t="s">
        <v>130</v>
      </c>
      <c r="O486" s="6">
        <v>18000</v>
      </c>
      <c r="P486" s="6">
        <v>0.26470588235294118</v>
      </c>
      <c r="Q486" s="2" t="str">
        <f>HYPERLINK("https://auction.openprocurement.org/tenders/d7a9ae1998ed4dcaa56afec21a857fcf")</f>
        <v>https://auction.openprocurement.org/tenders/d7a9ae1998ed4dcaa56afec21a857fcf</v>
      </c>
      <c r="R486" s="5">
        <v>43195.512377077925</v>
      </c>
      <c r="S486" s="4">
        <v>43200</v>
      </c>
      <c r="T486" s="4">
        <v>43217</v>
      </c>
      <c r="U486" s="1" t="s">
        <v>1956</v>
      </c>
      <c r="V486" s="5">
        <v>43203.677369192534</v>
      </c>
      <c r="W486" s="1" t="s">
        <v>518</v>
      </c>
      <c r="X486" s="6">
        <v>50000</v>
      </c>
      <c r="Y486" s="1"/>
      <c r="Z486" s="4">
        <v>43496</v>
      </c>
      <c r="AA486" s="5">
        <v>43496</v>
      </c>
      <c r="AB486" s="1" t="s">
        <v>1971</v>
      </c>
      <c r="AC486" s="1"/>
      <c r="AD486" s="1" t="s">
        <v>1168</v>
      </c>
    </row>
    <row r="487" spans="1:30" hidden="1" x14ac:dyDescent="0.25">
      <c r="A487" s="1" t="s">
        <v>1364</v>
      </c>
      <c r="B487" s="1" t="s">
        <v>842</v>
      </c>
      <c r="C487" s="1" t="s">
        <v>1147</v>
      </c>
      <c r="D487" s="4">
        <v>43182</v>
      </c>
      <c r="E487" s="6">
        <v>36310</v>
      </c>
      <c r="F487" s="6"/>
      <c r="G487" s="6">
        <v>36310</v>
      </c>
      <c r="H487" s="1" t="s">
        <v>1304</v>
      </c>
      <c r="I487" s="6">
        <v>1690</v>
      </c>
      <c r="J487" s="6">
        <v>4.4473684210526318E-2</v>
      </c>
      <c r="K487" s="1"/>
      <c r="L487" s="1"/>
      <c r="M487" s="1"/>
      <c r="N487" s="1"/>
      <c r="O487" s="1"/>
      <c r="P487" s="1"/>
      <c r="Q487" s="2" t="str">
        <f>HYPERLINK("https://auction.openprocurement.org/tenders/ced5db6a8d90433d8c3768f14fa68ff5")</f>
        <v>https://auction.openprocurement.org/tenders/ced5db6a8d90433d8c3768f14fa68ff5</v>
      </c>
      <c r="R487" s="5">
        <v>43195.525186340194</v>
      </c>
      <c r="S487" s="1"/>
      <c r="T487" s="1"/>
      <c r="U487" s="1" t="s">
        <v>1957</v>
      </c>
      <c r="V487" s="5">
        <v>43200.527019061738</v>
      </c>
      <c r="W487" s="1"/>
      <c r="X487" s="1"/>
      <c r="Y487" s="1"/>
      <c r="Z487" s="4">
        <v>43373</v>
      </c>
      <c r="AA487" s="1"/>
      <c r="AB487" s="1"/>
      <c r="AC487" s="1"/>
      <c r="AD487" s="1"/>
    </row>
    <row r="488" spans="1:30" hidden="1" x14ac:dyDescent="0.25">
      <c r="A488" s="1" t="s">
        <v>1488</v>
      </c>
      <c r="B488" s="1" t="s">
        <v>823</v>
      </c>
      <c r="C488" s="1" t="s">
        <v>1147</v>
      </c>
      <c r="D488" s="4">
        <v>43182</v>
      </c>
      <c r="E488" s="6">
        <v>92400</v>
      </c>
      <c r="F488" s="6"/>
      <c r="G488" s="6">
        <v>92400</v>
      </c>
      <c r="H488" s="1" t="s">
        <v>1873</v>
      </c>
      <c r="I488" s="6">
        <v>600</v>
      </c>
      <c r="J488" s="6">
        <v>6.4516129032258064E-3</v>
      </c>
      <c r="K488" s="1" t="s">
        <v>1873</v>
      </c>
      <c r="L488" s="1" t="s">
        <v>621</v>
      </c>
      <c r="M488" s="1" t="s">
        <v>971</v>
      </c>
      <c r="N488" s="1" t="s">
        <v>111</v>
      </c>
      <c r="O488" s="6">
        <v>600</v>
      </c>
      <c r="P488" s="6">
        <v>6.4516129032258064E-3</v>
      </c>
      <c r="Q488" s="2"/>
      <c r="R488" s="5">
        <v>43194.408407460003</v>
      </c>
      <c r="S488" s="4">
        <v>43196</v>
      </c>
      <c r="T488" s="4">
        <v>43217</v>
      </c>
      <c r="U488" s="1" t="s">
        <v>1956</v>
      </c>
      <c r="V488" s="5">
        <v>43201.475893144256</v>
      </c>
      <c r="W488" s="1" t="s">
        <v>290</v>
      </c>
      <c r="X488" s="6">
        <v>92400</v>
      </c>
      <c r="Y488" s="1"/>
      <c r="Z488" s="4">
        <v>43496</v>
      </c>
      <c r="AA488" s="5">
        <v>43465</v>
      </c>
      <c r="AB488" s="1" t="s">
        <v>1971</v>
      </c>
      <c r="AC488" s="1"/>
      <c r="AD488" s="1" t="s">
        <v>1168</v>
      </c>
    </row>
    <row r="489" spans="1:30" hidden="1" x14ac:dyDescent="0.25">
      <c r="A489" s="1" t="s">
        <v>1341</v>
      </c>
      <c r="B489" s="1" t="s">
        <v>681</v>
      </c>
      <c r="C489" s="1" t="s">
        <v>1147</v>
      </c>
      <c r="D489" s="4">
        <v>43181</v>
      </c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2"/>
      <c r="R489" s="1"/>
      <c r="S489" s="1"/>
      <c r="T489" s="1"/>
      <c r="U489" s="1" t="s">
        <v>1972</v>
      </c>
      <c r="V489" s="5">
        <v>43182.633358116283</v>
      </c>
      <c r="W489" s="1"/>
      <c r="X489" s="1"/>
      <c r="Y489" s="1"/>
      <c r="Z489" s="4">
        <v>43210</v>
      </c>
      <c r="AA489" s="1"/>
      <c r="AB489" s="1"/>
      <c r="AC489" s="1" t="s">
        <v>1801</v>
      </c>
      <c r="AD489" s="1"/>
    </row>
    <row r="490" spans="1:30" hidden="1" x14ac:dyDescent="0.25">
      <c r="A490" s="1" t="s">
        <v>1764</v>
      </c>
      <c r="B490" s="1" t="s">
        <v>565</v>
      </c>
      <c r="C490" s="1" t="s">
        <v>1147</v>
      </c>
      <c r="D490" s="4">
        <v>43181</v>
      </c>
      <c r="E490" s="6">
        <v>6396</v>
      </c>
      <c r="F490" s="6"/>
      <c r="G490" s="6">
        <v>3198</v>
      </c>
      <c r="H490" s="1" t="s">
        <v>1677</v>
      </c>
      <c r="I490" s="6">
        <v>3604</v>
      </c>
      <c r="J490" s="6">
        <v>0.3604</v>
      </c>
      <c r="K490" s="1" t="s">
        <v>1863</v>
      </c>
      <c r="L490" s="1" t="s">
        <v>581</v>
      </c>
      <c r="M490" s="1" t="s">
        <v>892</v>
      </c>
      <c r="N490" s="1" t="s">
        <v>41</v>
      </c>
      <c r="O490" s="6">
        <v>200</v>
      </c>
      <c r="P490" s="6">
        <v>0.02</v>
      </c>
      <c r="Q490" s="2" t="str">
        <f>HYPERLINK("https://auction.openprocurement.org/tenders/70b976b2c970407c82efba591b640f81")</f>
        <v>https://auction.openprocurement.org/tenders/70b976b2c970407c82efba591b640f81</v>
      </c>
      <c r="R490" s="5">
        <v>43196.54601290913</v>
      </c>
      <c r="S490" s="4">
        <v>43201</v>
      </c>
      <c r="T490" s="4">
        <v>43216</v>
      </c>
      <c r="U490" s="1" t="s">
        <v>1956</v>
      </c>
      <c r="V490" s="5">
        <v>43203.448077748122</v>
      </c>
      <c r="W490" s="1" t="s">
        <v>1952</v>
      </c>
      <c r="X490" s="6">
        <v>9800</v>
      </c>
      <c r="Y490" s="1"/>
      <c r="Z490" s="4">
        <v>43210</v>
      </c>
      <c r="AA490" s="5">
        <v>43465</v>
      </c>
      <c r="AB490" s="1" t="s">
        <v>1971</v>
      </c>
      <c r="AC490" s="1"/>
      <c r="AD490" s="1"/>
    </row>
    <row r="491" spans="1:30" hidden="1" x14ac:dyDescent="0.25">
      <c r="A491" s="1" t="s">
        <v>1925</v>
      </c>
      <c r="B491" s="1" t="s">
        <v>655</v>
      </c>
      <c r="C491" s="1" t="s">
        <v>1147</v>
      </c>
      <c r="D491" s="4">
        <v>43181</v>
      </c>
      <c r="E491" s="6">
        <v>27327</v>
      </c>
      <c r="F491" s="6"/>
      <c r="G491" s="6">
        <v>27327</v>
      </c>
      <c r="H491" s="1" t="s">
        <v>1888</v>
      </c>
      <c r="I491" s="6">
        <v>14673</v>
      </c>
      <c r="J491" s="6">
        <v>0.34935714285714287</v>
      </c>
      <c r="K491" s="1" t="s">
        <v>1686</v>
      </c>
      <c r="L491" s="1" t="s">
        <v>696</v>
      </c>
      <c r="M491" s="1" t="s">
        <v>940</v>
      </c>
      <c r="N491" s="1" t="s">
        <v>35</v>
      </c>
      <c r="O491" s="6">
        <v>11255</v>
      </c>
      <c r="P491" s="6">
        <v>0.26797619047619048</v>
      </c>
      <c r="Q491" s="2" t="str">
        <f>HYPERLINK("https://auction.openprocurement.org/tenders/2f21a2f4ce9e4876a65ee270bd4f0255")</f>
        <v>https://auction.openprocurement.org/tenders/2f21a2f4ce9e4876a65ee270bd4f0255</v>
      </c>
      <c r="R491" s="5">
        <v>43194.64709257715</v>
      </c>
      <c r="S491" s="4">
        <v>43196</v>
      </c>
      <c r="T491" s="4">
        <v>43216</v>
      </c>
      <c r="U491" s="1" t="s">
        <v>1956</v>
      </c>
      <c r="V491" s="5">
        <v>43201.447707614512</v>
      </c>
      <c r="W491" s="1" t="s">
        <v>241</v>
      </c>
      <c r="X491" s="6">
        <v>30745</v>
      </c>
      <c r="Y491" s="1"/>
      <c r="Z491" s="4">
        <v>43206</v>
      </c>
      <c r="AA491" s="5">
        <v>43465</v>
      </c>
      <c r="AB491" s="1" t="s">
        <v>1971</v>
      </c>
      <c r="AC491" s="1"/>
      <c r="AD491" s="1"/>
    </row>
    <row r="492" spans="1:30" hidden="1" x14ac:dyDescent="0.25">
      <c r="A492" s="1" t="s">
        <v>1605</v>
      </c>
      <c r="B492" s="1" t="s">
        <v>739</v>
      </c>
      <c r="C492" s="1" t="s">
        <v>1147</v>
      </c>
      <c r="D492" s="4">
        <v>43181</v>
      </c>
      <c r="E492" s="6">
        <v>8000</v>
      </c>
      <c r="F492" s="6"/>
      <c r="G492" s="6">
        <v>2000</v>
      </c>
      <c r="H492" s="1" t="s">
        <v>1863</v>
      </c>
      <c r="I492" s="1"/>
      <c r="J492" s="1"/>
      <c r="K492" s="1" t="s">
        <v>1863</v>
      </c>
      <c r="L492" s="1" t="s">
        <v>581</v>
      </c>
      <c r="M492" s="1" t="s">
        <v>892</v>
      </c>
      <c r="N492" s="1" t="s">
        <v>41</v>
      </c>
      <c r="O492" s="1"/>
      <c r="P492" s="1"/>
      <c r="Q492" s="2"/>
      <c r="R492" s="5">
        <v>43192.450721408553</v>
      </c>
      <c r="S492" s="4">
        <v>43194</v>
      </c>
      <c r="T492" s="4">
        <v>43216</v>
      </c>
      <c r="U492" s="1" t="s">
        <v>1956</v>
      </c>
      <c r="V492" s="5">
        <v>43201.382706139098</v>
      </c>
      <c r="W492" s="1" t="s">
        <v>1952</v>
      </c>
      <c r="X492" s="6">
        <v>8000</v>
      </c>
      <c r="Y492" s="1"/>
      <c r="Z492" s="4">
        <v>43206</v>
      </c>
      <c r="AA492" s="5">
        <v>43465</v>
      </c>
      <c r="AB492" s="1" t="s">
        <v>1971</v>
      </c>
      <c r="AC492" s="1"/>
      <c r="AD492" s="1"/>
    </row>
    <row r="493" spans="1:30" hidden="1" x14ac:dyDescent="0.25">
      <c r="A493" s="1" t="s">
        <v>1419</v>
      </c>
      <c r="B493" s="1" t="s">
        <v>843</v>
      </c>
      <c r="C493" s="1" t="s">
        <v>1081</v>
      </c>
      <c r="D493" s="4">
        <v>43181</v>
      </c>
      <c r="E493" s="6">
        <v>2100000</v>
      </c>
      <c r="F493" s="6"/>
      <c r="G493" s="6">
        <v>2100000</v>
      </c>
      <c r="H493" s="1" t="s">
        <v>1876</v>
      </c>
      <c r="I493" s="6">
        <v>50000</v>
      </c>
      <c r="J493" s="6">
        <v>2.3255813953488372E-2</v>
      </c>
      <c r="K493" s="1" t="s">
        <v>1876</v>
      </c>
      <c r="L493" s="1" t="s">
        <v>508</v>
      </c>
      <c r="M493" s="1" t="s">
        <v>991</v>
      </c>
      <c r="N493" s="1" t="s">
        <v>120</v>
      </c>
      <c r="O493" s="6">
        <v>50000</v>
      </c>
      <c r="P493" s="6">
        <v>2.3255813953488372E-2</v>
      </c>
      <c r="Q493" s="2" t="str">
        <f>HYPERLINK("https://auction.openprocurement.org/tenders/4087f213b31c432c8632ce5eadd961fc")</f>
        <v>https://auction.openprocurement.org/tenders/4087f213b31c432c8632ce5eadd961fc</v>
      </c>
      <c r="R493" s="5">
        <v>43202.519353678355</v>
      </c>
      <c r="S493" s="4">
        <v>43213</v>
      </c>
      <c r="T493" s="4">
        <v>43223</v>
      </c>
      <c r="U493" s="1" t="s">
        <v>1956</v>
      </c>
      <c r="V493" s="5">
        <v>43213.621378885691</v>
      </c>
      <c r="W493" s="1" t="s">
        <v>190</v>
      </c>
      <c r="X493" s="6">
        <v>2100000</v>
      </c>
      <c r="Y493" s="4">
        <v>43221</v>
      </c>
      <c r="Z493" s="4">
        <v>43373</v>
      </c>
      <c r="AA493" s="5">
        <v>43465</v>
      </c>
      <c r="AB493" s="1" t="s">
        <v>1971</v>
      </c>
      <c r="AC493" s="1"/>
      <c r="AD493" s="1"/>
    </row>
    <row r="494" spans="1:30" hidden="1" x14ac:dyDescent="0.25">
      <c r="A494" s="1" t="s">
        <v>1575</v>
      </c>
      <c r="B494" s="1" t="s">
        <v>728</v>
      </c>
      <c r="C494" s="1" t="s">
        <v>1147</v>
      </c>
      <c r="D494" s="4">
        <v>43179</v>
      </c>
      <c r="E494" s="6">
        <v>21200</v>
      </c>
      <c r="F494" s="6"/>
      <c r="G494" s="6">
        <v>3028.5714285714284</v>
      </c>
      <c r="H494" s="1" t="s">
        <v>1861</v>
      </c>
      <c r="I494" s="6">
        <v>300</v>
      </c>
      <c r="J494" s="6">
        <v>1.3953488372093023E-2</v>
      </c>
      <c r="K494" s="1" t="s">
        <v>1861</v>
      </c>
      <c r="L494" s="1" t="s">
        <v>542</v>
      </c>
      <c r="M494" s="1" t="s">
        <v>904</v>
      </c>
      <c r="N494" s="1" t="s">
        <v>178</v>
      </c>
      <c r="O494" s="6">
        <v>300</v>
      </c>
      <c r="P494" s="6">
        <v>1.3953488372093023E-2</v>
      </c>
      <c r="Q494" s="2"/>
      <c r="R494" s="5">
        <v>43186.689482744412</v>
      </c>
      <c r="S494" s="4">
        <v>43188</v>
      </c>
      <c r="T494" s="4">
        <v>43212</v>
      </c>
      <c r="U494" s="1" t="s">
        <v>1956</v>
      </c>
      <c r="V494" s="5">
        <v>43189.38028241109</v>
      </c>
      <c r="W494" s="1" t="s">
        <v>1952</v>
      </c>
      <c r="X494" s="6">
        <v>21200</v>
      </c>
      <c r="Y494" s="1"/>
      <c r="Z494" s="4">
        <v>43206</v>
      </c>
      <c r="AA494" s="5">
        <v>43465</v>
      </c>
      <c r="AB494" s="1" t="s">
        <v>1971</v>
      </c>
      <c r="AC494" s="1"/>
      <c r="AD494" s="1"/>
    </row>
    <row r="495" spans="1:30" hidden="1" x14ac:dyDescent="0.25">
      <c r="A495" s="1" t="s">
        <v>1527</v>
      </c>
      <c r="B495" s="1" t="s">
        <v>788</v>
      </c>
      <c r="C495" s="1" t="s">
        <v>1157</v>
      </c>
      <c r="D495" s="4">
        <v>43178</v>
      </c>
      <c r="E495" s="6">
        <v>200000</v>
      </c>
      <c r="F495" s="6"/>
      <c r="G495" s="6">
        <v>200000</v>
      </c>
      <c r="H495" s="1"/>
      <c r="I495" s="1"/>
      <c r="J495" s="1"/>
      <c r="K495" s="1" t="s">
        <v>1350</v>
      </c>
      <c r="L495" s="1" t="s">
        <v>491</v>
      </c>
      <c r="M495" s="1"/>
      <c r="N495" s="1" t="s">
        <v>307</v>
      </c>
      <c r="O495" s="1"/>
      <c r="P495" s="1"/>
      <c r="Q495" s="2"/>
      <c r="R495" s="1"/>
      <c r="S495" s="1"/>
      <c r="T495" s="1"/>
      <c r="U495" s="1" t="s">
        <v>1956</v>
      </c>
      <c r="V495" s="5">
        <v>43178.70244866531</v>
      </c>
      <c r="W495" s="1" t="s">
        <v>1952</v>
      </c>
      <c r="X495" s="6">
        <v>200000</v>
      </c>
      <c r="Y495" s="4">
        <v>43178</v>
      </c>
      <c r="Z495" s="4">
        <v>43465</v>
      </c>
      <c r="AA495" s="5">
        <v>43465</v>
      </c>
      <c r="AB495" s="1" t="s">
        <v>1971</v>
      </c>
      <c r="AC495" s="1"/>
      <c r="AD495" s="1" t="s">
        <v>1168</v>
      </c>
    </row>
    <row r="496" spans="1:30" hidden="1" x14ac:dyDescent="0.25">
      <c r="A496" s="1" t="s">
        <v>1435</v>
      </c>
      <c r="B496" s="1" t="s">
        <v>795</v>
      </c>
      <c r="C496" s="1" t="s">
        <v>1147</v>
      </c>
      <c r="D496" s="4">
        <v>43178</v>
      </c>
      <c r="E496" s="6">
        <v>38700</v>
      </c>
      <c r="F496" s="6"/>
      <c r="G496" s="6">
        <v>6450</v>
      </c>
      <c r="H496" s="1" t="s">
        <v>1855</v>
      </c>
      <c r="I496" s="6">
        <v>300</v>
      </c>
      <c r="J496" s="6">
        <v>7.6923076923076927E-3</v>
      </c>
      <c r="K496" s="1" t="s">
        <v>1855</v>
      </c>
      <c r="L496" s="1" t="s">
        <v>446</v>
      </c>
      <c r="M496" s="1" t="s">
        <v>918</v>
      </c>
      <c r="N496" s="1" t="s">
        <v>145</v>
      </c>
      <c r="O496" s="6">
        <v>300</v>
      </c>
      <c r="P496" s="6">
        <v>7.6923076923076927E-3</v>
      </c>
      <c r="Q496" s="2"/>
      <c r="R496" s="5">
        <v>43187.520072992716</v>
      </c>
      <c r="S496" s="4">
        <v>43189</v>
      </c>
      <c r="T496" s="4">
        <v>43211</v>
      </c>
      <c r="U496" s="1" t="s">
        <v>1956</v>
      </c>
      <c r="V496" s="5">
        <v>43194.737957651181</v>
      </c>
      <c r="W496" s="1" t="s">
        <v>1952</v>
      </c>
      <c r="X496" s="6">
        <v>38700</v>
      </c>
      <c r="Y496" s="1"/>
      <c r="Z496" s="4">
        <v>43210</v>
      </c>
      <c r="AA496" s="5">
        <v>43465</v>
      </c>
      <c r="AB496" s="1" t="s">
        <v>1971</v>
      </c>
      <c r="AC496" s="1"/>
      <c r="AD496" s="1"/>
    </row>
    <row r="497" spans="1:30" hidden="1" x14ac:dyDescent="0.25">
      <c r="A497" s="1" t="s">
        <v>1210</v>
      </c>
      <c r="B497" s="1" t="s">
        <v>532</v>
      </c>
      <c r="C497" s="1" t="s">
        <v>1147</v>
      </c>
      <c r="D497" s="4">
        <v>43178</v>
      </c>
      <c r="E497" s="6">
        <v>169080</v>
      </c>
      <c r="F497" s="6"/>
      <c r="G497" s="6">
        <v>6503.0769230769229</v>
      </c>
      <c r="H497" s="1" t="s">
        <v>1652</v>
      </c>
      <c r="I497" s="6">
        <v>30720</v>
      </c>
      <c r="J497" s="6">
        <v>0.15375375375375375</v>
      </c>
      <c r="K497" s="1" t="s">
        <v>1855</v>
      </c>
      <c r="L497" s="1" t="s">
        <v>446</v>
      </c>
      <c r="M497" s="1" t="s">
        <v>918</v>
      </c>
      <c r="N497" s="1" t="s">
        <v>145</v>
      </c>
      <c r="O497" s="6">
        <v>100</v>
      </c>
      <c r="P497" s="6">
        <v>5.005005005005005E-4</v>
      </c>
      <c r="Q497" s="2" t="str">
        <f>HYPERLINK("https://auction.openprocurement.org/tenders/c89e8bcd5a644242b675c05dc128cd4f")</f>
        <v>https://auction.openprocurement.org/tenders/c89e8bcd5a644242b675c05dc128cd4f</v>
      </c>
      <c r="R497" s="5">
        <v>43189.68447093392</v>
      </c>
      <c r="S497" s="4">
        <v>43193</v>
      </c>
      <c r="T497" s="4">
        <v>43211</v>
      </c>
      <c r="U497" s="1" t="s">
        <v>1956</v>
      </c>
      <c r="V497" s="5">
        <v>43194.739133380957</v>
      </c>
      <c r="W497" s="1" t="s">
        <v>1952</v>
      </c>
      <c r="X497" s="6">
        <v>199700</v>
      </c>
      <c r="Y497" s="1"/>
      <c r="Z497" s="4">
        <v>43210</v>
      </c>
      <c r="AA497" s="5">
        <v>43465</v>
      </c>
      <c r="AB497" s="1" t="s">
        <v>1971</v>
      </c>
      <c r="AC497" s="1"/>
      <c r="AD497" s="1"/>
    </row>
    <row r="498" spans="1:30" hidden="1" x14ac:dyDescent="0.25">
      <c r="A498" s="1" t="s">
        <v>1419</v>
      </c>
      <c r="B498" s="1" t="s">
        <v>843</v>
      </c>
      <c r="C498" s="1" t="s">
        <v>1081</v>
      </c>
      <c r="D498" s="4">
        <v>43175</v>
      </c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2"/>
      <c r="R498" s="1"/>
      <c r="S498" s="1"/>
      <c r="T498" s="1"/>
      <c r="U498" s="1" t="s">
        <v>1972</v>
      </c>
      <c r="V498" s="5">
        <v>43181.41272045912</v>
      </c>
      <c r="W498" s="1"/>
      <c r="X498" s="1"/>
      <c r="Y498" s="4">
        <v>43221</v>
      </c>
      <c r="Z498" s="4">
        <v>43373</v>
      </c>
      <c r="AA498" s="1"/>
      <c r="AB498" s="1"/>
      <c r="AC498" s="1" t="s">
        <v>1800</v>
      </c>
      <c r="AD498" s="1"/>
    </row>
    <row r="499" spans="1:30" hidden="1" x14ac:dyDescent="0.25">
      <c r="A499" s="1" t="s">
        <v>1435</v>
      </c>
      <c r="B499" s="1" t="s">
        <v>795</v>
      </c>
      <c r="C499" s="1" t="s">
        <v>1147</v>
      </c>
      <c r="D499" s="4">
        <v>43174</v>
      </c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2"/>
      <c r="R499" s="1"/>
      <c r="S499" s="1"/>
      <c r="T499" s="1"/>
      <c r="U499" s="1" t="s">
        <v>1972</v>
      </c>
      <c r="V499" s="5">
        <v>43178.486832616712</v>
      </c>
      <c r="W499" s="1"/>
      <c r="X499" s="1"/>
      <c r="Y499" s="1"/>
      <c r="Z499" s="4">
        <v>43210</v>
      </c>
      <c r="AA499" s="1"/>
      <c r="AB499" s="1"/>
      <c r="AC499" s="1" t="s">
        <v>1800</v>
      </c>
      <c r="AD499" s="1"/>
    </row>
    <row r="500" spans="1:30" hidden="1" x14ac:dyDescent="0.25">
      <c r="A500" s="1" t="s">
        <v>1569</v>
      </c>
      <c r="B500" s="1" t="s">
        <v>788</v>
      </c>
      <c r="C500" s="1" t="s">
        <v>1157</v>
      </c>
      <c r="D500" s="4">
        <v>43173</v>
      </c>
      <c r="E500" s="6">
        <v>320000</v>
      </c>
      <c r="F500" s="6"/>
      <c r="G500" s="6">
        <v>320000</v>
      </c>
      <c r="H500" s="1"/>
      <c r="I500" s="1"/>
      <c r="J500" s="1"/>
      <c r="K500" s="1" t="s">
        <v>1752</v>
      </c>
      <c r="L500" s="1" t="s">
        <v>711</v>
      </c>
      <c r="M500" s="1"/>
      <c r="N500" s="1" t="s">
        <v>306</v>
      </c>
      <c r="O500" s="1"/>
      <c r="P500" s="1"/>
      <c r="Q500" s="2"/>
      <c r="R500" s="1"/>
      <c r="S500" s="1"/>
      <c r="T500" s="1"/>
      <c r="U500" s="1" t="s">
        <v>1956</v>
      </c>
      <c r="V500" s="5">
        <v>43173.494837265731</v>
      </c>
      <c r="W500" s="1" t="s">
        <v>1952</v>
      </c>
      <c r="X500" s="6">
        <v>320000</v>
      </c>
      <c r="Y500" s="1"/>
      <c r="Z500" s="4">
        <v>43465</v>
      </c>
      <c r="AA500" s="5">
        <v>43465</v>
      </c>
      <c r="AB500" s="1" t="s">
        <v>1971</v>
      </c>
      <c r="AC500" s="1"/>
      <c r="AD500" s="1"/>
    </row>
    <row r="501" spans="1:30" hidden="1" x14ac:dyDescent="0.25">
      <c r="A501" s="1" t="s">
        <v>1242</v>
      </c>
      <c r="B501" s="1" t="s">
        <v>659</v>
      </c>
      <c r="C501" s="1" t="s">
        <v>1081</v>
      </c>
      <c r="D501" s="4">
        <v>43172</v>
      </c>
      <c r="E501" s="6">
        <v>201000</v>
      </c>
      <c r="F501" s="6"/>
      <c r="G501" s="6">
        <v>5153.8461538461543</v>
      </c>
      <c r="H501" s="1" t="s">
        <v>1908</v>
      </c>
      <c r="I501" s="6">
        <v>67980</v>
      </c>
      <c r="J501" s="6">
        <v>0.25273254517064464</v>
      </c>
      <c r="K501" s="1"/>
      <c r="L501" s="1"/>
      <c r="M501" s="1"/>
      <c r="N501" s="1"/>
      <c r="O501" s="1"/>
      <c r="P501" s="1"/>
      <c r="Q501" s="2" t="str">
        <f>HYPERLINK("https://auction.openprocurement.org/tenders/58687948a78f440c9e6141616780f734")</f>
        <v>https://auction.openprocurement.org/tenders/58687948a78f440c9e6141616780f734</v>
      </c>
      <c r="R501" s="1"/>
      <c r="S501" s="1"/>
      <c r="T501" s="1"/>
      <c r="U501" s="1" t="s">
        <v>1972</v>
      </c>
      <c r="V501" s="5">
        <v>43227.600341405952</v>
      </c>
      <c r="W501" s="1"/>
      <c r="X501" s="1"/>
      <c r="Y501" s="1"/>
      <c r="Z501" s="4">
        <v>43251</v>
      </c>
      <c r="AA501" s="1"/>
      <c r="AB501" s="1"/>
      <c r="AC501" s="1" t="s">
        <v>1789</v>
      </c>
      <c r="AD501" s="1"/>
    </row>
    <row r="502" spans="1:30" hidden="1" x14ac:dyDescent="0.25">
      <c r="A502" s="1" t="s">
        <v>1597</v>
      </c>
      <c r="B502" s="1" t="s">
        <v>548</v>
      </c>
      <c r="C502" s="1" t="s">
        <v>1147</v>
      </c>
      <c r="D502" s="4">
        <v>43172</v>
      </c>
      <c r="E502" s="6">
        <v>3000</v>
      </c>
      <c r="F502" s="6"/>
      <c r="G502" s="6">
        <v>85.714285714285708</v>
      </c>
      <c r="H502" s="1" t="s">
        <v>1768</v>
      </c>
      <c r="I502" s="6">
        <v>5500</v>
      </c>
      <c r="J502" s="6">
        <v>0.6470588235294118</v>
      </c>
      <c r="K502" s="1"/>
      <c r="L502" s="1"/>
      <c r="M502" s="1"/>
      <c r="N502" s="1"/>
      <c r="O502" s="1"/>
      <c r="P502" s="1"/>
      <c r="Q502" s="2" t="str">
        <f>HYPERLINK("https://auction.openprocurement.org/tenders/fc0c53c4ac584c80aaea4978da9ce255")</f>
        <v>https://auction.openprocurement.org/tenders/fc0c53c4ac584c80aaea4978da9ce255</v>
      </c>
      <c r="R502" s="1"/>
      <c r="S502" s="1"/>
      <c r="T502" s="1"/>
      <c r="U502" s="1" t="s">
        <v>1972</v>
      </c>
      <c r="V502" s="5">
        <v>43181.610406489548</v>
      </c>
      <c r="W502" s="1"/>
      <c r="X502" s="1"/>
      <c r="Y502" s="1"/>
      <c r="Z502" s="4">
        <v>43191</v>
      </c>
      <c r="AA502" s="1"/>
      <c r="AB502" s="1"/>
      <c r="AC502" s="1" t="s">
        <v>1801</v>
      </c>
      <c r="AD502" s="1"/>
    </row>
    <row r="503" spans="1:30" hidden="1" x14ac:dyDescent="0.25">
      <c r="A503" s="1" t="s">
        <v>1394</v>
      </c>
      <c r="B503" s="1" t="s">
        <v>830</v>
      </c>
      <c r="C503" s="1" t="s">
        <v>1157</v>
      </c>
      <c r="D503" s="4">
        <v>43171</v>
      </c>
      <c r="E503" s="6">
        <v>8030</v>
      </c>
      <c r="F503" s="6"/>
      <c r="G503" s="6">
        <v>8030</v>
      </c>
      <c r="H503" s="1"/>
      <c r="I503" s="1"/>
      <c r="J503" s="1"/>
      <c r="K503" s="1" t="s">
        <v>1131</v>
      </c>
      <c r="L503" s="1" t="s">
        <v>589</v>
      </c>
      <c r="M503" s="1"/>
      <c r="N503" s="1" t="s">
        <v>283</v>
      </c>
      <c r="O503" s="1"/>
      <c r="P503" s="1"/>
      <c r="Q503" s="2"/>
      <c r="R503" s="1"/>
      <c r="S503" s="1"/>
      <c r="T503" s="1"/>
      <c r="U503" s="1" t="s">
        <v>1956</v>
      </c>
      <c r="V503" s="5">
        <v>43171.70459018059</v>
      </c>
      <c r="W503" s="1" t="s">
        <v>832</v>
      </c>
      <c r="X503" s="6">
        <v>8030</v>
      </c>
      <c r="Y503" s="1"/>
      <c r="Z503" s="4">
        <v>43465</v>
      </c>
      <c r="AA503" s="5">
        <v>43465</v>
      </c>
      <c r="AB503" s="1" t="s">
        <v>1971</v>
      </c>
      <c r="AC503" s="1"/>
      <c r="AD503" s="1"/>
    </row>
    <row r="504" spans="1:30" hidden="1" x14ac:dyDescent="0.25">
      <c r="A504" s="1" t="s">
        <v>1245</v>
      </c>
      <c r="B504" s="1" t="s">
        <v>831</v>
      </c>
      <c r="C504" s="1" t="s">
        <v>1157</v>
      </c>
      <c r="D504" s="4">
        <v>43171</v>
      </c>
      <c r="E504" s="6">
        <v>3220</v>
      </c>
      <c r="F504" s="6"/>
      <c r="G504" s="6">
        <v>3220</v>
      </c>
      <c r="H504" s="1"/>
      <c r="I504" s="1"/>
      <c r="J504" s="1"/>
      <c r="K504" s="1" t="s">
        <v>1114</v>
      </c>
      <c r="L504" s="1" t="s">
        <v>376</v>
      </c>
      <c r="M504" s="1"/>
      <c r="N504" s="1" t="s">
        <v>268</v>
      </c>
      <c r="O504" s="1"/>
      <c r="P504" s="1"/>
      <c r="Q504" s="2"/>
      <c r="R504" s="1"/>
      <c r="S504" s="1"/>
      <c r="T504" s="1"/>
      <c r="U504" s="1" t="s">
        <v>1956</v>
      </c>
      <c r="V504" s="5">
        <v>43171.695152155291</v>
      </c>
      <c r="W504" s="1" t="s">
        <v>643</v>
      </c>
      <c r="X504" s="6">
        <v>3220</v>
      </c>
      <c r="Y504" s="1"/>
      <c r="Z504" s="4">
        <v>43465</v>
      </c>
      <c r="AA504" s="5">
        <v>43465</v>
      </c>
      <c r="AB504" s="1" t="s">
        <v>1971</v>
      </c>
      <c r="AC504" s="1"/>
      <c r="AD504" s="1"/>
    </row>
    <row r="505" spans="1:30" hidden="1" x14ac:dyDescent="0.25">
      <c r="A505" s="1" t="s">
        <v>1345</v>
      </c>
      <c r="B505" s="1" t="s">
        <v>728</v>
      </c>
      <c r="C505" s="1" t="s">
        <v>1082</v>
      </c>
      <c r="D505" s="4">
        <v>43171</v>
      </c>
      <c r="E505" s="6">
        <v>4974642</v>
      </c>
      <c r="F505" s="6"/>
      <c r="G505" s="6">
        <v>4877.1000000000004</v>
      </c>
      <c r="H505" s="1" t="s">
        <v>1637</v>
      </c>
      <c r="I505" s="6">
        <v>25358</v>
      </c>
      <c r="J505" s="6">
        <v>5.0715999999999999E-3</v>
      </c>
      <c r="K505" s="1" t="s">
        <v>1637</v>
      </c>
      <c r="L505" s="1" t="s">
        <v>650</v>
      </c>
      <c r="M505" s="1" t="s">
        <v>983</v>
      </c>
      <c r="N505" s="1" t="s">
        <v>140</v>
      </c>
      <c r="O505" s="6">
        <v>25358</v>
      </c>
      <c r="P505" s="6">
        <v>5.0715999999999999E-3</v>
      </c>
      <c r="Q505" s="2" t="str">
        <f>HYPERLINK("https://auction.openprocurement.org/tenders/bb1cf8a3cb334dc2a911b18367d70e09_82606e353f0b42faa300b629813594e9")</f>
        <v>https://auction.openprocurement.org/tenders/bb1cf8a3cb334dc2a911b18367d70e09_82606e353f0b42faa300b629813594e9</v>
      </c>
      <c r="R505" s="5">
        <v>43241.483556580708</v>
      </c>
      <c r="S505" s="4">
        <v>43252</v>
      </c>
      <c r="T505" s="4">
        <v>43262</v>
      </c>
      <c r="U505" s="1" t="s">
        <v>1955</v>
      </c>
      <c r="V505" s="5">
        <v>43256.417683614724</v>
      </c>
      <c r="W505" s="1" t="s">
        <v>340</v>
      </c>
      <c r="X505" s="6">
        <v>4974642</v>
      </c>
      <c r="Y505" s="1"/>
      <c r="Z505" s="4">
        <v>43343</v>
      </c>
      <c r="AA505" s="5">
        <v>43465</v>
      </c>
      <c r="AB505" s="1" t="s">
        <v>1971</v>
      </c>
      <c r="AC505" s="1"/>
      <c r="AD505" s="1"/>
    </row>
    <row r="506" spans="1:30" hidden="1" x14ac:dyDescent="0.25">
      <c r="A506" s="1" t="s">
        <v>1346</v>
      </c>
      <c r="B506" s="1" t="s">
        <v>728</v>
      </c>
      <c r="C506" s="1" t="s">
        <v>1082</v>
      </c>
      <c r="D506" s="4">
        <v>43171</v>
      </c>
      <c r="E506" s="6">
        <v>791938.62</v>
      </c>
      <c r="F506" s="6"/>
      <c r="G506" s="6">
        <v>2106.2197340425532</v>
      </c>
      <c r="H506" s="1" t="s">
        <v>1637</v>
      </c>
      <c r="I506" s="6">
        <v>8061.3800000000047</v>
      </c>
      <c r="J506" s="6">
        <v>1.0076725000000005E-2</v>
      </c>
      <c r="K506" s="1" t="s">
        <v>1637</v>
      </c>
      <c r="L506" s="1" t="s">
        <v>650</v>
      </c>
      <c r="M506" s="1" t="s">
        <v>983</v>
      </c>
      <c r="N506" s="1" t="s">
        <v>140</v>
      </c>
      <c r="O506" s="6">
        <v>8061.3800000000047</v>
      </c>
      <c r="P506" s="6">
        <v>1.0076725000000005E-2</v>
      </c>
      <c r="Q506" s="2" t="str">
        <f>HYPERLINK("https://auction.openprocurement.org/tenders/bb1cf8a3cb334dc2a911b18367d70e09_94df0565513e4e90b209c3ff4074b919")</f>
        <v>https://auction.openprocurement.org/tenders/bb1cf8a3cb334dc2a911b18367d70e09_94df0565513e4e90b209c3ff4074b919</v>
      </c>
      <c r="R506" s="5">
        <v>43241.483556580708</v>
      </c>
      <c r="S506" s="4">
        <v>43252</v>
      </c>
      <c r="T506" s="4">
        <v>43262</v>
      </c>
      <c r="U506" s="1" t="s">
        <v>1955</v>
      </c>
      <c r="V506" s="5">
        <v>43262.391475090903</v>
      </c>
      <c r="W506" s="1" t="s">
        <v>342</v>
      </c>
      <c r="X506" s="6">
        <v>791938.62</v>
      </c>
      <c r="Y506" s="1"/>
      <c r="Z506" s="4">
        <v>43343</v>
      </c>
      <c r="AA506" s="5">
        <v>43465</v>
      </c>
      <c r="AB506" s="1" t="s">
        <v>1971</v>
      </c>
      <c r="AC506" s="1"/>
      <c r="AD506" s="1"/>
    </row>
    <row r="507" spans="1:30" hidden="1" x14ac:dyDescent="0.25">
      <c r="A507" s="1" t="s">
        <v>1347</v>
      </c>
      <c r="B507" s="1" t="s">
        <v>728</v>
      </c>
      <c r="C507" s="1" t="s">
        <v>1082</v>
      </c>
      <c r="D507" s="4">
        <v>43171</v>
      </c>
      <c r="E507" s="6">
        <v>498548.52</v>
      </c>
      <c r="F507" s="6"/>
      <c r="G507" s="6">
        <v>1329.46272</v>
      </c>
      <c r="H507" s="1" t="s">
        <v>1637</v>
      </c>
      <c r="I507" s="6">
        <v>1451.4799999999814</v>
      </c>
      <c r="J507" s="6">
        <v>2.9029599999999627E-3</v>
      </c>
      <c r="K507" s="1" t="s">
        <v>1637</v>
      </c>
      <c r="L507" s="1" t="s">
        <v>650</v>
      </c>
      <c r="M507" s="1" t="s">
        <v>983</v>
      </c>
      <c r="N507" s="1" t="s">
        <v>140</v>
      </c>
      <c r="O507" s="6">
        <v>1451.4799999999814</v>
      </c>
      <c r="P507" s="6">
        <v>2.9029599999999627E-3</v>
      </c>
      <c r="Q507" s="2" t="str">
        <f>HYPERLINK("https://auction.openprocurement.org/tenders/bb1cf8a3cb334dc2a911b18367d70e09_58d323896c5d48ed8680184aa41da763")</f>
        <v>https://auction.openprocurement.org/tenders/bb1cf8a3cb334dc2a911b18367d70e09_58d323896c5d48ed8680184aa41da763</v>
      </c>
      <c r="R507" s="5">
        <v>43241.483556580708</v>
      </c>
      <c r="S507" s="4">
        <v>43252</v>
      </c>
      <c r="T507" s="4">
        <v>43262</v>
      </c>
      <c r="U507" s="1" t="s">
        <v>1955</v>
      </c>
      <c r="V507" s="5">
        <v>43262.38509623237</v>
      </c>
      <c r="W507" s="1" t="s">
        <v>344</v>
      </c>
      <c r="X507" s="6">
        <v>498548.52</v>
      </c>
      <c r="Y507" s="1"/>
      <c r="Z507" s="4">
        <v>43343</v>
      </c>
      <c r="AA507" s="5">
        <v>43465</v>
      </c>
      <c r="AB507" s="1" t="s">
        <v>1971</v>
      </c>
      <c r="AC507" s="1"/>
      <c r="AD507" s="1"/>
    </row>
    <row r="508" spans="1:30" hidden="1" x14ac:dyDescent="0.25">
      <c r="A508" s="1" t="s">
        <v>1575</v>
      </c>
      <c r="B508" s="1" t="s">
        <v>728</v>
      </c>
      <c r="C508" s="1" t="s">
        <v>1147</v>
      </c>
      <c r="D508" s="4">
        <v>43171</v>
      </c>
      <c r="E508" s="6">
        <v>10500</v>
      </c>
      <c r="F508" s="6"/>
      <c r="G508" s="6">
        <v>500</v>
      </c>
      <c r="H508" s="1" t="s">
        <v>1321</v>
      </c>
      <c r="I508" s="6">
        <v>8500</v>
      </c>
      <c r="J508" s="6">
        <v>0.44736842105263158</v>
      </c>
      <c r="K508" s="1"/>
      <c r="L508" s="1"/>
      <c r="M508" s="1"/>
      <c r="N508" s="1"/>
      <c r="O508" s="1"/>
      <c r="P508" s="1"/>
      <c r="Q508" s="2" t="str">
        <f>HYPERLINK("https://auction.openprocurement.org/tenders/dfcad74ae54c484c8143ea7ea769be6e")</f>
        <v>https://auction.openprocurement.org/tenders/dfcad74ae54c484c8143ea7ea769be6e</v>
      </c>
      <c r="R508" s="1"/>
      <c r="S508" s="1"/>
      <c r="T508" s="1"/>
      <c r="U508" s="1" t="s">
        <v>1972</v>
      </c>
      <c r="V508" s="5">
        <v>43178.718112350703</v>
      </c>
      <c r="W508" s="1"/>
      <c r="X508" s="1"/>
      <c r="Y508" s="1"/>
      <c r="Z508" s="4">
        <v>43203</v>
      </c>
      <c r="AA508" s="1"/>
      <c r="AB508" s="1"/>
      <c r="AC508" s="1" t="s">
        <v>1801</v>
      </c>
      <c r="AD508" s="1"/>
    </row>
    <row r="509" spans="1:30" hidden="1" x14ac:dyDescent="0.25">
      <c r="A509" s="1" t="s">
        <v>1454</v>
      </c>
      <c r="B509" s="1" t="s">
        <v>791</v>
      </c>
      <c r="C509" s="1" t="s">
        <v>1147</v>
      </c>
      <c r="D509" s="4">
        <v>43165</v>
      </c>
      <c r="E509" s="6">
        <v>14000</v>
      </c>
      <c r="F509" s="6"/>
      <c r="G509" s="6">
        <v>14000</v>
      </c>
      <c r="H509" s="1" t="s">
        <v>1708</v>
      </c>
      <c r="I509" s="6">
        <v>1000</v>
      </c>
      <c r="J509" s="6">
        <v>6.6666666666666666E-2</v>
      </c>
      <c r="K509" s="1" t="s">
        <v>1708</v>
      </c>
      <c r="L509" s="1" t="s">
        <v>620</v>
      </c>
      <c r="M509" s="1" t="s">
        <v>879</v>
      </c>
      <c r="N509" s="1" t="s">
        <v>167</v>
      </c>
      <c r="O509" s="6">
        <v>1000</v>
      </c>
      <c r="P509" s="6">
        <v>6.6666666666666666E-2</v>
      </c>
      <c r="Q509" s="2"/>
      <c r="R509" s="5">
        <v>43175.547081431629</v>
      </c>
      <c r="S509" s="4">
        <v>43179</v>
      </c>
      <c r="T509" s="4">
        <v>43202</v>
      </c>
      <c r="U509" s="1" t="s">
        <v>1956</v>
      </c>
      <c r="V509" s="5">
        <v>43179.629456932802</v>
      </c>
      <c r="W509" s="1" t="s">
        <v>1952</v>
      </c>
      <c r="X509" s="6">
        <v>14000</v>
      </c>
      <c r="Y509" s="1"/>
      <c r="Z509" s="4">
        <v>43210</v>
      </c>
      <c r="AA509" s="5">
        <v>43465</v>
      </c>
      <c r="AB509" s="1" t="s">
        <v>1971</v>
      </c>
      <c r="AC509" s="1"/>
      <c r="AD509" s="1"/>
    </row>
    <row r="510" spans="1:30" hidden="1" x14ac:dyDescent="0.25">
      <c r="A510" s="1" t="s">
        <v>1213</v>
      </c>
      <c r="B510" s="1" t="s">
        <v>815</v>
      </c>
      <c r="C510" s="1" t="s">
        <v>1157</v>
      </c>
      <c r="D510" s="4">
        <v>43160</v>
      </c>
      <c r="E510" s="6">
        <v>50000</v>
      </c>
      <c r="F510" s="6"/>
      <c r="G510" s="6">
        <v>50000</v>
      </c>
      <c r="H510" s="1"/>
      <c r="I510" s="1"/>
      <c r="J510" s="1"/>
      <c r="K510" s="1" t="s">
        <v>1728</v>
      </c>
      <c r="L510" s="1" t="s">
        <v>556</v>
      </c>
      <c r="M510" s="1"/>
      <c r="N510" s="1" t="s">
        <v>276</v>
      </c>
      <c r="O510" s="1"/>
      <c r="P510" s="1"/>
      <c r="Q510" s="2"/>
      <c r="R510" s="1"/>
      <c r="S510" s="1"/>
      <c r="T510" s="1"/>
      <c r="U510" s="1" t="s">
        <v>1956</v>
      </c>
      <c r="V510" s="5">
        <v>43160.66841061852</v>
      </c>
      <c r="W510" s="1" t="s">
        <v>1952</v>
      </c>
      <c r="X510" s="6">
        <v>50000</v>
      </c>
      <c r="Y510" s="4">
        <v>43158</v>
      </c>
      <c r="Z510" s="4">
        <v>43465</v>
      </c>
      <c r="AA510" s="5">
        <v>43465</v>
      </c>
      <c r="AB510" s="1" t="s">
        <v>1971</v>
      </c>
      <c r="AC510" s="1"/>
      <c r="AD510" s="1"/>
    </row>
    <row r="511" spans="1:30" hidden="1" x14ac:dyDescent="0.25">
      <c r="A511" s="1" t="s">
        <v>1467</v>
      </c>
      <c r="B511" s="1" t="s">
        <v>821</v>
      </c>
      <c r="C511" s="1" t="s">
        <v>1147</v>
      </c>
      <c r="D511" s="4">
        <v>43160</v>
      </c>
      <c r="E511" s="6">
        <v>69700</v>
      </c>
      <c r="F511" s="6"/>
      <c r="G511" s="6">
        <v>69700</v>
      </c>
      <c r="H511" s="1" t="s">
        <v>1879</v>
      </c>
      <c r="I511" s="6">
        <v>300</v>
      </c>
      <c r="J511" s="6">
        <v>4.2857142857142859E-3</v>
      </c>
      <c r="K511" s="1" t="s">
        <v>1879</v>
      </c>
      <c r="L511" s="1" t="s">
        <v>550</v>
      </c>
      <c r="M511" s="1" t="s">
        <v>880</v>
      </c>
      <c r="N511" s="1" t="s">
        <v>97</v>
      </c>
      <c r="O511" s="6">
        <v>300</v>
      </c>
      <c r="P511" s="6">
        <v>4.2857142857142859E-3</v>
      </c>
      <c r="Q511" s="2"/>
      <c r="R511" s="5">
        <v>43171.612800298957</v>
      </c>
      <c r="S511" s="4">
        <v>43173</v>
      </c>
      <c r="T511" s="4">
        <v>43195</v>
      </c>
      <c r="U511" s="1" t="s">
        <v>1956</v>
      </c>
      <c r="V511" s="5">
        <v>43174.631729313995</v>
      </c>
      <c r="W511" s="1" t="s">
        <v>373</v>
      </c>
      <c r="X511" s="6">
        <v>69700</v>
      </c>
      <c r="Y511" s="1"/>
      <c r="Z511" s="4">
        <v>43221</v>
      </c>
      <c r="AA511" s="5">
        <v>43465</v>
      </c>
      <c r="AB511" s="1" t="s">
        <v>1971</v>
      </c>
      <c r="AC511" s="1"/>
      <c r="AD511" s="1"/>
    </row>
    <row r="512" spans="1:30" hidden="1" x14ac:dyDescent="0.25">
      <c r="A512" s="1" t="s">
        <v>1285</v>
      </c>
      <c r="B512" s="1" t="s">
        <v>838</v>
      </c>
      <c r="C512" s="1" t="s">
        <v>1147</v>
      </c>
      <c r="D512" s="4">
        <v>43143</v>
      </c>
      <c r="E512" s="6">
        <v>35160</v>
      </c>
      <c r="F512" s="6"/>
      <c r="G512" s="6">
        <v>35160</v>
      </c>
      <c r="H512" s="1" t="s">
        <v>1844</v>
      </c>
      <c r="I512" s="1"/>
      <c r="J512" s="1"/>
      <c r="K512" s="1" t="s">
        <v>1844</v>
      </c>
      <c r="L512" s="1" t="s">
        <v>457</v>
      </c>
      <c r="M512" s="1" t="s">
        <v>909</v>
      </c>
      <c r="N512" s="1" t="s">
        <v>126</v>
      </c>
      <c r="O512" s="1"/>
      <c r="P512" s="1"/>
      <c r="Q512" s="2"/>
      <c r="R512" s="5">
        <v>43151.427071557948</v>
      </c>
      <c r="S512" s="4">
        <v>43153</v>
      </c>
      <c r="T512" s="4">
        <v>43176</v>
      </c>
      <c r="U512" s="1" t="s">
        <v>1956</v>
      </c>
      <c r="V512" s="5">
        <v>43158.556117825756</v>
      </c>
      <c r="W512" s="1" t="s">
        <v>1952</v>
      </c>
      <c r="X512" s="6">
        <v>35160</v>
      </c>
      <c r="Y512" s="4">
        <v>43160</v>
      </c>
      <c r="Z512" s="4">
        <v>43465</v>
      </c>
      <c r="AA512" s="5">
        <v>43465</v>
      </c>
      <c r="AB512" s="1" t="s">
        <v>1971</v>
      </c>
      <c r="AC512" s="1"/>
      <c r="AD512" s="1"/>
    </row>
    <row r="513" spans="1:30" hidden="1" x14ac:dyDescent="0.25">
      <c r="A513" s="1" t="s">
        <v>1383</v>
      </c>
      <c r="B513" s="1" t="s">
        <v>763</v>
      </c>
      <c r="C513" s="1" t="s">
        <v>1147</v>
      </c>
      <c r="D513" s="4">
        <v>43138</v>
      </c>
      <c r="E513" s="6">
        <v>49480</v>
      </c>
      <c r="F513" s="6"/>
      <c r="G513" s="6">
        <v>77.554858934169275</v>
      </c>
      <c r="H513" s="1" t="s">
        <v>1855</v>
      </c>
      <c r="I513" s="6">
        <v>520</v>
      </c>
      <c r="J513" s="6">
        <v>1.04E-2</v>
      </c>
      <c r="K513" s="1" t="s">
        <v>1855</v>
      </c>
      <c r="L513" s="1" t="s">
        <v>446</v>
      </c>
      <c r="M513" s="1" t="s">
        <v>918</v>
      </c>
      <c r="N513" s="1" t="s">
        <v>145</v>
      </c>
      <c r="O513" s="6">
        <v>520</v>
      </c>
      <c r="P513" s="6">
        <v>1.04E-2</v>
      </c>
      <c r="Q513" s="2"/>
      <c r="R513" s="5">
        <v>43146.607029724015</v>
      </c>
      <c r="S513" s="4">
        <v>43150</v>
      </c>
      <c r="T513" s="4">
        <v>43173</v>
      </c>
      <c r="U513" s="1" t="s">
        <v>1956</v>
      </c>
      <c r="V513" s="5">
        <v>43157.613339731004</v>
      </c>
      <c r="W513" s="1" t="s">
        <v>1952</v>
      </c>
      <c r="X513" s="6">
        <v>49480</v>
      </c>
      <c r="Y513" s="1"/>
      <c r="Z513" s="4">
        <v>43465</v>
      </c>
      <c r="AA513" s="5">
        <v>43465</v>
      </c>
      <c r="AB513" s="1" t="s">
        <v>1971</v>
      </c>
      <c r="AC513" s="1"/>
      <c r="AD513" s="1"/>
    </row>
    <row r="514" spans="1:30" hidden="1" x14ac:dyDescent="0.25">
      <c r="A514" s="1" t="s">
        <v>1358</v>
      </c>
      <c r="B514" s="1" t="s">
        <v>843</v>
      </c>
      <c r="C514" s="1" t="s">
        <v>1335</v>
      </c>
      <c r="D514" s="4">
        <v>43136</v>
      </c>
      <c r="E514" s="6">
        <v>412000</v>
      </c>
      <c r="F514" s="6"/>
      <c r="G514" s="6">
        <v>412000</v>
      </c>
      <c r="H514" s="1"/>
      <c r="I514" s="1"/>
      <c r="J514" s="1"/>
      <c r="K514" s="1" t="s">
        <v>1705</v>
      </c>
      <c r="L514" s="1" t="s">
        <v>424</v>
      </c>
      <c r="M514" s="1"/>
      <c r="N514" s="1" t="s">
        <v>31</v>
      </c>
      <c r="O514" s="1"/>
      <c r="P514" s="1"/>
      <c r="Q514" s="2"/>
      <c r="R514" s="1"/>
      <c r="S514" s="4">
        <v>43147</v>
      </c>
      <c r="T514" s="4">
        <v>43172</v>
      </c>
      <c r="U514" s="1" t="s">
        <v>1956</v>
      </c>
      <c r="V514" s="5">
        <v>43157.717503219756</v>
      </c>
      <c r="W514" s="1" t="s">
        <v>192</v>
      </c>
      <c r="X514" s="6">
        <v>412000</v>
      </c>
      <c r="Y514" s="4">
        <v>43161</v>
      </c>
      <c r="Z514" s="4">
        <v>43190</v>
      </c>
      <c r="AA514" s="5">
        <v>43465</v>
      </c>
      <c r="AB514" s="1" t="s">
        <v>1971</v>
      </c>
      <c r="AC514" s="1"/>
      <c r="AD514" s="1"/>
    </row>
    <row r="515" spans="1:30" hidden="1" x14ac:dyDescent="0.25">
      <c r="A515" s="1" t="s">
        <v>1456</v>
      </c>
      <c r="B515" s="1" t="s">
        <v>791</v>
      </c>
      <c r="C515" s="1" t="s">
        <v>1147</v>
      </c>
      <c r="D515" s="4">
        <v>43122</v>
      </c>
      <c r="E515" s="6">
        <v>28000</v>
      </c>
      <c r="F515" s="6"/>
      <c r="G515" s="6">
        <v>28000</v>
      </c>
      <c r="H515" s="1" t="s">
        <v>1708</v>
      </c>
      <c r="I515" s="6">
        <v>2000</v>
      </c>
      <c r="J515" s="6">
        <v>6.6666666666666666E-2</v>
      </c>
      <c r="K515" s="1" t="s">
        <v>1708</v>
      </c>
      <c r="L515" s="1" t="s">
        <v>620</v>
      </c>
      <c r="M515" s="1" t="s">
        <v>879</v>
      </c>
      <c r="N515" s="1" t="s">
        <v>167</v>
      </c>
      <c r="O515" s="6">
        <v>2000</v>
      </c>
      <c r="P515" s="6">
        <v>6.6666666666666666E-2</v>
      </c>
      <c r="Q515" s="2"/>
      <c r="R515" s="5">
        <v>43130.591082506551</v>
      </c>
      <c r="S515" s="4">
        <v>43132</v>
      </c>
      <c r="T515" s="4">
        <v>43155</v>
      </c>
      <c r="U515" s="1" t="s">
        <v>1956</v>
      </c>
      <c r="V515" s="5">
        <v>43132.709968232637</v>
      </c>
      <c r="W515" s="1" t="s">
        <v>1952</v>
      </c>
      <c r="X515" s="6">
        <v>28000</v>
      </c>
      <c r="Y515" s="1"/>
      <c r="Z515" s="4">
        <v>43171</v>
      </c>
      <c r="AA515" s="5">
        <v>43465</v>
      </c>
      <c r="AB515" s="1" t="s">
        <v>1971</v>
      </c>
      <c r="AC515" s="1"/>
      <c r="AD515" s="1"/>
    </row>
    <row r="516" spans="1:30" hidden="1" x14ac:dyDescent="0.25">
      <c r="A516" s="1" t="s">
        <v>1075</v>
      </c>
      <c r="B516" s="1" t="s">
        <v>781</v>
      </c>
      <c r="C516" s="1" t="s">
        <v>1335</v>
      </c>
      <c r="D516" s="4">
        <v>43112</v>
      </c>
      <c r="E516" s="6">
        <v>136718</v>
      </c>
      <c r="F516" s="6"/>
      <c r="G516" s="6">
        <v>7.4758311461067368</v>
      </c>
      <c r="H516" s="1"/>
      <c r="I516" s="1"/>
      <c r="J516" s="1"/>
      <c r="K516" s="1" t="s">
        <v>1132</v>
      </c>
      <c r="L516" s="1" t="s">
        <v>231</v>
      </c>
      <c r="M516" s="1"/>
      <c r="N516" s="1" t="s">
        <v>62</v>
      </c>
      <c r="O516" s="1"/>
      <c r="P516" s="1"/>
      <c r="Q516" s="2"/>
      <c r="R516" s="1"/>
      <c r="S516" s="4">
        <v>43126</v>
      </c>
      <c r="T516" s="4">
        <v>43151</v>
      </c>
      <c r="U516" s="1" t="s">
        <v>1956</v>
      </c>
      <c r="V516" s="5">
        <v>43129.719340323762</v>
      </c>
      <c r="W516" s="1" t="s">
        <v>378</v>
      </c>
      <c r="X516" s="6">
        <v>136718</v>
      </c>
      <c r="Y516" s="1"/>
      <c r="Z516" s="4">
        <v>43465</v>
      </c>
      <c r="AA516" s="5">
        <v>43465</v>
      </c>
      <c r="AB516" s="1" t="s">
        <v>1971</v>
      </c>
      <c r="AC516" s="1"/>
      <c r="AD516" s="1"/>
    </row>
    <row r="517" spans="1:30" hidden="1" x14ac:dyDescent="0.25">
      <c r="A517" s="1" t="s">
        <v>1495</v>
      </c>
      <c r="B517" s="1" t="s">
        <v>747</v>
      </c>
      <c r="C517" s="1" t="s">
        <v>1081</v>
      </c>
      <c r="D517" s="4">
        <v>43097</v>
      </c>
      <c r="E517" s="6">
        <v>220999</v>
      </c>
      <c r="F517" s="6"/>
      <c r="G517" s="6">
        <v>220999</v>
      </c>
      <c r="H517" s="1" t="s">
        <v>1665</v>
      </c>
      <c r="I517" s="6">
        <v>9001</v>
      </c>
      <c r="J517" s="6">
        <v>3.9134782608695649E-2</v>
      </c>
      <c r="K517" s="1" t="s">
        <v>1631</v>
      </c>
      <c r="L517" s="1" t="s">
        <v>693</v>
      </c>
      <c r="M517" s="1" t="s">
        <v>975</v>
      </c>
      <c r="N517" s="1" t="s">
        <v>176</v>
      </c>
      <c r="O517" s="6">
        <v>9000</v>
      </c>
      <c r="P517" s="6">
        <v>3.9130434782608699E-2</v>
      </c>
      <c r="Q517" s="2" t="str">
        <f>HYPERLINK("https://auction.openprocurement.org/tenders/945f7af88d954b718752e20a4a805937")</f>
        <v>https://auction.openprocurement.org/tenders/945f7af88d954b718752e20a4a805937</v>
      </c>
      <c r="R517" s="5">
        <v>43116.452191766009</v>
      </c>
      <c r="S517" s="4">
        <v>43127</v>
      </c>
      <c r="T517" s="4">
        <v>43137</v>
      </c>
      <c r="U517" s="1" t="s">
        <v>1956</v>
      </c>
      <c r="V517" s="5">
        <v>43129.732111199315</v>
      </c>
      <c r="W517" s="1" t="s">
        <v>1952</v>
      </c>
      <c r="X517" s="6">
        <v>221000</v>
      </c>
      <c r="Y517" s="1"/>
      <c r="Z517" s="4">
        <v>43146</v>
      </c>
      <c r="AA517" s="5">
        <v>43465</v>
      </c>
      <c r="AB517" s="1" t="s">
        <v>1971</v>
      </c>
      <c r="AC517" s="1"/>
      <c r="AD517" s="1" t="s">
        <v>1168</v>
      </c>
    </row>
    <row r="518" spans="1:30" hidden="1" x14ac:dyDescent="0.25">
      <c r="A518" s="1" t="s">
        <v>1286</v>
      </c>
      <c r="B518" s="1" t="s">
        <v>681</v>
      </c>
      <c r="C518" s="1" t="s">
        <v>1157</v>
      </c>
      <c r="D518" s="4">
        <v>43089</v>
      </c>
      <c r="E518" s="6">
        <v>176000</v>
      </c>
      <c r="F518" s="6"/>
      <c r="G518" s="6">
        <v>7040</v>
      </c>
      <c r="H518" s="1"/>
      <c r="I518" s="1"/>
      <c r="J518" s="1"/>
      <c r="K518" s="1" t="s">
        <v>1919</v>
      </c>
      <c r="L518" s="1" t="s">
        <v>516</v>
      </c>
      <c r="M518" s="1"/>
      <c r="N518" s="1" t="s">
        <v>258</v>
      </c>
      <c r="O518" s="1"/>
      <c r="P518" s="1"/>
      <c r="Q518" s="2"/>
      <c r="R518" s="1"/>
      <c r="S518" s="1"/>
      <c r="T518" s="1"/>
      <c r="U518" s="1" t="s">
        <v>1956</v>
      </c>
      <c r="V518" s="5">
        <v>43089.705228421422</v>
      </c>
      <c r="W518" s="1" t="s">
        <v>1952</v>
      </c>
      <c r="X518" s="6">
        <v>176000</v>
      </c>
      <c r="Y518" s="1"/>
      <c r="Z518" s="4">
        <v>43100</v>
      </c>
      <c r="AA518" s="5">
        <v>43100</v>
      </c>
      <c r="AB518" s="1" t="s">
        <v>1971</v>
      </c>
      <c r="AC518" s="1"/>
      <c r="AD518" s="1" t="s">
        <v>1168</v>
      </c>
    </row>
    <row r="519" spans="1:30" hidden="1" x14ac:dyDescent="0.25">
      <c r="A519" s="1" t="s">
        <v>1095</v>
      </c>
      <c r="B519" s="1" t="s">
        <v>741</v>
      </c>
      <c r="C519" s="1" t="s">
        <v>1157</v>
      </c>
      <c r="D519" s="4">
        <v>43087</v>
      </c>
      <c r="E519" s="6">
        <v>89984.4</v>
      </c>
      <c r="F519" s="6"/>
      <c r="G519" s="6">
        <v>373.37925311203315</v>
      </c>
      <c r="H519" s="1"/>
      <c r="I519" s="1"/>
      <c r="J519" s="1"/>
      <c r="K519" s="1" t="s">
        <v>1919</v>
      </c>
      <c r="L519" s="1" t="s">
        <v>516</v>
      </c>
      <c r="M519" s="1"/>
      <c r="N519" s="1" t="s">
        <v>258</v>
      </c>
      <c r="O519" s="1"/>
      <c r="P519" s="1"/>
      <c r="Q519" s="2"/>
      <c r="R519" s="1"/>
      <c r="S519" s="1"/>
      <c r="T519" s="1"/>
      <c r="U519" s="1" t="s">
        <v>1956</v>
      </c>
      <c r="V519" s="5">
        <v>43087.721140894988</v>
      </c>
      <c r="W519" s="1" t="s">
        <v>1952</v>
      </c>
      <c r="X519" s="6">
        <v>89984.4</v>
      </c>
      <c r="Y519" s="4">
        <v>43087</v>
      </c>
      <c r="Z519" s="4">
        <v>43100</v>
      </c>
      <c r="AA519" s="5">
        <v>43100</v>
      </c>
      <c r="AB519" s="1" t="s">
        <v>1971</v>
      </c>
      <c r="AC519" s="1"/>
      <c r="AD519" s="1" t="s">
        <v>1168</v>
      </c>
    </row>
    <row r="520" spans="1:30" hidden="1" x14ac:dyDescent="0.25">
      <c r="A520" s="1" t="s">
        <v>1500</v>
      </c>
      <c r="B520" s="1" t="s">
        <v>747</v>
      </c>
      <c r="C520" s="1" t="s">
        <v>1081</v>
      </c>
      <c r="D520" s="4">
        <v>43087</v>
      </c>
      <c r="E520" s="6">
        <v>170000</v>
      </c>
      <c r="F520" s="6"/>
      <c r="G520" s="6">
        <v>170000</v>
      </c>
      <c r="H520" s="1" t="s">
        <v>1665</v>
      </c>
      <c r="I520" s="6">
        <v>25000</v>
      </c>
      <c r="J520" s="6">
        <v>0.12820512820512819</v>
      </c>
      <c r="K520" s="1" t="s">
        <v>1701</v>
      </c>
      <c r="L520" s="1" t="s">
        <v>559</v>
      </c>
      <c r="M520" s="1" t="s">
        <v>856</v>
      </c>
      <c r="N520" s="1" t="s">
        <v>76</v>
      </c>
      <c r="O520" s="6">
        <v>19906</v>
      </c>
      <c r="P520" s="6">
        <v>0.10208205128205128</v>
      </c>
      <c r="Q520" s="2" t="str">
        <f>HYPERLINK("https://auction.openprocurement.org/tenders/c01d82ccd4564e7aab005792a45ea605")</f>
        <v>https://auction.openprocurement.org/tenders/c01d82ccd4564e7aab005792a45ea605</v>
      </c>
      <c r="R520" s="5">
        <v>43109.440004284064</v>
      </c>
      <c r="S520" s="4">
        <v>43120</v>
      </c>
      <c r="T520" s="4">
        <v>43130</v>
      </c>
      <c r="U520" s="1" t="s">
        <v>1956</v>
      </c>
      <c r="V520" s="5">
        <v>43122.457440551909</v>
      </c>
      <c r="W520" s="1" t="s">
        <v>760</v>
      </c>
      <c r="X520" s="6">
        <v>175094</v>
      </c>
      <c r="Y520" s="1"/>
      <c r="Z520" s="4">
        <v>43141</v>
      </c>
      <c r="AA520" s="5">
        <v>43465</v>
      </c>
      <c r="AB520" s="1" t="s">
        <v>1971</v>
      </c>
      <c r="AC520" s="1"/>
      <c r="AD520" s="1" t="s">
        <v>1168</v>
      </c>
    </row>
    <row r="521" spans="1:30" hidden="1" x14ac:dyDescent="0.25">
      <c r="A521" s="1" t="s">
        <v>1958</v>
      </c>
      <c r="B521" s="1" t="s">
        <v>527</v>
      </c>
      <c r="C521" s="1" t="s">
        <v>1157</v>
      </c>
      <c r="D521" s="4">
        <v>43084</v>
      </c>
      <c r="E521" s="6">
        <v>95461.19</v>
      </c>
      <c r="F521" s="6"/>
      <c r="G521" s="6">
        <v>29.990948790449263</v>
      </c>
      <c r="H521" s="1"/>
      <c r="I521" s="1"/>
      <c r="J521" s="1"/>
      <c r="K521" s="1" t="s">
        <v>1903</v>
      </c>
      <c r="L521" s="1" t="s">
        <v>446</v>
      </c>
      <c r="M521" s="1"/>
      <c r="N521" s="1" t="s">
        <v>309</v>
      </c>
      <c r="O521" s="1"/>
      <c r="P521" s="1"/>
      <c r="Q521" s="2"/>
      <c r="R521" s="1"/>
      <c r="S521" s="1"/>
      <c r="T521" s="1"/>
      <c r="U521" s="1" t="s">
        <v>1956</v>
      </c>
      <c r="V521" s="5">
        <v>43084.690680504551</v>
      </c>
      <c r="W521" s="1" t="s">
        <v>1952</v>
      </c>
      <c r="X521" s="6">
        <v>95461.19</v>
      </c>
      <c r="Y521" s="4">
        <v>43084</v>
      </c>
      <c r="Z521" s="4">
        <v>43100</v>
      </c>
      <c r="AA521" s="5">
        <v>43100</v>
      </c>
      <c r="AB521" s="1" t="s">
        <v>1971</v>
      </c>
      <c r="AC521" s="1"/>
      <c r="AD521" s="1" t="s">
        <v>1168</v>
      </c>
    </row>
    <row r="522" spans="1:30" hidden="1" x14ac:dyDescent="0.25">
      <c r="A522" s="1" t="s">
        <v>1353</v>
      </c>
      <c r="B522" s="1" t="s">
        <v>833</v>
      </c>
      <c r="C522" s="1" t="s">
        <v>1147</v>
      </c>
      <c r="D522" s="4">
        <v>43084</v>
      </c>
      <c r="E522" s="6">
        <v>114570</v>
      </c>
      <c r="F522" s="6"/>
      <c r="G522" s="6">
        <v>183.60576923076923</v>
      </c>
      <c r="H522" s="1" t="s">
        <v>1627</v>
      </c>
      <c r="I522" s="6">
        <v>30</v>
      </c>
      <c r="J522" s="6">
        <v>2.6178010471204191E-4</v>
      </c>
      <c r="K522" s="1" t="s">
        <v>1627</v>
      </c>
      <c r="L522" s="1" t="s">
        <v>219</v>
      </c>
      <c r="M522" s="1" t="s">
        <v>890</v>
      </c>
      <c r="N522" s="1" t="s">
        <v>82</v>
      </c>
      <c r="O522" s="6">
        <v>30</v>
      </c>
      <c r="P522" s="6">
        <v>2.6178010471204191E-4</v>
      </c>
      <c r="Q522" s="2"/>
      <c r="R522" s="5">
        <v>43095.437822857035</v>
      </c>
      <c r="S522" s="4">
        <v>43097</v>
      </c>
      <c r="T522" s="4">
        <v>43119</v>
      </c>
      <c r="U522" s="1" t="s">
        <v>1956</v>
      </c>
      <c r="V522" s="5">
        <v>43103.601791375499</v>
      </c>
      <c r="W522" s="1" t="s">
        <v>511</v>
      </c>
      <c r="X522" s="6">
        <v>114570</v>
      </c>
      <c r="Y522" s="4">
        <v>43101</v>
      </c>
      <c r="Z522" s="4">
        <v>43465</v>
      </c>
      <c r="AA522" s="5">
        <v>43465</v>
      </c>
      <c r="AB522" s="1" t="s">
        <v>1971</v>
      </c>
      <c r="AC522" s="1"/>
      <c r="AD522" s="1" t="s">
        <v>1168</v>
      </c>
    </row>
    <row r="523" spans="1:30" hidden="1" x14ac:dyDescent="0.25">
      <c r="A523" s="1" t="s">
        <v>1078</v>
      </c>
      <c r="B523" s="1" t="s">
        <v>838</v>
      </c>
      <c r="C523" s="1" t="s">
        <v>1147</v>
      </c>
      <c r="D523" s="4">
        <v>43084</v>
      </c>
      <c r="E523" s="6">
        <v>91977</v>
      </c>
      <c r="F523" s="6"/>
      <c r="G523" s="6">
        <v>30659</v>
      </c>
      <c r="H523" s="1" t="s">
        <v>1844</v>
      </c>
      <c r="I523" s="1"/>
      <c r="J523" s="1"/>
      <c r="K523" s="1" t="s">
        <v>1844</v>
      </c>
      <c r="L523" s="1" t="s">
        <v>457</v>
      </c>
      <c r="M523" s="1" t="s">
        <v>909</v>
      </c>
      <c r="N523" s="1" t="s">
        <v>126</v>
      </c>
      <c r="O523" s="1"/>
      <c r="P523" s="1"/>
      <c r="Q523" s="2"/>
      <c r="R523" s="5">
        <v>43091.629457194758</v>
      </c>
      <c r="S523" s="4">
        <v>43095</v>
      </c>
      <c r="T523" s="4">
        <v>43119</v>
      </c>
      <c r="U523" s="1" t="s">
        <v>1956</v>
      </c>
      <c r="V523" s="5">
        <v>43103.604128980209</v>
      </c>
      <c r="W523" s="1" t="s">
        <v>1952</v>
      </c>
      <c r="X523" s="6">
        <v>91977</v>
      </c>
      <c r="Y523" s="4">
        <v>43101</v>
      </c>
      <c r="Z523" s="4">
        <v>43465</v>
      </c>
      <c r="AA523" s="5">
        <v>43465</v>
      </c>
      <c r="AB523" s="1" t="s">
        <v>1971</v>
      </c>
      <c r="AC523" s="1"/>
      <c r="AD523" s="1" t="s">
        <v>1168</v>
      </c>
    </row>
    <row r="524" spans="1:30" hidden="1" x14ac:dyDescent="0.25">
      <c r="A524" s="1" t="s">
        <v>1196</v>
      </c>
      <c r="B524" s="1" t="s">
        <v>526</v>
      </c>
      <c r="C524" s="1" t="s">
        <v>1147</v>
      </c>
      <c r="D524" s="4">
        <v>43083</v>
      </c>
      <c r="E524" s="6">
        <v>11780</v>
      </c>
      <c r="F524" s="6"/>
      <c r="G524" s="6">
        <v>1070.909090909091</v>
      </c>
      <c r="H524" s="1" t="s">
        <v>1916</v>
      </c>
      <c r="I524" s="6">
        <v>220</v>
      </c>
      <c r="J524" s="6">
        <v>1.8333333333333333E-2</v>
      </c>
      <c r="K524" s="1" t="s">
        <v>1855</v>
      </c>
      <c r="L524" s="1" t="s">
        <v>446</v>
      </c>
      <c r="M524" s="1" t="s">
        <v>918</v>
      </c>
      <c r="N524" s="1" t="s">
        <v>145</v>
      </c>
      <c r="O524" s="6">
        <v>20</v>
      </c>
      <c r="P524" s="6">
        <v>1.6666666666666668E-3</v>
      </c>
      <c r="Q524" s="2" t="str">
        <f>HYPERLINK("https://auction.openprocurement.org/tenders/60957f54a7c04f3b859e9a2226a5de64")</f>
        <v>https://auction.openprocurement.org/tenders/60957f54a7c04f3b859e9a2226a5de64</v>
      </c>
      <c r="R524" s="5">
        <v>43095.658839557756</v>
      </c>
      <c r="S524" s="4">
        <v>43097</v>
      </c>
      <c r="T524" s="4">
        <v>43118</v>
      </c>
      <c r="U524" s="1" t="s">
        <v>1956</v>
      </c>
      <c r="V524" s="5">
        <v>43098.498513207676</v>
      </c>
      <c r="W524" s="1" t="s">
        <v>1952</v>
      </c>
      <c r="X524" s="6">
        <v>11980</v>
      </c>
      <c r="Y524" s="1"/>
      <c r="Z524" s="4">
        <v>43110</v>
      </c>
      <c r="AA524" s="5">
        <v>43465</v>
      </c>
      <c r="AB524" s="1" t="s">
        <v>1971</v>
      </c>
      <c r="AC524" s="1"/>
      <c r="AD524" s="1" t="s">
        <v>1168</v>
      </c>
    </row>
    <row r="525" spans="1:30" hidden="1" x14ac:dyDescent="0.25">
      <c r="A525" s="1" t="s">
        <v>1532</v>
      </c>
      <c r="B525" s="1" t="s">
        <v>375</v>
      </c>
      <c r="C525" s="1" t="s">
        <v>1157</v>
      </c>
      <c r="D525" s="4">
        <v>43081</v>
      </c>
      <c r="E525" s="6">
        <v>50659.32</v>
      </c>
      <c r="F525" s="6"/>
      <c r="G525" s="6">
        <v>297.99599999999998</v>
      </c>
      <c r="H525" s="1"/>
      <c r="I525" s="1"/>
      <c r="J525" s="1"/>
      <c r="K525" s="1" t="s">
        <v>1658</v>
      </c>
      <c r="L525" s="1" t="s">
        <v>689</v>
      </c>
      <c r="M525" s="1"/>
      <c r="N525" s="1" t="s">
        <v>257</v>
      </c>
      <c r="O525" s="1"/>
      <c r="P525" s="1"/>
      <c r="Q525" s="2"/>
      <c r="R525" s="1"/>
      <c r="S525" s="1"/>
      <c r="T525" s="1"/>
      <c r="U525" s="1" t="s">
        <v>1956</v>
      </c>
      <c r="V525" s="5">
        <v>43081.672842127999</v>
      </c>
      <c r="W525" s="1" t="s">
        <v>363</v>
      </c>
      <c r="X525" s="6">
        <v>50659.32</v>
      </c>
      <c r="Y525" s="4">
        <v>43081</v>
      </c>
      <c r="Z525" s="4">
        <v>43100</v>
      </c>
      <c r="AA525" s="5">
        <v>43100</v>
      </c>
      <c r="AB525" s="1" t="s">
        <v>1971</v>
      </c>
      <c r="AC525" s="1"/>
      <c r="AD525" s="1" t="s">
        <v>1168</v>
      </c>
    </row>
    <row r="526" spans="1:30" hidden="1" x14ac:dyDescent="0.25">
      <c r="A526" s="1" t="s">
        <v>1435</v>
      </c>
      <c r="B526" s="1" t="s">
        <v>795</v>
      </c>
      <c r="C526" s="1" t="s">
        <v>1147</v>
      </c>
      <c r="D526" s="4">
        <v>43080</v>
      </c>
      <c r="E526" s="6">
        <v>49760</v>
      </c>
      <c r="F526" s="6"/>
      <c r="G526" s="6">
        <v>6220</v>
      </c>
      <c r="H526" s="1" t="s">
        <v>1855</v>
      </c>
      <c r="I526" s="6">
        <v>240</v>
      </c>
      <c r="J526" s="6">
        <v>4.7999999999999996E-3</v>
      </c>
      <c r="K526" s="1" t="s">
        <v>1855</v>
      </c>
      <c r="L526" s="1" t="s">
        <v>446</v>
      </c>
      <c r="M526" s="1" t="s">
        <v>918</v>
      </c>
      <c r="N526" s="1" t="s">
        <v>145</v>
      </c>
      <c r="O526" s="6">
        <v>240</v>
      </c>
      <c r="P526" s="6">
        <v>4.7999999999999996E-3</v>
      </c>
      <c r="Q526" s="2"/>
      <c r="R526" s="5">
        <v>43087.597600133864</v>
      </c>
      <c r="S526" s="4">
        <v>43089</v>
      </c>
      <c r="T526" s="4">
        <v>43113</v>
      </c>
      <c r="U526" s="1" t="s">
        <v>1956</v>
      </c>
      <c r="V526" s="5">
        <v>43090.733526641889</v>
      </c>
      <c r="W526" s="1" t="s">
        <v>1952</v>
      </c>
      <c r="X526" s="6">
        <v>49760</v>
      </c>
      <c r="Y526" s="1"/>
      <c r="Z526" s="4">
        <v>43098</v>
      </c>
      <c r="AA526" s="5">
        <v>43100</v>
      </c>
      <c r="AB526" s="1" t="s">
        <v>1971</v>
      </c>
      <c r="AC526" s="1"/>
      <c r="AD526" s="1" t="s">
        <v>1168</v>
      </c>
    </row>
    <row r="527" spans="1:30" hidden="1" x14ac:dyDescent="0.25">
      <c r="A527" s="1" t="s">
        <v>1495</v>
      </c>
      <c r="B527" s="1" t="s">
        <v>747</v>
      </c>
      <c r="C527" s="1" t="s">
        <v>1081</v>
      </c>
      <c r="D527" s="4">
        <v>43080</v>
      </c>
      <c r="E527" s="6">
        <v>225776.11</v>
      </c>
      <c r="F527" s="6"/>
      <c r="G527" s="6">
        <v>225776.11</v>
      </c>
      <c r="H527" s="1" t="s">
        <v>1631</v>
      </c>
      <c r="I527" s="6">
        <v>4223.890000000014</v>
      </c>
      <c r="J527" s="6">
        <v>1.8364739130434845E-2</v>
      </c>
      <c r="K527" s="1"/>
      <c r="L527" s="1"/>
      <c r="M527" s="1"/>
      <c r="N527" s="1"/>
      <c r="O527" s="1"/>
      <c r="P527" s="1"/>
      <c r="Q527" s="2" t="str">
        <f>HYPERLINK("https://auction.openprocurement.org/tenders/557b66e6a614418e811b8c0641b64958")</f>
        <v>https://auction.openprocurement.org/tenders/557b66e6a614418e811b8c0641b64958</v>
      </c>
      <c r="R527" s="5">
        <v>43096.668108743776</v>
      </c>
      <c r="S527" s="1"/>
      <c r="T527" s="1"/>
      <c r="U527" s="1" t="s">
        <v>1957</v>
      </c>
      <c r="V527" s="5">
        <v>43107.002250613128</v>
      </c>
      <c r="W527" s="1"/>
      <c r="X527" s="1"/>
      <c r="Y527" s="1"/>
      <c r="Z527" s="4">
        <v>43131</v>
      </c>
      <c r="AA527" s="1"/>
      <c r="AB527" s="1"/>
      <c r="AC527" s="1"/>
      <c r="AD527" s="1"/>
    </row>
    <row r="528" spans="1:30" hidden="1" x14ac:dyDescent="0.25">
      <c r="A528" s="1" t="s">
        <v>21</v>
      </c>
      <c r="B528" s="1" t="s">
        <v>790</v>
      </c>
      <c r="C528" s="1" t="s">
        <v>1157</v>
      </c>
      <c r="D528" s="4">
        <v>43075</v>
      </c>
      <c r="E528" s="6">
        <v>65985.98</v>
      </c>
      <c r="F528" s="6"/>
      <c r="G528" s="6">
        <v>65985.98</v>
      </c>
      <c r="H528" s="1"/>
      <c r="I528" s="1"/>
      <c r="J528" s="1"/>
      <c r="K528" s="1" t="s">
        <v>20</v>
      </c>
      <c r="L528" s="1" t="s">
        <v>585</v>
      </c>
      <c r="M528" s="1"/>
      <c r="N528" s="1" t="s">
        <v>308</v>
      </c>
      <c r="O528" s="1"/>
      <c r="P528" s="1"/>
      <c r="Q528" s="2"/>
      <c r="R528" s="1"/>
      <c r="S528" s="1"/>
      <c r="T528" s="1"/>
      <c r="U528" s="1" t="s">
        <v>1956</v>
      </c>
      <c r="V528" s="5">
        <v>43075.761391644395</v>
      </c>
      <c r="W528" s="1" t="s">
        <v>341</v>
      </c>
      <c r="X528" s="6">
        <v>65985.98</v>
      </c>
      <c r="Y528" s="4">
        <v>43075</v>
      </c>
      <c r="Z528" s="4">
        <v>43133</v>
      </c>
      <c r="AA528" s="5">
        <v>43132</v>
      </c>
      <c r="AB528" s="1" t="s">
        <v>1971</v>
      </c>
      <c r="AC528" s="1"/>
      <c r="AD528" s="1" t="s">
        <v>1168</v>
      </c>
    </row>
    <row r="529" spans="1:30" hidden="1" x14ac:dyDescent="0.25">
      <c r="A529" s="1" t="s">
        <v>1607</v>
      </c>
      <c r="B529" s="1" t="s">
        <v>394</v>
      </c>
      <c r="C529" s="1" t="s">
        <v>1147</v>
      </c>
      <c r="D529" s="4">
        <v>43073</v>
      </c>
      <c r="E529" s="6">
        <v>65000</v>
      </c>
      <c r="F529" s="6"/>
      <c r="G529" s="6">
        <v>65000</v>
      </c>
      <c r="H529" s="1" t="s">
        <v>1133</v>
      </c>
      <c r="I529" s="1"/>
      <c r="J529" s="1"/>
      <c r="K529" s="1" t="s">
        <v>1133</v>
      </c>
      <c r="L529" s="1" t="s">
        <v>588</v>
      </c>
      <c r="M529" s="1" t="s">
        <v>960</v>
      </c>
      <c r="N529" s="1" t="s">
        <v>113</v>
      </c>
      <c r="O529" s="1"/>
      <c r="P529" s="1"/>
      <c r="Q529" s="2"/>
      <c r="R529" s="5">
        <v>43082.685771965924</v>
      </c>
      <c r="S529" s="4">
        <v>43084</v>
      </c>
      <c r="T529" s="4">
        <v>43106</v>
      </c>
      <c r="U529" s="1" t="s">
        <v>1956</v>
      </c>
      <c r="V529" s="5">
        <v>43087.593170315216</v>
      </c>
      <c r="W529" s="1" t="s">
        <v>806</v>
      </c>
      <c r="X529" s="6">
        <v>65000</v>
      </c>
      <c r="Y529" s="1"/>
      <c r="Z529" s="4">
        <v>43098</v>
      </c>
      <c r="AA529" s="5">
        <v>43100</v>
      </c>
      <c r="AB529" s="1" t="s">
        <v>1971</v>
      </c>
      <c r="AC529" s="1"/>
      <c r="AD529" s="1" t="s">
        <v>1168</v>
      </c>
    </row>
    <row r="530" spans="1:30" hidden="1" x14ac:dyDescent="0.25">
      <c r="A530" s="1" t="s">
        <v>1072</v>
      </c>
      <c r="B530" s="1" t="s">
        <v>741</v>
      </c>
      <c r="C530" s="1" t="s">
        <v>1147</v>
      </c>
      <c r="D530" s="4">
        <v>43069</v>
      </c>
      <c r="E530" s="6">
        <v>10161.530000000001</v>
      </c>
      <c r="F530" s="6"/>
      <c r="G530" s="6">
        <v>161.29412698412699</v>
      </c>
      <c r="H530" s="1" t="s">
        <v>1028</v>
      </c>
      <c r="I530" s="6">
        <v>1838.4699999999993</v>
      </c>
      <c r="J530" s="6">
        <v>0.15320583333333329</v>
      </c>
      <c r="K530" s="1" t="s">
        <v>1028</v>
      </c>
      <c r="L530" s="1" t="s">
        <v>644</v>
      </c>
      <c r="M530" s="1" t="s">
        <v>980</v>
      </c>
      <c r="N530" s="1" t="s">
        <v>46</v>
      </c>
      <c r="O530" s="6">
        <v>1838.4699999999993</v>
      </c>
      <c r="P530" s="6">
        <v>0.15320583333333329</v>
      </c>
      <c r="Q530" s="2"/>
      <c r="R530" s="5">
        <v>43076.671758251097</v>
      </c>
      <c r="S530" s="4">
        <v>43080</v>
      </c>
      <c r="T530" s="4">
        <v>43104</v>
      </c>
      <c r="U530" s="1" t="s">
        <v>1956</v>
      </c>
      <c r="V530" s="5">
        <v>43080.703719546931</v>
      </c>
      <c r="W530" s="1" t="s">
        <v>1952</v>
      </c>
      <c r="X530" s="6">
        <v>10161.530000000001</v>
      </c>
      <c r="Y530" s="1"/>
      <c r="Z530" s="4">
        <v>43084</v>
      </c>
      <c r="AA530" s="5">
        <v>43100</v>
      </c>
      <c r="AB530" s="1" t="s">
        <v>1971</v>
      </c>
      <c r="AC530" s="1"/>
      <c r="AD530" s="1" t="s">
        <v>1168</v>
      </c>
    </row>
    <row r="531" spans="1:30" hidden="1" x14ac:dyDescent="0.25">
      <c r="A531" s="1" t="s">
        <v>1182</v>
      </c>
      <c r="B531" s="1" t="s">
        <v>737</v>
      </c>
      <c r="C531" s="1" t="s">
        <v>1147</v>
      </c>
      <c r="D531" s="4">
        <v>43068</v>
      </c>
      <c r="E531" s="6">
        <v>109916</v>
      </c>
      <c r="F531" s="6"/>
      <c r="G531" s="6">
        <v>670.21951219512198</v>
      </c>
      <c r="H531" s="1" t="s">
        <v>1866</v>
      </c>
      <c r="I531" s="6">
        <v>9084</v>
      </c>
      <c r="J531" s="6">
        <v>7.6336134453781512E-2</v>
      </c>
      <c r="K531" s="1" t="s">
        <v>1829</v>
      </c>
      <c r="L531" s="1" t="s">
        <v>488</v>
      </c>
      <c r="M531" s="1" t="s">
        <v>895</v>
      </c>
      <c r="N531" s="1" t="s">
        <v>43</v>
      </c>
      <c r="O531" s="6">
        <v>3077.7400000000052</v>
      </c>
      <c r="P531" s="6">
        <v>2.5863361344537858E-2</v>
      </c>
      <c r="Q531" s="2" t="str">
        <f>HYPERLINK("https://auction.openprocurement.org/tenders/2aeeff6cb4414b9b8876bbee1836a5c3")</f>
        <v>https://auction.openprocurement.org/tenders/2aeeff6cb4414b9b8876bbee1836a5c3</v>
      </c>
      <c r="R531" s="5">
        <v>43076.732530561319</v>
      </c>
      <c r="S531" s="4">
        <v>43080</v>
      </c>
      <c r="T531" s="4">
        <v>43103</v>
      </c>
      <c r="U531" s="1" t="s">
        <v>1956</v>
      </c>
      <c r="V531" s="5">
        <v>43080.736686210796</v>
      </c>
      <c r="W531" s="1" t="s">
        <v>1952</v>
      </c>
      <c r="X531" s="6">
        <v>115922.26</v>
      </c>
      <c r="Y531" s="1"/>
      <c r="Z531" s="4">
        <v>43084</v>
      </c>
      <c r="AA531" s="5">
        <v>43100</v>
      </c>
      <c r="AB531" s="1" t="s">
        <v>1971</v>
      </c>
      <c r="AC531" s="1"/>
      <c r="AD531" s="1" t="s">
        <v>1168</v>
      </c>
    </row>
    <row r="532" spans="1:30" hidden="1" x14ac:dyDescent="0.25">
      <c r="A532" s="1" t="s">
        <v>1436</v>
      </c>
      <c r="B532" s="1" t="s">
        <v>795</v>
      </c>
      <c r="C532" s="1" t="s">
        <v>1147</v>
      </c>
      <c r="D532" s="4">
        <v>43068</v>
      </c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2"/>
      <c r="R532" s="1"/>
      <c r="S532" s="1"/>
      <c r="T532" s="1"/>
      <c r="U532" s="1" t="s">
        <v>1972</v>
      </c>
      <c r="V532" s="5">
        <v>43075.401015239571</v>
      </c>
      <c r="W532" s="1"/>
      <c r="X532" s="1"/>
      <c r="Y532" s="1"/>
      <c r="Z532" s="4">
        <v>43084</v>
      </c>
      <c r="AA532" s="1"/>
      <c r="AB532" s="1"/>
      <c r="AC532" s="1" t="s">
        <v>1803</v>
      </c>
      <c r="AD532" s="1"/>
    </row>
    <row r="533" spans="1:30" hidden="1" x14ac:dyDescent="0.25">
      <c r="A533" s="1" t="s">
        <v>1077</v>
      </c>
      <c r="B533" s="1" t="s">
        <v>733</v>
      </c>
      <c r="C533" s="1" t="s">
        <v>1081</v>
      </c>
      <c r="D533" s="4">
        <v>43068</v>
      </c>
      <c r="E533" s="6">
        <v>39900</v>
      </c>
      <c r="F533" s="6"/>
      <c r="G533" s="6">
        <v>19950</v>
      </c>
      <c r="H533" s="1" t="s">
        <v>1701</v>
      </c>
      <c r="I533" s="6">
        <v>100</v>
      </c>
      <c r="J533" s="6">
        <v>2.5000000000000001E-3</v>
      </c>
      <c r="K533" s="1" t="s">
        <v>1701</v>
      </c>
      <c r="L533" s="1" t="s">
        <v>559</v>
      </c>
      <c r="M533" s="1" t="s">
        <v>856</v>
      </c>
      <c r="N533" s="1" t="s">
        <v>76</v>
      </c>
      <c r="O533" s="6">
        <v>100</v>
      </c>
      <c r="P533" s="6">
        <v>2.5000000000000001E-3</v>
      </c>
      <c r="Q533" s="2" t="str">
        <f>HYPERLINK("https://auction.openprocurement.org/tenders/890a51374e874eb9b1243964a9315ee3")</f>
        <v>https://auction.openprocurement.org/tenders/890a51374e874eb9b1243964a9315ee3</v>
      </c>
      <c r="R533" s="5">
        <v>43087.410631377905</v>
      </c>
      <c r="S533" s="4">
        <v>43098</v>
      </c>
      <c r="T533" s="4">
        <v>43108</v>
      </c>
      <c r="U533" s="1" t="s">
        <v>1956</v>
      </c>
      <c r="V533" s="5">
        <v>43098.401831286203</v>
      </c>
      <c r="W533" s="1" t="s">
        <v>389</v>
      </c>
      <c r="X533" s="6">
        <v>39900</v>
      </c>
      <c r="Y533" s="1"/>
      <c r="Z533" s="4">
        <v>43110</v>
      </c>
      <c r="AA533" s="5">
        <v>43465</v>
      </c>
      <c r="AB533" s="1" t="s">
        <v>1971</v>
      </c>
      <c r="AC533" s="1"/>
      <c r="AD533" s="1" t="s">
        <v>1168</v>
      </c>
    </row>
    <row r="534" spans="1:30" hidden="1" x14ac:dyDescent="0.25">
      <c r="A534" s="1" t="s">
        <v>1286</v>
      </c>
      <c r="B534" s="1" t="s">
        <v>681</v>
      </c>
      <c r="C534" s="1" t="s">
        <v>1081</v>
      </c>
      <c r="D534" s="4">
        <v>43067</v>
      </c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2"/>
      <c r="R534" s="1"/>
      <c r="S534" s="1"/>
      <c r="T534" s="1"/>
      <c r="U534" s="1" t="s">
        <v>1957</v>
      </c>
      <c r="V534" s="5">
        <v>43082.467456283797</v>
      </c>
      <c r="W534" s="1"/>
      <c r="X534" s="1"/>
      <c r="Y534" s="1"/>
      <c r="Z534" s="4">
        <v>43105</v>
      </c>
      <c r="AA534" s="1"/>
      <c r="AB534" s="1"/>
      <c r="AC534" s="1"/>
      <c r="AD534" s="1"/>
    </row>
    <row r="535" spans="1:30" hidden="1" x14ac:dyDescent="0.25">
      <c r="A535" s="1" t="s">
        <v>1812</v>
      </c>
      <c r="B535" s="1" t="s">
        <v>609</v>
      </c>
      <c r="C535" s="1" t="s">
        <v>1081</v>
      </c>
      <c r="D535" s="4">
        <v>43063</v>
      </c>
      <c r="E535" s="6">
        <v>59160</v>
      </c>
      <c r="F535" s="6"/>
      <c r="G535" s="6">
        <v>4930</v>
      </c>
      <c r="H535" s="1" t="s">
        <v>1774</v>
      </c>
      <c r="I535" s="6">
        <v>240</v>
      </c>
      <c r="J535" s="6">
        <v>4.0404040404040404E-3</v>
      </c>
      <c r="K535" s="1" t="s">
        <v>1774</v>
      </c>
      <c r="L535" s="1" t="s">
        <v>377</v>
      </c>
      <c r="M535" s="1" t="s">
        <v>922</v>
      </c>
      <c r="N535" s="1" t="s">
        <v>51</v>
      </c>
      <c r="O535" s="6">
        <v>240</v>
      </c>
      <c r="P535" s="6">
        <v>4.0404040404040404E-3</v>
      </c>
      <c r="Q535" s="2" t="str">
        <f>HYPERLINK("https://auction.openprocurement.org/tenders/b79b1d6a3f2d47cda99d2b2f59c22d3c")</f>
        <v>https://auction.openprocurement.org/tenders/b79b1d6a3f2d47cda99d2b2f59c22d3c</v>
      </c>
      <c r="R535" s="5">
        <v>43081.429431958728</v>
      </c>
      <c r="S535" s="4">
        <v>43092</v>
      </c>
      <c r="T535" s="4">
        <v>43102</v>
      </c>
      <c r="U535" s="1" t="s">
        <v>1956</v>
      </c>
      <c r="V535" s="5">
        <v>43095.465102957336</v>
      </c>
      <c r="W535" s="1" t="s">
        <v>1952</v>
      </c>
      <c r="X535" s="6">
        <v>59160</v>
      </c>
      <c r="Y535" s="1"/>
      <c r="Z535" s="4">
        <v>43099</v>
      </c>
      <c r="AA535" s="5">
        <v>43100</v>
      </c>
      <c r="AB535" s="1" t="s">
        <v>1971</v>
      </c>
      <c r="AC535" s="1"/>
      <c r="AD535" s="1" t="s">
        <v>1168</v>
      </c>
    </row>
    <row r="536" spans="1:30" hidden="1" x14ac:dyDescent="0.25">
      <c r="A536" s="1" t="s">
        <v>1220</v>
      </c>
      <c r="B536" s="1" t="s">
        <v>660</v>
      </c>
      <c r="C536" s="1" t="s">
        <v>1081</v>
      </c>
      <c r="D536" s="4">
        <v>43063</v>
      </c>
      <c r="E536" s="6">
        <v>117600</v>
      </c>
      <c r="F536" s="6"/>
      <c r="G536" s="6">
        <v>9800</v>
      </c>
      <c r="H536" s="1" t="s">
        <v>1774</v>
      </c>
      <c r="I536" s="6">
        <v>1000</v>
      </c>
      <c r="J536" s="6">
        <v>8.4317032040472171E-3</v>
      </c>
      <c r="K536" s="1" t="s">
        <v>1774</v>
      </c>
      <c r="L536" s="1" t="s">
        <v>377</v>
      </c>
      <c r="M536" s="1" t="s">
        <v>922</v>
      </c>
      <c r="N536" s="1" t="s">
        <v>51</v>
      </c>
      <c r="O536" s="6">
        <v>1000</v>
      </c>
      <c r="P536" s="6">
        <v>8.4317032040472171E-3</v>
      </c>
      <c r="Q536" s="2" t="str">
        <f>HYPERLINK("https://auction.openprocurement.org/tenders/8f3478a23a5a47b88b57006b52df4ba6")</f>
        <v>https://auction.openprocurement.org/tenders/8f3478a23a5a47b88b57006b52df4ba6</v>
      </c>
      <c r="R536" s="5">
        <v>43081.430827611148</v>
      </c>
      <c r="S536" s="4">
        <v>43092</v>
      </c>
      <c r="T536" s="4">
        <v>43102</v>
      </c>
      <c r="U536" s="1" t="s">
        <v>1956</v>
      </c>
      <c r="V536" s="5">
        <v>43095.468538104215</v>
      </c>
      <c r="W536" s="1" t="s">
        <v>1952</v>
      </c>
      <c r="X536" s="6">
        <v>117600</v>
      </c>
      <c r="Y536" s="1"/>
      <c r="Z536" s="4">
        <v>43099</v>
      </c>
      <c r="AA536" s="5">
        <v>43100</v>
      </c>
      <c r="AB536" s="1" t="s">
        <v>1971</v>
      </c>
      <c r="AC536" s="1"/>
      <c r="AD536" s="1" t="s">
        <v>1168</v>
      </c>
    </row>
    <row r="537" spans="1:30" hidden="1" x14ac:dyDescent="0.25">
      <c r="A537" s="1" t="s">
        <v>1371</v>
      </c>
      <c r="B537" s="1" t="s">
        <v>810</v>
      </c>
      <c r="C537" s="1" t="s">
        <v>1081</v>
      </c>
      <c r="D537" s="4">
        <v>43062</v>
      </c>
      <c r="E537" s="6">
        <v>543556</v>
      </c>
      <c r="F537" s="6"/>
      <c r="G537" s="6">
        <v>543556</v>
      </c>
      <c r="H537" s="1" t="s">
        <v>1672</v>
      </c>
      <c r="I537" s="6">
        <v>6444</v>
      </c>
      <c r="J537" s="6">
        <v>1.1716363636363636E-2</v>
      </c>
      <c r="K537" s="1"/>
      <c r="L537" s="1"/>
      <c r="M537" s="1"/>
      <c r="N537" s="1"/>
      <c r="O537" s="1"/>
      <c r="P537" s="1"/>
      <c r="Q537" s="2" t="str">
        <f>HYPERLINK("https://auction.openprocurement.org/tenders/43465370f2ae4cb3941c73c7328fa8da")</f>
        <v>https://auction.openprocurement.org/tenders/43465370f2ae4cb3941c73c7328fa8da</v>
      </c>
      <c r="R537" s="5">
        <v>43081.541224549233</v>
      </c>
      <c r="S537" s="1"/>
      <c r="T537" s="1"/>
      <c r="U537" s="1" t="s">
        <v>1957</v>
      </c>
      <c r="V537" s="5">
        <v>43092.000825210984</v>
      </c>
      <c r="W537" s="1"/>
      <c r="X537" s="1"/>
      <c r="Y537" s="1"/>
      <c r="Z537" s="4">
        <v>43159</v>
      </c>
      <c r="AA537" s="1"/>
      <c r="AB537" s="1"/>
      <c r="AC537" s="1"/>
      <c r="AD537" s="1"/>
    </row>
    <row r="538" spans="1:30" hidden="1" x14ac:dyDescent="0.25">
      <c r="A538" s="1" t="s">
        <v>1078</v>
      </c>
      <c r="B538" s="1" t="s">
        <v>838</v>
      </c>
      <c r="C538" s="1" t="s">
        <v>1147</v>
      </c>
      <c r="D538" s="4">
        <v>43060</v>
      </c>
      <c r="E538" s="6">
        <v>5200</v>
      </c>
      <c r="F538" s="6"/>
      <c r="G538" s="6">
        <v>5200</v>
      </c>
      <c r="H538" s="1" t="s">
        <v>1844</v>
      </c>
      <c r="I538" s="1"/>
      <c r="J538" s="1"/>
      <c r="K538" s="1" t="s">
        <v>1844</v>
      </c>
      <c r="L538" s="1" t="s">
        <v>457</v>
      </c>
      <c r="M538" s="1" t="s">
        <v>909</v>
      </c>
      <c r="N538" s="1" t="s">
        <v>126</v>
      </c>
      <c r="O538" s="1"/>
      <c r="P538" s="1"/>
      <c r="Q538" s="2"/>
      <c r="R538" s="5">
        <v>43067.397565776089</v>
      </c>
      <c r="S538" s="4">
        <v>43069</v>
      </c>
      <c r="T538" s="4">
        <v>43092</v>
      </c>
      <c r="U538" s="1" t="s">
        <v>1956</v>
      </c>
      <c r="V538" s="5">
        <v>43070.59545822574</v>
      </c>
      <c r="W538" s="1" t="s">
        <v>1952</v>
      </c>
      <c r="X538" s="6">
        <v>5200</v>
      </c>
      <c r="Y538" s="4">
        <v>43077</v>
      </c>
      <c r="Z538" s="4">
        <v>43108</v>
      </c>
      <c r="AA538" s="5">
        <v>43100</v>
      </c>
      <c r="AB538" s="1" t="s">
        <v>1971</v>
      </c>
      <c r="AC538" s="1"/>
      <c r="AD538" s="1" t="s">
        <v>1168</v>
      </c>
    </row>
    <row r="539" spans="1:30" hidden="1" x14ac:dyDescent="0.25">
      <c r="A539" s="1" t="s">
        <v>1620</v>
      </c>
      <c r="B539" s="1" t="s">
        <v>662</v>
      </c>
      <c r="C539" s="1" t="s">
        <v>1147</v>
      </c>
      <c r="D539" s="4">
        <v>43056</v>
      </c>
      <c r="E539" s="6">
        <v>22020</v>
      </c>
      <c r="F539" s="6"/>
      <c r="G539" s="6">
        <v>2752.5</v>
      </c>
      <c r="H539" s="1" t="s">
        <v>1709</v>
      </c>
      <c r="I539" s="6">
        <v>4380</v>
      </c>
      <c r="J539" s="6">
        <v>0.16590909090909092</v>
      </c>
      <c r="K539" s="1" t="s">
        <v>1709</v>
      </c>
      <c r="L539" s="1" t="s">
        <v>614</v>
      </c>
      <c r="M539" s="1" t="s">
        <v>978</v>
      </c>
      <c r="N539" s="1" t="s">
        <v>63</v>
      </c>
      <c r="O539" s="6">
        <v>4380</v>
      </c>
      <c r="P539" s="6">
        <v>0.16590909090909092</v>
      </c>
      <c r="Q539" s="2"/>
      <c r="R539" s="5">
        <v>43066.591481237781</v>
      </c>
      <c r="S539" s="4">
        <v>43068</v>
      </c>
      <c r="T539" s="4">
        <v>43091</v>
      </c>
      <c r="U539" s="1" t="s">
        <v>1956</v>
      </c>
      <c r="V539" s="5">
        <v>43068.63374195822</v>
      </c>
      <c r="W539" s="1" t="s">
        <v>1952</v>
      </c>
      <c r="X539" s="6">
        <v>22020</v>
      </c>
      <c r="Y539" s="1"/>
      <c r="Z539" s="4">
        <v>43089</v>
      </c>
      <c r="AA539" s="5">
        <v>43100</v>
      </c>
      <c r="AB539" s="1" t="s">
        <v>1971</v>
      </c>
      <c r="AC539" s="1"/>
      <c r="AD539" s="1" t="s">
        <v>1168</v>
      </c>
    </row>
    <row r="540" spans="1:30" hidden="1" x14ac:dyDescent="0.25">
      <c r="A540" s="1" t="s">
        <v>1535</v>
      </c>
      <c r="B540" s="1" t="s">
        <v>814</v>
      </c>
      <c r="C540" s="1" t="s">
        <v>1147</v>
      </c>
      <c r="D540" s="4">
        <v>43055</v>
      </c>
      <c r="E540" s="6">
        <v>85590.06</v>
      </c>
      <c r="F540" s="6"/>
      <c r="G540" s="6">
        <v>85590.06</v>
      </c>
      <c r="H540" s="1" t="s">
        <v>1873</v>
      </c>
      <c r="I540" s="6">
        <v>4409.9400000000023</v>
      </c>
      <c r="J540" s="6">
        <v>4.899933333333336E-2</v>
      </c>
      <c r="K540" s="1" t="s">
        <v>1873</v>
      </c>
      <c r="L540" s="1" t="s">
        <v>621</v>
      </c>
      <c r="M540" s="1" t="s">
        <v>971</v>
      </c>
      <c r="N540" s="1" t="s">
        <v>111</v>
      </c>
      <c r="O540" s="6">
        <v>4409.9400000000023</v>
      </c>
      <c r="P540" s="6">
        <v>4.899933333333336E-2</v>
      </c>
      <c r="Q540" s="2" t="str">
        <f>HYPERLINK("https://auction.openprocurement.org/tenders/209c31a7b4c1449a80934dd239958791")</f>
        <v>https://auction.openprocurement.org/tenders/209c31a7b4c1449a80934dd239958791</v>
      </c>
      <c r="R540" s="5">
        <v>43066.423355943654</v>
      </c>
      <c r="S540" s="4">
        <v>43068</v>
      </c>
      <c r="T540" s="4">
        <v>43090</v>
      </c>
      <c r="U540" s="1" t="s">
        <v>1956</v>
      </c>
      <c r="V540" s="5">
        <v>43068.657852522498</v>
      </c>
      <c r="W540" s="1" t="s">
        <v>1952</v>
      </c>
      <c r="X540" s="6">
        <v>85590.06</v>
      </c>
      <c r="Y540" s="4">
        <v>43070</v>
      </c>
      <c r="Z540" s="4">
        <v>43131</v>
      </c>
      <c r="AA540" s="5">
        <v>43465</v>
      </c>
      <c r="AB540" s="1" t="s">
        <v>1971</v>
      </c>
      <c r="AC540" s="1"/>
      <c r="AD540" s="1" t="s">
        <v>1168</v>
      </c>
    </row>
    <row r="541" spans="1:30" hidden="1" x14ac:dyDescent="0.25">
      <c r="A541" s="1" t="s">
        <v>1077</v>
      </c>
      <c r="B541" s="1" t="s">
        <v>733</v>
      </c>
      <c r="C541" s="1" t="s">
        <v>1081</v>
      </c>
      <c r="D541" s="4">
        <v>43055</v>
      </c>
      <c r="E541" s="6">
        <v>24900</v>
      </c>
      <c r="F541" s="6"/>
      <c r="G541" s="6">
        <v>12450</v>
      </c>
      <c r="H541" s="1" t="s">
        <v>1701</v>
      </c>
      <c r="I541" s="6">
        <v>100</v>
      </c>
      <c r="J541" s="6">
        <v>4.0000000000000001E-3</v>
      </c>
      <c r="K541" s="1" t="s">
        <v>1701</v>
      </c>
      <c r="L541" s="1" t="s">
        <v>559</v>
      </c>
      <c r="M541" s="1" t="s">
        <v>856</v>
      </c>
      <c r="N541" s="1" t="s">
        <v>76</v>
      </c>
      <c r="O541" s="6">
        <v>100</v>
      </c>
      <c r="P541" s="6">
        <v>4.0000000000000001E-3</v>
      </c>
      <c r="Q541" s="2" t="str">
        <f>HYPERLINK("https://auction.openprocurement.org/tenders/20d617596e31433e82d14f241d1b9594")</f>
        <v>https://auction.openprocurement.org/tenders/20d617596e31433e82d14f241d1b9594</v>
      </c>
      <c r="R541" s="5">
        <v>43077.429628161415</v>
      </c>
      <c r="S541" s="4">
        <v>43088</v>
      </c>
      <c r="T541" s="4">
        <v>43098</v>
      </c>
      <c r="U541" s="1" t="s">
        <v>1956</v>
      </c>
      <c r="V541" s="5">
        <v>43090.695923085892</v>
      </c>
      <c r="W541" s="1" t="s">
        <v>388</v>
      </c>
      <c r="X541" s="6">
        <v>24900</v>
      </c>
      <c r="Y541" s="1"/>
      <c r="Z541" s="4">
        <v>43094</v>
      </c>
      <c r="AA541" s="5">
        <v>43100</v>
      </c>
      <c r="AB541" s="1" t="s">
        <v>1971</v>
      </c>
      <c r="AC541" s="1"/>
      <c r="AD541" s="1" t="s">
        <v>1168</v>
      </c>
    </row>
    <row r="542" spans="1:30" hidden="1" x14ac:dyDescent="0.25">
      <c r="A542" s="1" t="s">
        <v>1812</v>
      </c>
      <c r="B542" s="1" t="s">
        <v>609</v>
      </c>
      <c r="C542" s="1" t="s">
        <v>1081</v>
      </c>
      <c r="D542" s="4">
        <v>43054</v>
      </c>
      <c r="E542" s="6">
        <v>135000</v>
      </c>
      <c r="F542" s="6"/>
      <c r="G542" s="6">
        <v>2250</v>
      </c>
      <c r="H542" s="1" t="s">
        <v>1770</v>
      </c>
      <c r="I542" s="6">
        <v>2025</v>
      </c>
      <c r="J542" s="6">
        <v>1.4778325123152709E-2</v>
      </c>
      <c r="K542" s="1" t="s">
        <v>1770</v>
      </c>
      <c r="L542" s="1" t="s">
        <v>649</v>
      </c>
      <c r="M542" s="1" t="s">
        <v>952</v>
      </c>
      <c r="N542" s="1" t="s">
        <v>648</v>
      </c>
      <c r="O542" s="6">
        <v>2025</v>
      </c>
      <c r="P542" s="6">
        <v>1.4778325123152709E-2</v>
      </c>
      <c r="Q542" s="2" t="str">
        <f>HYPERLINK("https://auction.openprocurement.org/tenders/21d27bbf517441e0bc3babf5b85bec73")</f>
        <v>https://auction.openprocurement.org/tenders/21d27bbf517441e0bc3babf5b85bec73</v>
      </c>
      <c r="R542" s="5">
        <v>43070.696854163092</v>
      </c>
      <c r="S542" s="4">
        <v>43081</v>
      </c>
      <c r="T542" s="4">
        <v>43091</v>
      </c>
      <c r="U542" s="1" t="s">
        <v>1956</v>
      </c>
      <c r="V542" s="5">
        <v>43081.452053445901</v>
      </c>
      <c r="W542" s="1" t="s">
        <v>442</v>
      </c>
      <c r="X542" s="6">
        <v>135000</v>
      </c>
      <c r="Y542" s="1"/>
      <c r="Z542" s="4">
        <v>43084</v>
      </c>
      <c r="AA542" s="5">
        <v>43100</v>
      </c>
      <c r="AB542" s="1" t="s">
        <v>1971</v>
      </c>
      <c r="AC542" s="1"/>
      <c r="AD542" s="1" t="s">
        <v>1168</v>
      </c>
    </row>
    <row r="543" spans="1:30" hidden="1" x14ac:dyDescent="0.25">
      <c r="A543" s="1" t="s">
        <v>1220</v>
      </c>
      <c r="B543" s="1" t="s">
        <v>660</v>
      </c>
      <c r="C543" s="1" t="s">
        <v>1081</v>
      </c>
      <c r="D543" s="4">
        <v>43054</v>
      </c>
      <c r="E543" s="6">
        <v>134250</v>
      </c>
      <c r="F543" s="6"/>
      <c r="G543" s="6">
        <v>4475</v>
      </c>
      <c r="H543" s="1" t="s">
        <v>1770</v>
      </c>
      <c r="I543" s="6">
        <v>1970</v>
      </c>
      <c r="J543" s="6">
        <v>1.4461899867860813E-2</v>
      </c>
      <c r="K543" s="1" t="s">
        <v>1770</v>
      </c>
      <c r="L543" s="1" t="s">
        <v>649</v>
      </c>
      <c r="M543" s="1" t="s">
        <v>952</v>
      </c>
      <c r="N543" s="1" t="s">
        <v>648</v>
      </c>
      <c r="O543" s="6">
        <v>1970</v>
      </c>
      <c r="P543" s="6">
        <v>1.4461899867860813E-2</v>
      </c>
      <c r="Q543" s="2" t="str">
        <f>HYPERLINK("https://auction.openprocurement.org/tenders/04b8a690818845c090d93fbed83936c9")</f>
        <v>https://auction.openprocurement.org/tenders/04b8a690818845c090d93fbed83936c9</v>
      </c>
      <c r="R543" s="5">
        <v>43070.679546308718</v>
      </c>
      <c r="S543" s="4">
        <v>43081</v>
      </c>
      <c r="T543" s="4">
        <v>43091</v>
      </c>
      <c r="U543" s="1" t="s">
        <v>1956</v>
      </c>
      <c r="V543" s="5">
        <v>43081.455738444318</v>
      </c>
      <c r="W543" s="1" t="s">
        <v>441</v>
      </c>
      <c r="X543" s="6">
        <v>134250</v>
      </c>
      <c r="Y543" s="1"/>
      <c r="Z543" s="4">
        <v>43084</v>
      </c>
      <c r="AA543" s="5">
        <v>43100</v>
      </c>
      <c r="AB543" s="1" t="s">
        <v>1971</v>
      </c>
      <c r="AC543" s="1"/>
      <c r="AD543" s="1" t="s">
        <v>1168</v>
      </c>
    </row>
    <row r="544" spans="1:30" hidden="1" x14ac:dyDescent="0.25">
      <c r="A544" s="1" t="s">
        <v>1211</v>
      </c>
      <c r="B544" s="1" t="s">
        <v>532</v>
      </c>
      <c r="C544" s="1" t="s">
        <v>1147</v>
      </c>
      <c r="D544" s="4">
        <v>43053</v>
      </c>
      <c r="E544" s="6">
        <v>172200</v>
      </c>
      <c r="F544" s="6"/>
      <c r="G544" s="6">
        <v>12300</v>
      </c>
      <c r="H544" s="1" t="s">
        <v>1855</v>
      </c>
      <c r="I544" s="6">
        <v>2800</v>
      </c>
      <c r="J544" s="6">
        <v>1.6E-2</v>
      </c>
      <c r="K544" s="1" t="s">
        <v>1855</v>
      </c>
      <c r="L544" s="1" t="s">
        <v>446</v>
      </c>
      <c r="M544" s="1" t="s">
        <v>918</v>
      </c>
      <c r="N544" s="1" t="s">
        <v>145</v>
      </c>
      <c r="O544" s="6">
        <v>2800</v>
      </c>
      <c r="P544" s="6">
        <v>1.6E-2</v>
      </c>
      <c r="Q544" s="2"/>
      <c r="R544" s="5">
        <v>43062.649306759384</v>
      </c>
      <c r="S544" s="4">
        <v>43066</v>
      </c>
      <c r="T544" s="4">
        <v>43086</v>
      </c>
      <c r="U544" s="1" t="s">
        <v>1956</v>
      </c>
      <c r="V544" s="5">
        <v>43067.727624947984</v>
      </c>
      <c r="W544" s="1" t="s">
        <v>1952</v>
      </c>
      <c r="X544" s="6">
        <v>172200</v>
      </c>
      <c r="Y544" s="1"/>
      <c r="Z544" s="4">
        <v>43079</v>
      </c>
      <c r="AA544" s="5">
        <v>43100</v>
      </c>
      <c r="AB544" s="1" t="s">
        <v>1971</v>
      </c>
      <c r="AC544" s="1"/>
      <c r="AD544" s="1" t="s">
        <v>1168</v>
      </c>
    </row>
    <row r="545" spans="1:30" hidden="1" x14ac:dyDescent="0.25">
      <c r="A545" s="1" t="s">
        <v>1554</v>
      </c>
      <c r="B545" s="1" t="s">
        <v>793</v>
      </c>
      <c r="C545" s="1" t="s">
        <v>1157</v>
      </c>
      <c r="D545" s="4">
        <v>43053</v>
      </c>
      <c r="E545" s="6">
        <v>9706</v>
      </c>
      <c r="F545" s="6"/>
      <c r="G545" s="6">
        <v>9706</v>
      </c>
      <c r="H545" s="1"/>
      <c r="I545" s="1"/>
      <c r="J545" s="1"/>
      <c r="K545" s="1" t="s">
        <v>1907</v>
      </c>
      <c r="L545" s="1" t="s">
        <v>443</v>
      </c>
      <c r="M545" s="1"/>
      <c r="N545" s="1" t="s">
        <v>337</v>
      </c>
      <c r="O545" s="1"/>
      <c r="P545" s="1"/>
      <c r="Q545" s="2"/>
      <c r="R545" s="1"/>
      <c r="S545" s="1"/>
      <c r="T545" s="1"/>
      <c r="U545" s="1" t="s">
        <v>1956</v>
      </c>
      <c r="V545" s="5">
        <v>43053.705143390813</v>
      </c>
      <c r="W545" s="1" t="s">
        <v>348</v>
      </c>
      <c r="X545" s="6">
        <v>9706</v>
      </c>
      <c r="Y545" s="4">
        <v>43052</v>
      </c>
      <c r="Z545" s="4">
        <v>43100</v>
      </c>
      <c r="AA545" s="5">
        <v>43100</v>
      </c>
      <c r="AB545" s="1" t="s">
        <v>1971</v>
      </c>
      <c r="AC545" s="1"/>
      <c r="AD545" s="1" t="s">
        <v>1168</v>
      </c>
    </row>
    <row r="546" spans="1:30" hidden="1" x14ac:dyDescent="0.25">
      <c r="A546" s="1" t="s">
        <v>1556</v>
      </c>
      <c r="B546" s="1" t="s">
        <v>788</v>
      </c>
      <c r="C546" s="1" t="s">
        <v>1157</v>
      </c>
      <c r="D546" s="4">
        <v>43053</v>
      </c>
      <c r="E546" s="6">
        <v>2898</v>
      </c>
      <c r="F546" s="6"/>
      <c r="G546" s="6">
        <v>2898</v>
      </c>
      <c r="H546" s="1"/>
      <c r="I546" s="1"/>
      <c r="J546" s="1"/>
      <c r="K546" s="1" t="s">
        <v>1696</v>
      </c>
      <c r="L546" s="1" t="s">
        <v>616</v>
      </c>
      <c r="M546" s="1"/>
      <c r="N546" s="1" t="s">
        <v>300</v>
      </c>
      <c r="O546" s="1"/>
      <c r="P546" s="1"/>
      <c r="Q546" s="2"/>
      <c r="R546" s="1"/>
      <c r="S546" s="1"/>
      <c r="T546" s="1"/>
      <c r="U546" s="1" t="s">
        <v>1956</v>
      </c>
      <c r="V546" s="5">
        <v>43053.694813040893</v>
      </c>
      <c r="W546" s="1" t="s">
        <v>1952</v>
      </c>
      <c r="X546" s="6">
        <v>2898</v>
      </c>
      <c r="Y546" s="4">
        <v>43052</v>
      </c>
      <c r="Z546" s="4">
        <v>43100</v>
      </c>
      <c r="AA546" s="5">
        <v>43100</v>
      </c>
      <c r="AB546" s="1" t="s">
        <v>1971</v>
      </c>
      <c r="AC546" s="1"/>
      <c r="AD546" s="1" t="s">
        <v>1168</v>
      </c>
    </row>
    <row r="547" spans="1:30" hidden="1" x14ac:dyDescent="0.25">
      <c r="A547" s="1" t="s">
        <v>1540</v>
      </c>
      <c r="B547" s="1" t="s">
        <v>751</v>
      </c>
      <c r="C547" s="1" t="s">
        <v>1157</v>
      </c>
      <c r="D547" s="4">
        <v>43053</v>
      </c>
      <c r="E547" s="6">
        <v>653851</v>
      </c>
      <c r="F547" s="6"/>
      <c r="G547" s="6">
        <v>653851</v>
      </c>
      <c r="H547" s="1"/>
      <c r="I547" s="1"/>
      <c r="J547" s="1"/>
      <c r="K547" s="1" t="s">
        <v>1695</v>
      </c>
      <c r="L547" s="1" t="s">
        <v>616</v>
      </c>
      <c r="M547" s="1"/>
      <c r="N547" s="1" t="s">
        <v>300</v>
      </c>
      <c r="O547" s="1"/>
      <c r="P547" s="1"/>
      <c r="Q547" s="2"/>
      <c r="R547" s="1"/>
      <c r="S547" s="1"/>
      <c r="T547" s="1"/>
      <c r="U547" s="1" t="s">
        <v>1956</v>
      </c>
      <c r="V547" s="5">
        <v>43053.683789669965</v>
      </c>
      <c r="W547" s="1" t="s">
        <v>1952</v>
      </c>
      <c r="X547" s="6">
        <v>653851</v>
      </c>
      <c r="Y547" s="4">
        <v>43052</v>
      </c>
      <c r="Z547" s="4">
        <v>43100</v>
      </c>
      <c r="AA547" s="5">
        <v>43100</v>
      </c>
      <c r="AB547" s="1" t="s">
        <v>1971</v>
      </c>
      <c r="AC547" s="1"/>
      <c r="AD547" s="1" t="s">
        <v>1168</v>
      </c>
    </row>
    <row r="548" spans="1:30" hidden="1" x14ac:dyDescent="0.25">
      <c r="A548" s="1" t="s">
        <v>1606</v>
      </c>
      <c r="B548" s="1" t="s">
        <v>565</v>
      </c>
      <c r="C548" s="1" t="s">
        <v>1147</v>
      </c>
      <c r="D548" s="4">
        <v>43053</v>
      </c>
      <c r="E548" s="6">
        <v>195708.24</v>
      </c>
      <c r="F548" s="6"/>
      <c r="G548" s="6">
        <v>6989.58</v>
      </c>
      <c r="H548" s="1" t="s">
        <v>1633</v>
      </c>
      <c r="I548" s="6">
        <v>3291.7600000000093</v>
      </c>
      <c r="J548" s="6">
        <v>1.6541507537688488E-2</v>
      </c>
      <c r="K548" s="1" t="s">
        <v>1633</v>
      </c>
      <c r="L548" s="1" t="s">
        <v>628</v>
      </c>
      <c r="M548" s="1" t="s">
        <v>866</v>
      </c>
      <c r="N548" s="1" t="s">
        <v>179</v>
      </c>
      <c r="O548" s="6">
        <v>3291.7600000000093</v>
      </c>
      <c r="P548" s="6">
        <v>1.6541507537688488E-2</v>
      </c>
      <c r="Q548" s="2"/>
      <c r="R548" s="5">
        <v>43061.544229684048</v>
      </c>
      <c r="S548" s="4">
        <v>43063</v>
      </c>
      <c r="T548" s="4">
        <v>43086</v>
      </c>
      <c r="U548" s="1" t="s">
        <v>1956</v>
      </c>
      <c r="V548" s="5">
        <v>43070.652629391145</v>
      </c>
      <c r="W548" s="1" t="s">
        <v>206</v>
      </c>
      <c r="X548" s="6">
        <v>195708.24</v>
      </c>
      <c r="Y548" s="1"/>
      <c r="Z548" s="4">
        <v>43070</v>
      </c>
      <c r="AA548" s="5">
        <v>43100</v>
      </c>
      <c r="AB548" s="1" t="s">
        <v>1971</v>
      </c>
      <c r="AC548" s="1"/>
      <c r="AD548" s="1" t="s">
        <v>1168</v>
      </c>
    </row>
    <row r="549" spans="1:30" hidden="1" x14ac:dyDescent="0.25">
      <c r="A549" s="1" t="s">
        <v>1329</v>
      </c>
      <c r="B549" s="1" t="s">
        <v>318</v>
      </c>
      <c r="C549" s="1" t="s">
        <v>1147</v>
      </c>
      <c r="D549" s="4">
        <v>43053</v>
      </c>
      <c r="E549" s="6">
        <v>72810</v>
      </c>
      <c r="F549" s="6"/>
      <c r="G549" s="6">
        <v>24.27</v>
      </c>
      <c r="H549" s="1" t="s">
        <v>1653</v>
      </c>
      <c r="I549" s="6">
        <v>4140</v>
      </c>
      <c r="J549" s="6">
        <v>5.3801169590643273E-2</v>
      </c>
      <c r="K549" s="1" t="s">
        <v>1653</v>
      </c>
      <c r="L549" s="1" t="s">
        <v>707</v>
      </c>
      <c r="M549" s="1" t="s">
        <v>260</v>
      </c>
      <c r="N549" s="1" t="s">
        <v>60</v>
      </c>
      <c r="O549" s="6">
        <v>4140</v>
      </c>
      <c r="P549" s="6">
        <v>5.3801169590643273E-2</v>
      </c>
      <c r="Q549" s="2"/>
      <c r="R549" s="5">
        <v>43061.430752265893</v>
      </c>
      <c r="S549" s="4">
        <v>43063</v>
      </c>
      <c r="T549" s="4">
        <v>43086</v>
      </c>
      <c r="U549" s="1" t="s">
        <v>1956</v>
      </c>
      <c r="V549" s="5">
        <v>43066.496761400078</v>
      </c>
      <c r="W549" s="1" t="s">
        <v>1952</v>
      </c>
      <c r="X549" s="6">
        <v>72810</v>
      </c>
      <c r="Y549" s="1"/>
      <c r="Z549" s="4">
        <v>43070</v>
      </c>
      <c r="AA549" s="5">
        <v>43100</v>
      </c>
      <c r="AB549" s="1" t="s">
        <v>1971</v>
      </c>
      <c r="AC549" s="1"/>
      <c r="AD549" s="1" t="s">
        <v>1168</v>
      </c>
    </row>
    <row r="550" spans="1:30" hidden="1" x14ac:dyDescent="0.25">
      <c r="A550" s="1" t="s">
        <v>1255</v>
      </c>
      <c r="B550" s="1" t="s">
        <v>733</v>
      </c>
      <c r="C550" s="1" t="s">
        <v>1081</v>
      </c>
      <c r="D550" s="4">
        <v>43049</v>
      </c>
      <c r="E550" s="6">
        <v>704000</v>
      </c>
      <c r="F550" s="6"/>
      <c r="G550" s="6">
        <v>44000</v>
      </c>
      <c r="H550" s="1" t="s">
        <v>1703</v>
      </c>
      <c r="I550" s="6">
        <v>6000</v>
      </c>
      <c r="J550" s="6">
        <v>8.4507042253521118E-3</v>
      </c>
      <c r="K550" s="1" t="s">
        <v>1703</v>
      </c>
      <c r="L550" s="1" t="s">
        <v>709</v>
      </c>
      <c r="M550" s="1" t="s">
        <v>937</v>
      </c>
      <c r="N550" s="1" t="s">
        <v>172</v>
      </c>
      <c r="O550" s="6">
        <v>6000</v>
      </c>
      <c r="P550" s="6">
        <v>8.4507042253521118E-3</v>
      </c>
      <c r="Q550" s="2" t="str">
        <f>HYPERLINK("https://auction.openprocurement.org/tenders/59e8767671b749f9abbc9d6ff233567a")</f>
        <v>https://auction.openprocurement.org/tenders/59e8767671b749f9abbc9d6ff233567a</v>
      </c>
      <c r="R550" s="5">
        <v>43067.535720432534</v>
      </c>
      <c r="S550" s="4">
        <v>43078</v>
      </c>
      <c r="T550" s="4">
        <v>43088</v>
      </c>
      <c r="U550" s="1" t="s">
        <v>1956</v>
      </c>
      <c r="V550" s="5">
        <v>43080.579408621692</v>
      </c>
      <c r="W550" s="1" t="s">
        <v>1952</v>
      </c>
      <c r="X550" s="6">
        <v>704000</v>
      </c>
      <c r="Y550" s="1"/>
      <c r="Z550" s="4">
        <v>43084</v>
      </c>
      <c r="AA550" s="5">
        <v>43100</v>
      </c>
      <c r="AB550" s="1" t="s">
        <v>1971</v>
      </c>
      <c r="AC550" s="1"/>
      <c r="AD550" s="1" t="s">
        <v>1168</v>
      </c>
    </row>
    <row r="551" spans="1:30" hidden="1" x14ac:dyDescent="0.25">
      <c r="A551" s="1" t="s">
        <v>1148</v>
      </c>
      <c r="B551" s="1" t="s">
        <v>739</v>
      </c>
      <c r="C551" s="1" t="s">
        <v>1147</v>
      </c>
      <c r="D551" s="4">
        <v>43048</v>
      </c>
      <c r="E551" s="6">
        <v>12400</v>
      </c>
      <c r="F551" s="6"/>
      <c r="G551" s="6">
        <v>3100</v>
      </c>
      <c r="H551" s="1" t="s">
        <v>1910</v>
      </c>
      <c r="I551" s="6">
        <v>6720</v>
      </c>
      <c r="J551" s="6">
        <v>0.35146443514644349</v>
      </c>
      <c r="K551" s="1"/>
      <c r="L551" s="1"/>
      <c r="M551" s="1"/>
      <c r="N551" s="1"/>
      <c r="O551" s="1"/>
      <c r="P551" s="1"/>
      <c r="Q551" s="2" t="str">
        <f>HYPERLINK("https://auction.openprocurement.org/tenders/02ee798f05af4bc88ab16040f8b49925")</f>
        <v>https://auction.openprocurement.org/tenders/02ee798f05af4bc88ab16040f8b49925</v>
      </c>
      <c r="R551" s="1"/>
      <c r="S551" s="1"/>
      <c r="T551" s="1"/>
      <c r="U551" s="1" t="s">
        <v>1972</v>
      </c>
      <c r="V551" s="5">
        <v>43066.488186148286</v>
      </c>
      <c r="W551" s="1"/>
      <c r="X551" s="1"/>
      <c r="Y551" s="1"/>
      <c r="Z551" s="4">
        <v>43084</v>
      </c>
      <c r="AA551" s="1"/>
      <c r="AB551" s="1"/>
      <c r="AC551" s="1" t="s">
        <v>1802</v>
      </c>
      <c r="AD551" s="1"/>
    </row>
    <row r="552" spans="1:30" hidden="1" x14ac:dyDescent="0.25">
      <c r="A552" s="1" t="s">
        <v>1620</v>
      </c>
      <c r="B552" s="1" t="s">
        <v>662</v>
      </c>
      <c r="C552" s="1" t="s">
        <v>1147</v>
      </c>
      <c r="D552" s="4">
        <v>43048</v>
      </c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2"/>
      <c r="R552" s="1"/>
      <c r="S552" s="1"/>
      <c r="T552" s="1"/>
      <c r="U552" s="1" t="s">
        <v>1957</v>
      </c>
      <c r="V552" s="5">
        <v>43056.628230836483</v>
      </c>
      <c r="W552" s="1"/>
      <c r="X552" s="1"/>
      <c r="Y552" s="1"/>
      <c r="Z552" s="4">
        <v>43089</v>
      </c>
      <c r="AA552" s="1"/>
      <c r="AB552" s="1"/>
      <c r="AC552" s="1"/>
      <c r="AD552" s="1"/>
    </row>
    <row r="553" spans="1:30" hidden="1" x14ac:dyDescent="0.25">
      <c r="A553" s="1" t="s">
        <v>1217</v>
      </c>
      <c r="B553" s="1" t="s">
        <v>415</v>
      </c>
      <c r="C553" s="1" t="s">
        <v>1081</v>
      </c>
      <c r="D553" s="4">
        <v>43048</v>
      </c>
      <c r="E553" s="6">
        <v>156000</v>
      </c>
      <c r="F553" s="6"/>
      <c r="G553" s="6">
        <v>6240</v>
      </c>
      <c r="H553" s="1" t="s">
        <v>1663</v>
      </c>
      <c r="I553" s="6">
        <v>7000</v>
      </c>
      <c r="J553" s="6">
        <v>4.2944785276073622E-2</v>
      </c>
      <c r="K553" s="1" t="s">
        <v>1663</v>
      </c>
      <c r="L553" s="1" t="s">
        <v>607</v>
      </c>
      <c r="M553" s="1" t="s">
        <v>855</v>
      </c>
      <c r="N553" s="1" t="s">
        <v>89</v>
      </c>
      <c r="O553" s="6">
        <v>7000</v>
      </c>
      <c r="P553" s="6">
        <v>4.2944785276073622E-2</v>
      </c>
      <c r="Q553" s="2" t="str">
        <f>HYPERLINK("https://auction.openprocurement.org/tenders/92b021df782f4466926f6f94701cdc86")</f>
        <v>https://auction.openprocurement.org/tenders/92b021df782f4466926f6f94701cdc86</v>
      </c>
      <c r="R553" s="5">
        <v>43070.605918112735</v>
      </c>
      <c r="S553" s="4">
        <v>43081</v>
      </c>
      <c r="T553" s="4">
        <v>43091</v>
      </c>
      <c r="U553" s="1" t="s">
        <v>1956</v>
      </c>
      <c r="V553" s="5">
        <v>43081.587221997732</v>
      </c>
      <c r="W553" s="1" t="s">
        <v>801</v>
      </c>
      <c r="X553" s="6">
        <v>156000</v>
      </c>
      <c r="Y553" s="1"/>
      <c r="Z553" s="4">
        <v>43084</v>
      </c>
      <c r="AA553" s="5">
        <v>43100</v>
      </c>
      <c r="AB553" s="1" t="s">
        <v>1971</v>
      </c>
      <c r="AC553" s="1"/>
      <c r="AD553" s="1"/>
    </row>
    <row r="554" spans="1:30" hidden="1" x14ac:dyDescent="0.25">
      <c r="A554" s="1" t="s">
        <v>1197</v>
      </c>
      <c r="B554" s="1" t="s">
        <v>458</v>
      </c>
      <c r="C554" s="1" t="s">
        <v>1147</v>
      </c>
      <c r="D554" s="4">
        <v>43048</v>
      </c>
      <c r="E554" s="6">
        <v>12090</v>
      </c>
      <c r="F554" s="6"/>
      <c r="G554" s="6">
        <v>0.24179999999999999</v>
      </c>
      <c r="H554" s="1" t="s">
        <v>1316</v>
      </c>
      <c r="I554" s="6">
        <v>3910</v>
      </c>
      <c r="J554" s="6">
        <v>0.24437500000000001</v>
      </c>
      <c r="K554" s="1" t="s">
        <v>1661</v>
      </c>
      <c r="L554" s="1" t="s">
        <v>485</v>
      </c>
      <c r="M554" s="1" t="s">
        <v>987</v>
      </c>
      <c r="N554" s="1" t="s">
        <v>119</v>
      </c>
      <c r="O554" s="6">
        <v>3900</v>
      </c>
      <c r="P554" s="6">
        <v>0.24374999999999999</v>
      </c>
      <c r="Q554" s="2" t="str">
        <f>HYPERLINK("https://auction.openprocurement.org/tenders/eb122d218e9a46f2b1bca5380261e72c")</f>
        <v>https://auction.openprocurement.org/tenders/eb122d218e9a46f2b1bca5380261e72c</v>
      </c>
      <c r="R554" s="5">
        <v>43061.502331669923</v>
      </c>
      <c r="S554" s="4">
        <v>43063</v>
      </c>
      <c r="T554" s="4">
        <v>43083</v>
      </c>
      <c r="U554" s="1" t="s">
        <v>1956</v>
      </c>
      <c r="V554" s="5">
        <v>43067.736005862869</v>
      </c>
      <c r="W554" s="1" t="s">
        <v>453</v>
      </c>
      <c r="X554" s="6">
        <v>12100</v>
      </c>
      <c r="Y554" s="1"/>
      <c r="Z554" s="4">
        <v>43070</v>
      </c>
      <c r="AA554" s="5">
        <v>43100</v>
      </c>
      <c r="AB554" s="1" t="s">
        <v>1971</v>
      </c>
      <c r="AC554" s="1"/>
      <c r="AD554" s="1" t="s">
        <v>1168</v>
      </c>
    </row>
    <row r="555" spans="1:30" hidden="1" x14ac:dyDescent="0.25">
      <c r="A555" s="1" t="s">
        <v>1286</v>
      </c>
      <c r="B555" s="1" t="s">
        <v>681</v>
      </c>
      <c r="C555" s="1" t="s">
        <v>1081</v>
      </c>
      <c r="D555" s="4">
        <v>43047</v>
      </c>
      <c r="E555" s="6">
        <v>249500</v>
      </c>
      <c r="F555" s="6"/>
      <c r="G555" s="6">
        <v>8316.6666666666661</v>
      </c>
      <c r="H555" s="1" t="s">
        <v>1857</v>
      </c>
      <c r="I555" s="6">
        <v>5000</v>
      </c>
      <c r="J555" s="6">
        <v>1.9646365422396856E-2</v>
      </c>
      <c r="K555" s="1"/>
      <c r="L555" s="1"/>
      <c r="M555" s="1"/>
      <c r="N555" s="1"/>
      <c r="O555" s="1"/>
      <c r="P555" s="1"/>
      <c r="Q555" s="2" t="str">
        <f>HYPERLINK("https://auction.openprocurement.org/tenders/135220cba6784dd79c03859b491c63ab")</f>
        <v>https://auction.openprocurement.org/tenders/135220cba6784dd79c03859b491c63ab</v>
      </c>
      <c r="R555" s="5">
        <v>43066.698299264608</v>
      </c>
      <c r="S555" s="1"/>
      <c r="T555" s="1"/>
      <c r="U555" s="1" t="s">
        <v>1957</v>
      </c>
      <c r="V555" s="5">
        <v>43077.000432156761</v>
      </c>
      <c r="W555" s="1"/>
      <c r="X555" s="1"/>
      <c r="Y555" s="1"/>
      <c r="Z555" s="4">
        <v>43084</v>
      </c>
      <c r="AA555" s="1"/>
      <c r="AB555" s="1"/>
      <c r="AC555" s="1"/>
      <c r="AD555" s="1"/>
    </row>
    <row r="556" spans="1:30" hidden="1" x14ac:dyDescent="0.25">
      <c r="A556" s="1" t="s">
        <v>1235</v>
      </c>
      <c r="B556" s="1" t="s">
        <v>320</v>
      </c>
      <c r="C556" s="1" t="s">
        <v>1147</v>
      </c>
      <c r="D556" s="4">
        <v>43046</v>
      </c>
      <c r="E556" s="6">
        <v>41940</v>
      </c>
      <c r="F556" s="6"/>
      <c r="G556" s="6">
        <v>149.78571428571428</v>
      </c>
      <c r="H556" s="1" t="s">
        <v>1133</v>
      </c>
      <c r="I556" s="1"/>
      <c r="J556" s="1"/>
      <c r="K556" s="1" t="s">
        <v>1133</v>
      </c>
      <c r="L556" s="1" t="s">
        <v>588</v>
      </c>
      <c r="M556" s="1" t="s">
        <v>960</v>
      </c>
      <c r="N556" s="1" t="s">
        <v>113</v>
      </c>
      <c r="O556" s="1"/>
      <c r="P556" s="1"/>
      <c r="Q556" s="2"/>
      <c r="R556" s="5">
        <v>43055.579259624297</v>
      </c>
      <c r="S556" s="4">
        <v>43059</v>
      </c>
      <c r="T556" s="4">
        <v>43079</v>
      </c>
      <c r="U556" s="1" t="s">
        <v>1956</v>
      </c>
      <c r="V556" s="5">
        <v>43066.494610534108</v>
      </c>
      <c r="W556" s="1" t="s">
        <v>800</v>
      </c>
      <c r="X556" s="6">
        <v>41940</v>
      </c>
      <c r="Y556" s="1"/>
      <c r="Z556" s="4">
        <v>43070</v>
      </c>
      <c r="AA556" s="5">
        <v>43100</v>
      </c>
      <c r="AB556" s="1" t="s">
        <v>1971</v>
      </c>
      <c r="AC556" s="1"/>
      <c r="AD556" s="1" t="s">
        <v>1168</v>
      </c>
    </row>
    <row r="557" spans="1:30" hidden="1" x14ac:dyDescent="0.25">
      <c r="A557" s="1" t="s">
        <v>1937</v>
      </c>
      <c r="B557" s="1" t="s">
        <v>739</v>
      </c>
      <c r="C557" s="1" t="s">
        <v>1147</v>
      </c>
      <c r="D557" s="4">
        <v>43045</v>
      </c>
      <c r="E557" s="6">
        <v>27499.5</v>
      </c>
      <c r="F557" s="6"/>
      <c r="G557" s="6">
        <v>1099.98</v>
      </c>
      <c r="H557" s="1" t="s">
        <v>1629</v>
      </c>
      <c r="I557" s="6">
        <v>2500.5</v>
      </c>
      <c r="J557" s="6">
        <v>8.3349999999999994E-2</v>
      </c>
      <c r="K557" s="1" t="s">
        <v>1629</v>
      </c>
      <c r="L557" s="1" t="s">
        <v>566</v>
      </c>
      <c r="M557" s="1" t="s">
        <v>964</v>
      </c>
      <c r="N557" s="1" t="s">
        <v>57</v>
      </c>
      <c r="O557" s="6">
        <v>2500.5</v>
      </c>
      <c r="P557" s="6">
        <v>8.3349999999999994E-2</v>
      </c>
      <c r="Q557" s="2" t="str">
        <f>HYPERLINK("https://auction.openprocurement.org/tenders/6634ce5c85e94346b504bb99fefdab53")</f>
        <v>https://auction.openprocurement.org/tenders/6634ce5c85e94346b504bb99fefdab53</v>
      </c>
      <c r="R557" s="5">
        <v>43054.445680221688</v>
      </c>
      <c r="S557" s="4">
        <v>43056</v>
      </c>
      <c r="T557" s="4">
        <v>43078</v>
      </c>
      <c r="U557" s="1" t="s">
        <v>1956</v>
      </c>
      <c r="V557" s="5">
        <v>43062.375440017313</v>
      </c>
      <c r="W557" s="1" t="s">
        <v>1952</v>
      </c>
      <c r="X557" s="6">
        <v>27499.5</v>
      </c>
      <c r="Y557" s="1"/>
      <c r="Z557" s="4">
        <v>43084</v>
      </c>
      <c r="AA557" s="5">
        <v>43100</v>
      </c>
      <c r="AB557" s="1" t="s">
        <v>1971</v>
      </c>
      <c r="AC557" s="1"/>
      <c r="AD557" s="1" t="s">
        <v>1168</v>
      </c>
    </row>
    <row r="558" spans="1:30" hidden="1" x14ac:dyDescent="0.25">
      <c r="A558" s="1" t="s">
        <v>1588</v>
      </c>
      <c r="B558" s="1" t="s">
        <v>387</v>
      </c>
      <c r="C558" s="1" t="s">
        <v>1081</v>
      </c>
      <c r="D558" s="4">
        <v>43045</v>
      </c>
      <c r="E558" s="6">
        <v>477477</v>
      </c>
      <c r="F558" s="6"/>
      <c r="G558" s="6">
        <v>34105.5</v>
      </c>
      <c r="H558" s="1" t="s">
        <v>1133</v>
      </c>
      <c r="I558" s="6">
        <v>8635</v>
      </c>
      <c r="J558" s="6">
        <v>1.7763396089790006E-2</v>
      </c>
      <c r="K558" s="1" t="s">
        <v>1133</v>
      </c>
      <c r="L558" s="1" t="s">
        <v>588</v>
      </c>
      <c r="M558" s="1" t="s">
        <v>960</v>
      </c>
      <c r="N558" s="1" t="s">
        <v>113</v>
      </c>
      <c r="O558" s="6">
        <v>8635</v>
      </c>
      <c r="P558" s="6">
        <v>1.7763396089790006E-2</v>
      </c>
      <c r="Q558" s="2" t="str">
        <f>HYPERLINK("https://auction.openprocurement.org/tenders/2f02f574d04748f2add6c34541a01e19")</f>
        <v>https://auction.openprocurement.org/tenders/2f02f574d04748f2add6c34541a01e19</v>
      </c>
      <c r="R558" s="5">
        <v>43068.472804590252</v>
      </c>
      <c r="S558" s="4">
        <v>43079</v>
      </c>
      <c r="T558" s="4">
        <v>43089</v>
      </c>
      <c r="U558" s="1" t="s">
        <v>1956</v>
      </c>
      <c r="V558" s="5">
        <v>43080.458820520857</v>
      </c>
      <c r="W558" s="1" t="s">
        <v>805</v>
      </c>
      <c r="X558" s="6">
        <v>477477</v>
      </c>
      <c r="Y558" s="1"/>
      <c r="Z558" s="4">
        <v>43089</v>
      </c>
      <c r="AA558" s="5">
        <v>43100</v>
      </c>
      <c r="AB558" s="1" t="s">
        <v>1971</v>
      </c>
      <c r="AC558" s="1"/>
      <c r="AD558" s="1" t="s">
        <v>1168</v>
      </c>
    </row>
    <row r="559" spans="1:30" hidden="1" x14ac:dyDescent="0.25">
      <c r="A559" s="1" t="s">
        <v>1216</v>
      </c>
      <c r="B559" s="1" t="s">
        <v>391</v>
      </c>
      <c r="C559" s="1" t="s">
        <v>1081</v>
      </c>
      <c r="D559" s="4">
        <v>43045</v>
      </c>
      <c r="E559" s="6">
        <v>217046</v>
      </c>
      <c r="F559" s="6"/>
      <c r="G559" s="6">
        <v>19731.454545454544</v>
      </c>
      <c r="H559" s="1" t="s">
        <v>1133</v>
      </c>
      <c r="I559" s="6">
        <v>5654</v>
      </c>
      <c r="J559" s="6">
        <v>2.5388414907947913E-2</v>
      </c>
      <c r="K559" s="1" t="s">
        <v>1133</v>
      </c>
      <c r="L559" s="1" t="s">
        <v>588</v>
      </c>
      <c r="M559" s="1" t="s">
        <v>960</v>
      </c>
      <c r="N559" s="1" t="s">
        <v>113</v>
      </c>
      <c r="O559" s="6">
        <v>5654</v>
      </c>
      <c r="P559" s="6">
        <v>2.5388414907947913E-2</v>
      </c>
      <c r="Q559" s="2" t="str">
        <f>HYPERLINK("https://auction.openprocurement.org/tenders/8fd2bb5a31bd484d92f5f4415fab115c")</f>
        <v>https://auction.openprocurement.org/tenders/8fd2bb5a31bd484d92f5f4415fab115c</v>
      </c>
      <c r="R559" s="5">
        <v>43068.47575129645</v>
      </c>
      <c r="S559" s="4">
        <v>43079</v>
      </c>
      <c r="T559" s="4">
        <v>43089</v>
      </c>
      <c r="U559" s="1" t="s">
        <v>1956</v>
      </c>
      <c r="V559" s="5">
        <v>43080.4567935081</v>
      </c>
      <c r="W559" s="1" t="s">
        <v>804</v>
      </c>
      <c r="X559" s="6">
        <v>217046</v>
      </c>
      <c r="Y559" s="1"/>
      <c r="Z559" s="4">
        <v>43089</v>
      </c>
      <c r="AA559" s="5">
        <v>43100</v>
      </c>
      <c r="AB559" s="1" t="s">
        <v>1971</v>
      </c>
      <c r="AC559" s="1"/>
      <c r="AD559" s="1" t="s">
        <v>1168</v>
      </c>
    </row>
    <row r="560" spans="1:30" hidden="1" x14ac:dyDescent="0.25">
      <c r="A560" s="1" t="s">
        <v>1091</v>
      </c>
      <c r="B560" s="1" t="s">
        <v>545</v>
      </c>
      <c r="C560" s="1" t="s">
        <v>1081</v>
      </c>
      <c r="D560" s="4">
        <v>43045</v>
      </c>
      <c r="E560" s="6">
        <v>493244</v>
      </c>
      <c r="F560" s="6"/>
      <c r="G560" s="6">
        <v>123311</v>
      </c>
      <c r="H560" s="1" t="s">
        <v>1133</v>
      </c>
      <c r="I560" s="6">
        <v>6356</v>
      </c>
      <c r="J560" s="6">
        <v>1.2722177742193756E-2</v>
      </c>
      <c r="K560" s="1" t="s">
        <v>1133</v>
      </c>
      <c r="L560" s="1" t="s">
        <v>588</v>
      </c>
      <c r="M560" s="1" t="s">
        <v>960</v>
      </c>
      <c r="N560" s="1" t="s">
        <v>113</v>
      </c>
      <c r="O560" s="6">
        <v>6356</v>
      </c>
      <c r="P560" s="6">
        <v>1.2722177742193756E-2</v>
      </c>
      <c r="Q560" s="2" t="str">
        <f>HYPERLINK("https://auction.openprocurement.org/tenders/ff212f19b91a47ec99f13883cf6c9e01")</f>
        <v>https://auction.openprocurement.org/tenders/ff212f19b91a47ec99f13883cf6c9e01</v>
      </c>
      <c r="R560" s="5">
        <v>43067.415661171122</v>
      </c>
      <c r="S560" s="4">
        <v>43078</v>
      </c>
      <c r="T560" s="4">
        <v>43088</v>
      </c>
      <c r="U560" s="1" t="s">
        <v>1956</v>
      </c>
      <c r="V560" s="5">
        <v>43080.454745133713</v>
      </c>
      <c r="W560" s="1" t="s">
        <v>803</v>
      </c>
      <c r="X560" s="6">
        <v>493244</v>
      </c>
      <c r="Y560" s="1"/>
      <c r="Z560" s="4">
        <v>43084</v>
      </c>
      <c r="AA560" s="5">
        <v>43100</v>
      </c>
      <c r="AB560" s="1" t="s">
        <v>1971</v>
      </c>
      <c r="AC560" s="1"/>
      <c r="AD560" s="1"/>
    </row>
    <row r="561" spans="1:30" hidden="1" x14ac:dyDescent="0.25">
      <c r="A561" s="1" t="s">
        <v>1022</v>
      </c>
      <c r="B561" s="1" t="s">
        <v>739</v>
      </c>
      <c r="C561" s="1" t="s">
        <v>1147</v>
      </c>
      <c r="D561" s="4">
        <v>43042</v>
      </c>
      <c r="E561" s="6">
        <v>27720</v>
      </c>
      <c r="F561" s="6"/>
      <c r="G561" s="6">
        <v>282.85714285714283</v>
      </c>
      <c r="H561" s="1" t="s">
        <v>1887</v>
      </c>
      <c r="I561" s="6">
        <v>12280</v>
      </c>
      <c r="J561" s="6">
        <v>0.307</v>
      </c>
      <c r="K561" s="1" t="s">
        <v>1661</v>
      </c>
      <c r="L561" s="1" t="s">
        <v>485</v>
      </c>
      <c r="M561" s="1" t="s">
        <v>987</v>
      </c>
      <c r="N561" s="1" t="s">
        <v>119</v>
      </c>
      <c r="O561" s="6">
        <v>1700</v>
      </c>
      <c r="P561" s="6">
        <v>4.2500000000000003E-2</v>
      </c>
      <c r="Q561" s="2" t="str">
        <f>HYPERLINK("https://auction.openprocurement.org/tenders/07ab3e840da942f4827c1403c132b006")</f>
        <v>https://auction.openprocurement.org/tenders/07ab3e840da942f4827c1403c132b006</v>
      </c>
      <c r="R561" s="5">
        <v>43055.450625027654</v>
      </c>
      <c r="S561" s="4">
        <v>43059</v>
      </c>
      <c r="T561" s="4">
        <v>43077</v>
      </c>
      <c r="U561" s="1" t="s">
        <v>1956</v>
      </c>
      <c r="V561" s="5">
        <v>43067.55805670163</v>
      </c>
      <c r="W561" s="1" t="s">
        <v>386</v>
      </c>
      <c r="X561" s="6">
        <v>38300</v>
      </c>
      <c r="Y561" s="1"/>
      <c r="Z561" s="4">
        <v>43070</v>
      </c>
      <c r="AA561" s="5">
        <v>43100</v>
      </c>
      <c r="AB561" s="1" t="s">
        <v>1971</v>
      </c>
      <c r="AC561" s="1"/>
      <c r="AD561" s="1" t="s">
        <v>1168</v>
      </c>
    </row>
    <row r="562" spans="1:30" hidden="1" x14ac:dyDescent="0.25">
      <c r="A562" s="1" t="s">
        <v>1371</v>
      </c>
      <c r="B562" s="1" t="s">
        <v>810</v>
      </c>
      <c r="C562" s="1" t="s">
        <v>1081</v>
      </c>
      <c r="D562" s="4">
        <v>43042</v>
      </c>
      <c r="E562" s="6">
        <v>543556.17000000004</v>
      </c>
      <c r="F562" s="6"/>
      <c r="G562" s="6">
        <v>543556.17000000004</v>
      </c>
      <c r="H562" s="1" t="s">
        <v>1672</v>
      </c>
      <c r="I562" s="6">
        <v>6443.8299999999581</v>
      </c>
      <c r="J562" s="6">
        <v>1.171605454545447E-2</v>
      </c>
      <c r="K562" s="1"/>
      <c r="L562" s="1"/>
      <c r="M562" s="1"/>
      <c r="N562" s="1"/>
      <c r="O562" s="1"/>
      <c r="P562" s="1"/>
      <c r="Q562" s="2" t="str">
        <f>HYPERLINK("https://auction.openprocurement.org/tenders/a2c96f3193d24bb2823f62248b2aa9d1")</f>
        <v>https://auction.openprocurement.org/tenders/a2c96f3193d24bb2823f62248b2aa9d1</v>
      </c>
      <c r="R562" s="5">
        <v>43060.543964907745</v>
      </c>
      <c r="S562" s="1"/>
      <c r="T562" s="1"/>
      <c r="U562" s="1" t="s">
        <v>1957</v>
      </c>
      <c r="V562" s="5">
        <v>43071.002251787133</v>
      </c>
      <c r="W562" s="1"/>
      <c r="X562" s="1"/>
      <c r="Y562" s="1"/>
      <c r="Z562" s="4">
        <v>43100</v>
      </c>
      <c r="AA562" s="1"/>
      <c r="AB562" s="1"/>
      <c r="AC562" s="1"/>
      <c r="AD562" s="1"/>
    </row>
    <row r="563" spans="1:30" hidden="1" x14ac:dyDescent="0.25">
      <c r="A563" s="1" t="s">
        <v>1778</v>
      </c>
      <c r="B563" s="1" t="s">
        <v>395</v>
      </c>
      <c r="C563" s="1" t="s">
        <v>1081</v>
      </c>
      <c r="D563" s="4">
        <v>43041</v>
      </c>
      <c r="E563" s="6">
        <v>357500</v>
      </c>
      <c r="F563" s="6"/>
      <c r="G563" s="6">
        <v>357500</v>
      </c>
      <c r="H563" s="1" t="s">
        <v>1133</v>
      </c>
      <c r="I563" s="6">
        <v>7930</v>
      </c>
      <c r="J563" s="6">
        <v>2.1700462468872288E-2</v>
      </c>
      <c r="K563" s="1" t="s">
        <v>1133</v>
      </c>
      <c r="L563" s="1" t="s">
        <v>588</v>
      </c>
      <c r="M563" s="1" t="s">
        <v>960</v>
      </c>
      <c r="N563" s="1" t="s">
        <v>113</v>
      </c>
      <c r="O563" s="6">
        <v>7930</v>
      </c>
      <c r="P563" s="6">
        <v>2.1700462468872288E-2</v>
      </c>
      <c r="Q563" s="2" t="str">
        <f>HYPERLINK("https://auction.openprocurement.org/tenders/9378f22451c641c49464619e3878d81c")</f>
        <v>https://auction.openprocurement.org/tenders/9378f22451c641c49464619e3878d81c</v>
      </c>
      <c r="R563" s="5">
        <v>43066.417029417949</v>
      </c>
      <c r="S563" s="4">
        <v>43077</v>
      </c>
      <c r="T563" s="4">
        <v>43087</v>
      </c>
      <c r="U563" s="1" t="s">
        <v>1956</v>
      </c>
      <c r="V563" s="5">
        <v>43077.65737575513</v>
      </c>
      <c r="W563" s="1" t="s">
        <v>802</v>
      </c>
      <c r="X563" s="6">
        <v>357500</v>
      </c>
      <c r="Y563" s="1"/>
      <c r="Z563" s="4">
        <v>43079</v>
      </c>
      <c r="AA563" s="5">
        <v>43100</v>
      </c>
      <c r="AB563" s="1" t="s">
        <v>1971</v>
      </c>
      <c r="AC563" s="1"/>
      <c r="AD563" s="1" t="s">
        <v>1168</v>
      </c>
    </row>
    <row r="564" spans="1:30" hidden="1" x14ac:dyDescent="0.25">
      <c r="A564" s="1" t="s">
        <v>1495</v>
      </c>
      <c r="B564" s="1" t="s">
        <v>748</v>
      </c>
      <c r="C564" s="1" t="s">
        <v>1081</v>
      </c>
      <c r="D564" s="4">
        <v>43040</v>
      </c>
      <c r="E564" s="6">
        <v>850000</v>
      </c>
      <c r="F564" s="6"/>
      <c r="G564" s="6">
        <v>850000</v>
      </c>
      <c r="H564" s="1" t="s">
        <v>1631</v>
      </c>
      <c r="I564" s="6">
        <v>50000</v>
      </c>
      <c r="J564" s="6">
        <v>5.5555555555555552E-2</v>
      </c>
      <c r="K564" s="1" t="s">
        <v>1631</v>
      </c>
      <c r="L564" s="1" t="s">
        <v>693</v>
      </c>
      <c r="M564" s="1" t="s">
        <v>975</v>
      </c>
      <c r="N564" s="1" t="s">
        <v>176</v>
      </c>
      <c r="O564" s="6">
        <v>50000</v>
      </c>
      <c r="P564" s="6">
        <v>5.5555555555555552E-2</v>
      </c>
      <c r="Q564" s="2" t="str">
        <f>HYPERLINK("https://auction.openprocurement.org/tenders/c92e1ffad73643c0bc549cdecafe88bf")</f>
        <v>https://auction.openprocurement.org/tenders/c92e1ffad73643c0bc549cdecafe88bf</v>
      </c>
      <c r="R564" s="5">
        <v>43061.497383638598</v>
      </c>
      <c r="S564" s="4">
        <v>43072</v>
      </c>
      <c r="T564" s="4">
        <v>43082</v>
      </c>
      <c r="U564" s="1" t="s">
        <v>1956</v>
      </c>
      <c r="V564" s="5">
        <v>43073.384367998231</v>
      </c>
      <c r="W564" s="1" t="s">
        <v>1952</v>
      </c>
      <c r="X564" s="6">
        <v>850000</v>
      </c>
      <c r="Y564" s="1"/>
      <c r="Z564" s="4">
        <v>43084</v>
      </c>
      <c r="AA564" s="5">
        <v>43100</v>
      </c>
      <c r="AB564" s="1" t="s">
        <v>1971</v>
      </c>
      <c r="AC564" s="1"/>
      <c r="AD564" s="1" t="s">
        <v>1168</v>
      </c>
    </row>
    <row r="565" spans="1:30" hidden="1" x14ac:dyDescent="0.25">
      <c r="A565" s="1" t="s">
        <v>1780</v>
      </c>
      <c r="B565" s="1" t="s">
        <v>774</v>
      </c>
      <c r="C565" s="1" t="s">
        <v>1081</v>
      </c>
      <c r="D565" s="4">
        <v>43040</v>
      </c>
      <c r="E565" s="6">
        <v>189000</v>
      </c>
      <c r="F565" s="6"/>
      <c r="G565" s="6">
        <v>189000</v>
      </c>
      <c r="H565" s="1" t="s">
        <v>1716</v>
      </c>
      <c r="I565" s="6">
        <v>11000</v>
      </c>
      <c r="J565" s="6">
        <v>5.5E-2</v>
      </c>
      <c r="K565" s="1" t="s">
        <v>1716</v>
      </c>
      <c r="L565" s="1" t="s">
        <v>573</v>
      </c>
      <c r="M565" s="1" t="s">
        <v>574</v>
      </c>
      <c r="N565" s="1" t="s">
        <v>85</v>
      </c>
      <c r="O565" s="6">
        <v>11000</v>
      </c>
      <c r="P565" s="6">
        <v>5.5E-2</v>
      </c>
      <c r="Q565" s="2" t="str">
        <f>HYPERLINK("https://auction.openprocurement.org/tenders/f42d126bbe1a49c799f0060ed4613e5f")</f>
        <v>https://auction.openprocurement.org/tenders/f42d126bbe1a49c799f0060ed4613e5f</v>
      </c>
      <c r="R565" s="5">
        <v>43059.578326667557</v>
      </c>
      <c r="S565" s="4">
        <v>43070</v>
      </c>
      <c r="T565" s="4">
        <v>43080</v>
      </c>
      <c r="U565" s="1" t="s">
        <v>1956</v>
      </c>
      <c r="V565" s="5">
        <v>43070.597331695855</v>
      </c>
      <c r="W565" s="1" t="s">
        <v>1952</v>
      </c>
      <c r="X565" s="6">
        <v>189000</v>
      </c>
      <c r="Y565" s="1"/>
      <c r="Z565" s="4">
        <v>43084</v>
      </c>
      <c r="AA565" s="5">
        <v>43100</v>
      </c>
      <c r="AB565" s="1" t="s">
        <v>1971</v>
      </c>
      <c r="AC565" s="1"/>
      <c r="AD565" s="1" t="s">
        <v>1168</v>
      </c>
    </row>
    <row r="566" spans="1:30" hidden="1" x14ac:dyDescent="0.25">
      <c r="A566" s="1" t="s">
        <v>1409</v>
      </c>
      <c r="B566" s="1" t="s">
        <v>822</v>
      </c>
      <c r="C566" s="1" t="s">
        <v>1081</v>
      </c>
      <c r="D566" s="4">
        <v>43040</v>
      </c>
      <c r="E566" s="6">
        <v>4079500</v>
      </c>
      <c r="F566" s="6"/>
      <c r="G566" s="6">
        <v>4079500</v>
      </c>
      <c r="H566" s="1" t="s">
        <v>1656</v>
      </c>
      <c r="I566" s="6">
        <v>20500</v>
      </c>
      <c r="J566" s="6">
        <v>5.0000000000000001E-3</v>
      </c>
      <c r="K566" s="1" t="s">
        <v>1656</v>
      </c>
      <c r="L566" s="1" t="s">
        <v>636</v>
      </c>
      <c r="M566" s="1" t="s">
        <v>947</v>
      </c>
      <c r="N566" s="1" t="s">
        <v>124</v>
      </c>
      <c r="O566" s="6">
        <v>20500</v>
      </c>
      <c r="P566" s="6">
        <v>5.0000000000000001E-3</v>
      </c>
      <c r="Q566" s="2" t="str">
        <f>HYPERLINK("https://auction.openprocurement.org/tenders/3d71cb94d2a04630a364da4542dbb16c")</f>
        <v>https://auction.openprocurement.org/tenders/3d71cb94d2a04630a364da4542dbb16c</v>
      </c>
      <c r="R566" s="5">
        <v>43059.481305444453</v>
      </c>
      <c r="S566" s="4">
        <v>43070</v>
      </c>
      <c r="T566" s="4">
        <v>43080</v>
      </c>
      <c r="U566" s="1" t="s">
        <v>1956</v>
      </c>
      <c r="V566" s="5">
        <v>43070.569510579575</v>
      </c>
      <c r="W566" s="1" t="s">
        <v>1952</v>
      </c>
      <c r="X566" s="6">
        <v>4079500</v>
      </c>
      <c r="Y566" s="4">
        <v>43101</v>
      </c>
      <c r="Z566" s="4">
        <v>43465</v>
      </c>
      <c r="AA566" s="5">
        <v>43465</v>
      </c>
      <c r="AB566" s="1" t="s">
        <v>1971</v>
      </c>
      <c r="AC566" s="1"/>
      <c r="AD566" s="1" t="s">
        <v>1168</v>
      </c>
    </row>
    <row r="567" spans="1:30" hidden="1" x14ac:dyDescent="0.25">
      <c r="A567" s="1" t="s">
        <v>1939</v>
      </c>
      <c r="B567" s="1" t="s">
        <v>612</v>
      </c>
      <c r="C567" s="1" t="s">
        <v>1147</v>
      </c>
      <c r="D567" s="4">
        <v>43040</v>
      </c>
      <c r="E567" s="6">
        <v>24835</v>
      </c>
      <c r="F567" s="6"/>
      <c r="G567" s="6">
        <v>24835</v>
      </c>
      <c r="H567" s="1" t="s">
        <v>1647</v>
      </c>
      <c r="I567" s="1"/>
      <c r="J567" s="1"/>
      <c r="K567" s="1" t="s">
        <v>1647</v>
      </c>
      <c r="L567" s="1" t="s">
        <v>694</v>
      </c>
      <c r="M567" s="1" t="s">
        <v>986</v>
      </c>
      <c r="N567" s="1" t="s">
        <v>157</v>
      </c>
      <c r="O567" s="1"/>
      <c r="P567" s="1"/>
      <c r="Q567" s="2"/>
      <c r="R567" s="5">
        <v>43049.464046212423</v>
      </c>
      <c r="S567" s="4">
        <v>43053</v>
      </c>
      <c r="T567" s="4">
        <v>43075</v>
      </c>
      <c r="U567" s="1" t="s">
        <v>1956</v>
      </c>
      <c r="V567" s="5">
        <v>43055.659399316864</v>
      </c>
      <c r="W567" s="1" t="s">
        <v>1952</v>
      </c>
      <c r="X567" s="6">
        <v>24835</v>
      </c>
      <c r="Y567" s="1"/>
      <c r="Z567" s="4">
        <v>43070</v>
      </c>
      <c r="AA567" s="5">
        <v>43100</v>
      </c>
      <c r="AB567" s="1" t="s">
        <v>1971</v>
      </c>
      <c r="AC567" s="1"/>
      <c r="AD567" s="1" t="s">
        <v>1168</v>
      </c>
    </row>
    <row r="568" spans="1:30" hidden="1" x14ac:dyDescent="0.25">
      <c r="A568" s="1" t="s">
        <v>1812</v>
      </c>
      <c r="B568" s="1" t="s">
        <v>609</v>
      </c>
      <c r="C568" s="1" t="s">
        <v>1081</v>
      </c>
      <c r="D568" s="4">
        <v>43039</v>
      </c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2"/>
      <c r="R568" s="1"/>
      <c r="S568" s="1"/>
      <c r="T568" s="1"/>
      <c r="U568" s="1" t="s">
        <v>1957</v>
      </c>
      <c r="V568" s="5">
        <v>43054.710527154988</v>
      </c>
      <c r="W568" s="1"/>
      <c r="X568" s="1"/>
      <c r="Y568" s="1"/>
      <c r="Z568" s="4">
        <v>43084</v>
      </c>
      <c r="AA568" s="1"/>
      <c r="AB568" s="1"/>
      <c r="AC568" s="1"/>
      <c r="AD568" s="1"/>
    </row>
    <row r="569" spans="1:30" hidden="1" x14ac:dyDescent="0.25">
      <c r="A569" s="1" t="s">
        <v>1220</v>
      </c>
      <c r="B569" s="1" t="s">
        <v>660</v>
      </c>
      <c r="C569" s="1" t="s">
        <v>1081</v>
      </c>
      <c r="D569" s="4">
        <v>43039</v>
      </c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2"/>
      <c r="R569" s="1"/>
      <c r="S569" s="1"/>
      <c r="T569" s="1"/>
      <c r="U569" s="1" t="s">
        <v>1957</v>
      </c>
      <c r="V569" s="5">
        <v>43054.689046592051</v>
      </c>
      <c r="W569" s="1"/>
      <c r="X569" s="1"/>
      <c r="Y569" s="1"/>
      <c r="Z569" s="4">
        <v>43084</v>
      </c>
      <c r="AA569" s="1"/>
      <c r="AB569" s="1"/>
      <c r="AC569" s="1"/>
      <c r="AD569" s="1"/>
    </row>
    <row r="570" spans="1:30" hidden="1" x14ac:dyDescent="0.25">
      <c r="A570" s="1" t="s">
        <v>1612</v>
      </c>
      <c r="B570" s="1" t="s">
        <v>411</v>
      </c>
      <c r="C570" s="1" t="s">
        <v>1081</v>
      </c>
      <c r="D570" s="4">
        <v>43038</v>
      </c>
      <c r="E570" s="6">
        <v>294097.82</v>
      </c>
      <c r="F570" s="6"/>
      <c r="G570" s="6">
        <v>765.87973958333339</v>
      </c>
      <c r="H570" s="1" t="s">
        <v>1663</v>
      </c>
      <c r="I570" s="6">
        <v>3602.179999999993</v>
      </c>
      <c r="J570" s="6">
        <v>1.2100033590863262E-2</v>
      </c>
      <c r="K570" s="1" t="s">
        <v>1663</v>
      </c>
      <c r="L570" s="1" t="s">
        <v>607</v>
      </c>
      <c r="M570" s="1" t="s">
        <v>855</v>
      </c>
      <c r="N570" s="1" t="s">
        <v>89</v>
      </c>
      <c r="O570" s="6">
        <v>3602.179999999993</v>
      </c>
      <c r="P570" s="6">
        <v>1.2100033590863262E-2</v>
      </c>
      <c r="Q570" s="2" t="str">
        <f>HYPERLINK("https://auction.openprocurement.org/tenders/86a01d270995456fb11efbb6e7be1beb")</f>
        <v>https://auction.openprocurement.org/tenders/86a01d270995456fb11efbb6e7be1beb</v>
      </c>
      <c r="R570" s="5">
        <v>43060.437149206911</v>
      </c>
      <c r="S570" s="4">
        <v>43071</v>
      </c>
      <c r="T570" s="4">
        <v>43081</v>
      </c>
      <c r="U570" s="1" t="s">
        <v>1956</v>
      </c>
      <c r="V570" s="5">
        <v>43074.651619399112</v>
      </c>
      <c r="W570" s="1" t="s">
        <v>783</v>
      </c>
      <c r="X570" s="6">
        <v>294097.82</v>
      </c>
      <c r="Y570" s="1"/>
      <c r="Z570" s="4">
        <v>43070</v>
      </c>
      <c r="AA570" s="5">
        <v>43100</v>
      </c>
      <c r="AB570" s="1" t="s">
        <v>1971</v>
      </c>
      <c r="AC570" s="1"/>
      <c r="AD570" s="1" t="s">
        <v>1168</v>
      </c>
    </row>
    <row r="571" spans="1:30" hidden="1" x14ac:dyDescent="0.25">
      <c r="A571" s="1" t="s">
        <v>1329</v>
      </c>
      <c r="B571" s="1" t="s">
        <v>318</v>
      </c>
      <c r="C571" s="1" t="s">
        <v>1147</v>
      </c>
      <c r="D571" s="4">
        <v>43038</v>
      </c>
      <c r="E571" s="6">
        <v>71075</v>
      </c>
      <c r="F571" s="6"/>
      <c r="G571" s="6">
        <v>23.691666666666666</v>
      </c>
      <c r="H571" s="1" t="s">
        <v>1653</v>
      </c>
      <c r="I571" s="6">
        <v>5875</v>
      </c>
      <c r="J571" s="6">
        <v>7.6348278102664063E-2</v>
      </c>
      <c r="K571" s="1"/>
      <c r="L571" s="1"/>
      <c r="M571" s="1"/>
      <c r="N571" s="1"/>
      <c r="O571" s="1"/>
      <c r="P571" s="1"/>
      <c r="Q571" s="2" t="str">
        <f>HYPERLINK("https://auction.openprocurement.org/tenders/c14f51da06db40239680950605ba3c1f")</f>
        <v>https://auction.openprocurement.org/tenders/c14f51da06db40239680950605ba3c1f</v>
      </c>
      <c r="R571" s="5">
        <v>43054.637857759742</v>
      </c>
      <c r="S571" s="1"/>
      <c r="T571" s="1"/>
      <c r="U571" s="1" t="s">
        <v>1957</v>
      </c>
      <c r="V571" s="5">
        <v>43056.641362891496</v>
      </c>
      <c r="W571" s="1"/>
      <c r="X571" s="1"/>
      <c r="Y571" s="1"/>
      <c r="Z571" s="4">
        <v>43063</v>
      </c>
      <c r="AA571" s="1"/>
      <c r="AB571" s="1"/>
      <c r="AC571" s="1"/>
      <c r="AD571" s="1"/>
    </row>
    <row r="572" spans="1:30" hidden="1" x14ac:dyDescent="0.25">
      <c r="A572" s="1" t="s">
        <v>1154</v>
      </c>
      <c r="B572" s="1" t="s">
        <v>727</v>
      </c>
      <c r="C572" s="1" t="s">
        <v>1147</v>
      </c>
      <c r="D572" s="4">
        <v>43038</v>
      </c>
      <c r="E572" s="6">
        <v>116190</v>
      </c>
      <c r="F572" s="6"/>
      <c r="G572" s="6">
        <v>4006.5517241379312</v>
      </c>
      <c r="H572" s="1" t="s">
        <v>1308</v>
      </c>
      <c r="I572" s="6">
        <v>37913</v>
      </c>
      <c r="J572" s="6">
        <v>0.24602376332712536</v>
      </c>
      <c r="K572" s="1" t="s">
        <v>1028</v>
      </c>
      <c r="L572" s="1" t="s">
        <v>644</v>
      </c>
      <c r="M572" s="1" t="s">
        <v>980</v>
      </c>
      <c r="N572" s="1" t="s">
        <v>46</v>
      </c>
      <c r="O572" s="6">
        <v>31573</v>
      </c>
      <c r="P572" s="6">
        <v>0.20488244875180886</v>
      </c>
      <c r="Q572" s="2" t="str">
        <f>HYPERLINK("https://auction.openprocurement.org/tenders/cdafc1e55d6643dba37ce94996cd71fa")</f>
        <v>https://auction.openprocurement.org/tenders/cdafc1e55d6643dba37ce94996cd71fa</v>
      </c>
      <c r="R572" s="5">
        <v>43052.552625674667</v>
      </c>
      <c r="S572" s="4">
        <v>43054</v>
      </c>
      <c r="T572" s="4">
        <v>43071</v>
      </c>
      <c r="U572" s="1" t="s">
        <v>1956</v>
      </c>
      <c r="V572" s="5">
        <v>43056.6367620616</v>
      </c>
      <c r="W572" s="1" t="s">
        <v>1952</v>
      </c>
      <c r="X572" s="6">
        <v>122530</v>
      </c>
      <c r="Y572" s="1"/>
      <c r="Z572" s="4">
        <v>43070</v>
      </c>
      <c r="AA572" s="5">
        <v>43100</v>
      </c>
      <c r="AB572" s="1" t="s">
        <v>1971</v>
      </c>
      <c r="AC572" s="1"/>
      <c r="AD572" s="1" t="s">
        <v>1168</v>
      </c>
    </row>
    <row r="573" spans="1:30" hidden="1" x14ac:dyDescent="0.25">
      <c r="A573" s="1" t="s">
        <v>1453</v>
      </c>
      <c r="B573" s="1" t="s">
        <v>778</v>
      </c>
      <c r="C573" s="1" t="s">
        <v>1157</v>
      </c>
      <c r="D573" s="4">
        <v>43035</v>
      </c>
      <c r="E573" s="6">
        <v>242316</v>
      </c>
      <c r="F573" s="6"/>
      <c r="G573" s="6">
        <v>242316</v>
      </c>
      <c r="H573" s="1"/>
      <c r="I573" s="1"/>
      <c r="J573" s="1"/>
      <c r="K573" s="1" t="s">
        <v>1518</v>
      </c>
      <c r="L573" s="1" t="s">
        <v>553</v>
      </c>
      <c r="M573" s="1"/>
      <c r="N573" s="1" t="s">
        <v>266</v>
      </c>
      <c r="O573" s="1"/>
      <c r="P573" s="1"/>
      <c r="Q573" s="2"/>
      <c r="R573" s="1"/>
      <c r="S573" s="1"/>
      <c r="T573" s="1"/>
      <c r="U573" s="1" t="s">
        <v>1956</v>
      </c>
      <c r="V573" s="5">
        <v>43035.475407594444</v>
      </c>
      <c r="W573" s="1" t="s">
        <v>514</v>
      </c>
      <c r="X573" s="6">
        <v>242316</v>
      </c>
      <c r="Y573" s="4">
        <v>43034</v>
      </c>
      <c r="Z573" s="4">
        <v>43465</v>
      </c>
      <c r="AA573" s="5">
        <v>43465</v>
      </c>
      <c r="AB573" s="1" t="s">
        <v>1971</v>
      </c>
      <c r="AC573" s="1"/>
      <c r="AD573" s="1" t="s">
        <v>1168</v>
      </c>
    </row>
    <row r="574" spans="1:30" hidden="1" x14ac:dyDescent="0.25">
      <c r="A574" s="1" t="s">
        <v>1565</v>
      </c>
      <c r="B574" s="1" t="s">
        <v>788</v>
      </c>
      <c r="C574" s="1" t="s">
        <v>1157</v>
      </c>
      <c r="D574" s="4">
        <v>43034</v>
      </c>
      <c r="E574" s="6">
        <v>70000</v>
      </c>
      <c r="F574" s="6"/>
      <c r="G574" s="6">
        <v>70000</v>
      </c>
      <c r="H574" s="1"/>
      <c r="I574" s="1"/>
      <c r="J574" s="1"/>
      <c r="K574" s="1" t="s">
        <v>1674</v>
      </c>
      <c r="L574" s="1" t="s">
        <v>615</v>
      </c>
      <c r="M574" s="1"/>
      <c r="N574" s="1" t="s">
        <v>280</v>
      </c>
      <c r="O574" s="1"/>
      <c r="P574" s="1"/>
      <c r="Q574" s="2"/>
      <c r="R574" s="1"/>
      <c r="S574" s="1"/>
      <c r="T574" s="1"/>
      <c r="U574" s="1" t="s">
        <v>1956</v>
      </c>
      <c r="V574" s="5">
        <v>43034.747799422512</v>
      </c>
      <c r="W574" s="1" t="s">
        <v>1952</v>
      </c>
      <c r="X574" s="6">
        <v>70000</v>
      </c>
      <c r="Y574" s="1"/>
      <c r="Z574" s="4">
        <v>43059</v>
      </c>
      <c r="AA574" s="5">
        <v>43100</v>
      </c>
      <c r="AB574" s="1" t="s">
        <v>1971</v>
      </c>
      <c r="AC574" s="1"/>
      <c r="AD574" s="1" t="s">
        <v>1168</v>
      </c>
    </row>
    <row r="575" spans="1:30" hidden="1" x14ac:dyDescent="0.25">
      <c r="A575" s="1" t="s">
        <v>1570</v>
      </c>
      <c r="B575" s="1" t="s">
        <v>788</v>
      </c>
      <c r="C575" s="1" t="s">
        <v>1147</v>
      </c>
      <c r="D575" s="4">
        <v>43033</v>
      </c>
      <c r="E575" s="6">
        <v>98791</v>
      </c>
      <c r="F575" s="6"/>
      <c r="G575" s="6">
        <v>98791</v>
      </c>
      <c r="H575" s="1" t="s">
        <v>1630</v>
      </c>
      <c r="I575" s="6">
        <v>1209</v>
      </c>
      <c r="J575" s="6">
        <v>1.209E-2</v>
      </c>
      <c r="K575" s="1" t="s">
        <v>1630</v>
      </c>
      <c r="L575" s="1" t="s">
        <v>713</v>
      </c>
      <c r="M575" s="1" t="s">
        <v>910</v>
      </c>
      <c r="N575" s="1" t="s">
        <v>121</v>
      </c>
      <c r="O575" s="6">
        <v>1209</v>
      </c>
      <c r="P575" s="6">
        <v>1.209E-2</v>
      </c>
      <c r="Q575" s="2"/>
      <c r="R575" s="5">
        <v>43042.669367271519</v>
      </c>
      <c r="S575" s="4">
        <v>43046</v>
      </c>
      <c r="T575" s="4">
        <v>43068</v>
      </c>
      <c r="U575" s="1" t="s">
        <v>1956</v>
      </c>
      <c r="V575" s="5">
        <v>43053.600442478972</v>
      </c>
      <c r="W575" s="1" t="s">
        <v>1952</v>
      </c>
      <c r="X575" s="6">
        <v>98791</v>
      </c>
      <c r="Y575" s="1"/>
      <c r="Z575" s="4">
        <v>43079</v>
      </c>
      <c r="AA575" s="5">
        <v>43100</v>
      </c>
      <c r="AB575" s="1" t="s">
        <v>1971</v>
      </c>
      <c r="AC575" s="1"/>
      <c r="AD575" s="1" t="s">
        <v>1168</v>
      </c>
    </row>
    <row r="576" spans="1:30" hidden="1" x14ac:dyDescent="0.25">
      <c r="A576" s="1" t="s">
        <v>1601</v>
      </c>
      <c r="B576" s="1" t="s">
        <v>548</v>
      </c>
      <c r="C576" s="1" t="s">
        <v>1081</v>
      </c>
      <c r="D576" s="4">
        <v>43033</v>
      </c>
      <c r="E576" s="6">
        <v>898000</v>
      </c>
      <c r="F576" s="6"/>
      <c r="G576" s="6">
        <v>3241.8772563176894</v>
      </c>
      <c r="H576" s="1" t="s">
        <v>1879</v>
      </c>
      <c r="I576" s="6">
        <v>2000</v>
      </c>
      <c r="J576" s="6">
        <v>2.2222222222222222E-3</v>
      </c>
      <c r="K576" s="1" t="s">
        <v>1879</v>
      </c>
      <c r="L576" s="1" t="s">
        <v>550</v>
      </c>
      <c r="M576" s="1" t="s">
        <v>880</v>
      </c>
      <c r="N576" s="1" t="s">
        <v>97</v>
      </c>
      <c r="O576" s="6">
        <v>2000</v>
      </c>
      <c r="P576" s="6">
        <v>2.2222222222222222E-3</v>
      </c>
      <c r="Q576" s="2" t="str">
        <f>HYPERLINK("https://auction.openprocurement.org/tenders/d139ca48d2194af5b8dda626fcee89b9")</f>
        <v>https://auction.openprocurement.org/tenders/d139ca48d2194af5b8dda626fcee89b9</v>
      </c>
      <c r="R576" s="5">
        <v>43049.680304447429</v>
      </c>
      <c r="S576" s="4">
        <v>43060</v>
      </c>
      <c r="T576" s="4">
        <v>43070</v>
      </c>
      <c r="U576" s="1" t="s">
        <v>1956</v>
      </c>
      <c r="V576" s="5">
        <v>43060.602817933301</v>
      </c>
      <c r="W576" s="1" t="s">
        <v>368</v>
      </c>
      <c r="X576" s="6">
        <v>898000</v>
      </c>
      <c r="Y576" s="1"/>
      <c r="Z576" s="4">
        <v>43079</v>
      </c>
      <c r="AA576" s="5">
        <v>43100</v>
      </c>
      <c r="AB576" s="1" t="s">
        <v>1971</v>
      </c>
      <c r="AC576" s="1"/>
      <c r="AD576" s="1" t="s">
        <v>1168</v>
      </c>
    </row>
    <row r="577" spans="1:30" hidden="1" x14ac:dyDescent="0.25">
      <c r="A577" s="1" t="s">
        <v>1261</v>
      </c>
      <c r="B577" s="1" t="s">
        <v>761</v>
      </c>
      <c r="C577" s="1" t="s">
        <v>1081</v>
      </c>
      <c r="D577" s="4">
        <v>43033</v>
      </c>
      <c r="E577" s="6">
        <v>158800</v>
      </c>
      <c r="F577" s="6"/>
      <c r="G577" s="6">
        <v>158800</v>
      </c>
      <c r="H577" s="1" t="s">
        <v>1879</v>
      </c>
      <c r="I577" s="6">
        <v>1200</v>
      </c>
      <c r="J577" s="6">
        <v>7.4999999999999997E-3</v>
      </c>
      <c r="K577" s="1" t="s">
        <v>1879</v>
      </c>
      <c r="L577" s="1" t="s">
        <v>550</v>
      </c>
      <c r="M577" s="1" t="s">
        <v>880</v>
      </c>
      <c r="N577" s="1" t="s">
        <v>97</v>
      </c>
      <c r="O577" s="6">
        <v>1200</v>
      </c>
      <c r="P577" s="6">
        <v>7.4999999999999997E-3</v>
      </c>
      <c r="Q577" s="2" t="str">
        <f>HYPERLINK("https://auction.openprocurement.org/tenders/ff6a90b0fb9244629f46b439911b866a")</f>
        <v>https://auction.openprocurement.org/tenders/ff6a90b0fb9244629f46b439911b866a</v>
      </c>
      <c r="R577" s="5">
        <v>43049.68122904031</v>
      </c>
      <c r="S577" s="4">
        <v>43060</v>
      </c>
      <c r="T577" s="4">
        <v>43070</v>
      </c>
      <c r="U577" s="1" t="s">
        <v>1956</v>
      </c>
      <c r="V577" s="5">
        <v>43060.603910666803</v>
      </c>
      <c r="W577" s="1" t="s">
        <v>367</v>
      </c>
      <c r="X577" s="6">
        <v>158800</v>
      </c>
      <c r="Y577" s="4">
        <v>43079</v>
      </c>
      <c r="Z577" s="4">
        <v>43166</v>
      </c>
      <c r="AA577" s="5">
        <v>43220</v>
      </c>
      <c r="AB577" s="1" t="s">
        <v>1971</v>
      </c>
      <c r="AC577" s="1"/>
      <c r="AD577" s="1" t="s">
        <v>1168</v>
      </c>
    </row>
    <row r="578" spans="1:30" hidden="1" x14ac:dyDescent="0.25">
      <c r="A578" s="1" t="s">
        <v>1217</v>
      </c>
      <c r="B578" s="1" t="s">
        <v>415</v>
      </c>
      <c r="C578" s="1" t="s">
        <v>1081</v>
      </c>
      <c r="D578" s="4">
        <v>43032</v>
      </c>
      <c r="E578" s="6">
        <v>195550</v>
      </c>
      <c r="F578" s="6"/>
      <c r="G578" s="6">
        <v>10863.888888888889</v>
      </c>
      <c r="H578" s="1" t="s">
        <v>1881</v>
      </c>
      <c r="I578" s="6">
        <v>14450</v>
      </c>
      <c r="J578" s="6">
        <v>6.8809523809523807E-2</v>
      </c>
      <c r="K578" s="1" t="s">
        <v>1881</v>
      </c>
      <c r="L578" s="1" t="s">
        <v>575</v>
      </c>
      <c r="M578" s="1" t="s">
        <v>925</v>
      </c>
      <c r="N578" s="1" t="s">
        <v>130</v>
      </c>
      <c r="O578" s="6">
        <v>14450</v>
      </c>
      <c r="P578" s="6">
        <v>6.8809523809523807E-2</v>
      </c>
      <c r="Q578" s="2" t="str">
        <f>HYPERLINK("https://auction.openprocurement.org/tenders/a86de68b787a42eeb15a4ea1cb7e4aac")</f>
        <v>https://auction.openprocurement.org/tenders/a86de68b787a42eeb15a4ea1cb7e4aac</v>
      </c>
      <c r="R578" s="5">
        <v>43052.452918150819</v>
      </c>
      <c r="S578" s="4">
        <v>43063</v>
      </c>
      <c r="T578" s="4">
        <v>43073</v>
      </c>
      <c r="U578" s="1" t="s">
        <v>1956</v>
      </c>
      <c r="V578" s="5">
        <v>43063.634129360929</v>
      </c>
      <c r="W578" s="1" t="s">
        <v>1952</v>
      </c>
      <c r="X578" s="6">
        <v>195550</v>
      </c>
      <c r="Y578" s="1"/>
      <c r="Z578" s="4">
        <v>43084</v>
      </c>
      <c r="AA578" s="5">
        <v>43100</v>
      </c>
      <c r="AB578" s="1" t="s">
        <v>1971</v>
      </c>
      <c r="AC578" s="1"/>
      <c r="AD578" s="1" t="s">
        <v>1168</v>
      </c>
    </row>
    <row r="579" spans="1:30" hidden="1" x14ac:dyDescent="0.25">
      <c r="A579" s="1" t="s">
        <v>1425</v>
      </c>
      <c r="B579" s="1" t="s">
        <v>817</v>
      </c>
      <c r="C579" s="1" t="s">
        <v>1082</v>
      </c>
      <c r="D579" s="4">
        <v>43028</v>
      </c>
      <c r="E579" s="6">
        <v>4298131.2</v>
      </c>
      <c r="F579" s="6"/>
      <c r="G579" s="6">
        <v>1432710.4000000001</v>
      </c>
      <c r="H579" s="1" t="s">
        <v>1037</v>
      </c>
      <c r="I579" s="6">
        <v>21868.799999999814</v>
      </c>
      <c r="J579" s="6">
        <v>5.0622222222221789E-3</v>
      </c>
      <c r="K579" s="1" t="s">
        <v>1037</v>
      </c>
      <c r="L579" s="1" t="s">
        <v>658</v>
      </c>
      <c r="M579" s="1" t="s">
        <v>871</v>
      </c>
      <c r="N579" s="1" t="s">
        <v>103</v>
      </c>
      <c r="O579" s="6">
        <v>21868.799999999814</v>
      </c>
      <c r="P579" s="6">
        <v>5.0622222222221789E-3</v>
      </c>
      <c r="Q579" s="2" t="str">
        <f>HYPERLINK("https://auction.openprocurement.org/tenders/377491114d9740c79a1f330b6f041998_533400e9b0374866b95618a19bea415c")</f>
        <v>https://auction.openprocurement.org/tenders/377491114d9740c79a1f330b6f041998_533400e9b0374866b95618a19bea415c</v>
      </c>
      <c r="R579" s="5">
        <v>43067.480045174969</v>
      </c>
      <c r="S579" s="4">
        <v>43078</v>
      </c>
      <c r="T579" s="4">
        <v>43088</v>
      </c>
      <c r="U579" s="1" t="s">
        <v>1955</v>
      </c>
      <c r="V579" s="5">
        <v>43080.449938183498</v>
      </c>
      <c r="W579" s="1" t="s">
        <v>1952</v>
      </c>
      <c r="X579" s="6">
        <v>4298131.2</v>
      </c>
      <c r="Y579" s="4">
        <v>43101</v>
      </c>
      <c r="Z579" s="4">
        <v>43465</v>
      </c>
      <c r="AA579" s="5">
        <v>43465</v>
      </c>
      <c r="AB579" s="1" t="s">
        <v>1971</v>
      </c>
      <c r="AC579" s="1"/>
      <c r="AD579" s="1" t="s">
        <v>1168</v>
      </c>
    </row>
    <row r="580" spans="1:30" hidden="1" x14ac:dyDescent="0.25">
      <c r="A580" s="1" t="s">
        <v>1426</v>
      </c>
      <c r="B580" s="1" t="s">
        <v>817</v>
      </c>
      <c r="C580" s="1" t="s">
        <v>1082</v>
      </c>
      <c r="D580" s="4">
        <v>43028</v>
      </c>
      <c r="E580" s="6">
        <v>1475460</v>
      </c>
      <c r="F580" s="6"/>
      <c r="G580" s="6">
        <v>491820</v>
      </c>
      <c r="H580" s="1" t="s">
        <v>1715</v>
      </c>
      <c r="I580" s="6">
        <v>24540</v>
      </c>
      <c r="J580" s="6">
        <v>1.636E-2</v>
      </c>
      <c r="K580" s="1" t="s">
        <v>1715</v>
      </c>
      <c r="L580" s="1" t="s">
        <v>623</v>
      </c>
      <c r="M580" s="1" t="s">
        <v>906</v>
      </c>
      <c r="N580" s="1" t="s">
        <v>52</v>
      </c>
      <c r="O580" s="6">
        <v>24540</v>
      </c>
      <c r="P580" s="6">
        <v>1.636E-2</v>
      </c>
      <c r="Q580" s="2" t="str">
        <f>HYPERLINK("https://auction.openprocurement.org/tenders/377491114d9740c79a1f330b6f041998_3577dbdd0f9947099b165bc89dc43765")</f>
        <v>https://auction.openprocurement.org/tenders/377491114d9740c79a1f330b6f041998_3577dbdd0f9947099b165bc89dc43765</v>
      </c>
      <c r="R580" s="5">
        <v>43067.480045174969</v>
      </c>
      <c r="S580" s="4">
        <v>43078</v>
      </c>
      <c r="T580" s="4">
        <v>43088</v>
      </c>
      <c r="U580" s="1" t="s">
        <v>1955</v>
      </c>
      <c r="V580" s="5">
        <v>43080.45198875721</v>
      </c>
      <c r="W580" s="1" t="s">
        <v>400</v>
      </c>
      <c r="X580" s="6">
        <v>1475460</v>
      </c>
      <c r="Y580" s="4">
        <v>43101</v>
      </c>
      <c r="Z580" s="4">
        <v>43465</v>
      </c>
      <c r="AA580" s="5">
        <v>43465</v>
      </c>
      <c r="AB580" s="1" t="s">
        <v>1971</v>
      </c>
      <c r="AC580" s="1"/>
      <c r="AD580" s="1" t="s">
        <v>1168</v>
      </c>
    </row>
    <row r="581" spans="1:30" hidden="1" x14ac:dyDescent="0.25">
      <c r="A581" s="1" t="s">
        <v>1444</v>
      </c>
      <c r="B581" s="1" t="s">
        <v>833</v>
      </c>
      <c r="C581" s="1" t="s">
        <v>1081</v>
      </c>
      <c r="D581" s="4">
        <v>43026</v>
      </c>
      <c r="E581" s="6">
        <v>419760</v>
      </c>
      <c r="F581" s="6"/>
      <c r="G581" s="6">
        <v>419760</v>
      </c>
      <c r="H581" s="1" t="s">
        <v>1662</v>
      </c>
      <c r="I581" s="6">
        <v>240</v>
      </c>
      <c r="J581" s="6">
        <v>5.7142857142857147E-4</v>
      </c>
      <c r="K581" s="1" t="s">
        <v>1662</v>
      </c>
      <c r="L581" s="1" t="s">
        <v>626</v>
      </c>
      <c r="M581" s="1" t="s">
        <v>962</v>
      </c>
      <c r="N581" s="1" t="s">
        <v>30</v>
      </c>
      <c r="O581" s="6">
        <v>240</v>
      </c>
      <c r="P581" s="6">
        <v>5.7142857142857147E-4</v>
      </c>
      <c r="Q581" s="2" t="str">
        <f>HYPERLINK("https://auction.openprocurement.org/tenders/f531be67e1b74cba9ab330e745408eb6")</f>
        <v>https://auction.openprocurement.org/tenders/f531be67e1b74cba9ab330e745408eb6</v>
      </c>
      <c r="R581" s="5">
        <v>43045.604435338515</v>
      </c>
      <c r="S581" s="4">
        <v>43056</v>
      </c>
      <c r="T581" s="4">
        <v>43066</v>
      </c>
      <c r="U581" s="1" t="s">
        <v>1956</v>
      </c>
      <c r="V581" s="5">
        <v>43056.650303419883</v>
      </c>
      <c r="W581" s="1" t="s">
        <v>398</v>
      </c>
      <c r="X581" s="6">
        <v>419760</v>
      </c>
      <c r="Y581" s="1"/>
      <c r="Z581" s="4">
        <v>43084</v>
      </c>
      <c r="AA581" s="5">
        <v>43100</v>
      </c>
      <c r="AB581" s="1" t="s">
        <v>1971</v>
      </c>
      <c r="AC581" s="1"/>
      <c r="AD581" s="1" t="s">
        <v>1168</v>
      </c>
    </row>
    <row r="582" spans="1:30" hidden="1" x14ac:dyDescent="0.25">
      <c r="A582" s="1" t="s">
        <v>1416</v>
      </c>
      <c r="B582" s="1" t="s">
        <v>843</v>
      </c>
      <c r="C582" s="1" t="s">
        <v>1081</v>
      </c>
      <c r="D582" s="4">
        <v>43021</v>
      </c>
      <c r="E582" s="6">
        <v>1790000</v>
      </c>
      <c r="F582" s="6"/>
      <c r="G582" s="6">
        <v>1790000</v>
      </c>
      <c r="H582" s="1" t="s">
        <v>1698</v>
      </c>
      <c r="I582" s="6">
        <v>10000</v>
      </c>
      <c r="J582" s="6">
        <v>5.5555555555555558E-3</v>
      </c>
      <c r="K582" s="1" t="s">
        <v>1698</v>
      </c>
      <c r="L582" s="1" t="s">
        <v>423</v>
      </c>
      <c r="M582" s="1" t="s">
        <v>939</v>
      </c>
      <c r="N582" s="1" t="s">
        <v>48</v>
      </c>
      <c r="O582" s="6">
        <v>10000</v>
      </c>
      <c r="P582" s="6">
        <v>5.5555555555555558E-3</v>
      </c>
      <c r="Q582" s="2" t="str">
        <f>HYPERLINK("https://auction.openprocurement.org/tenders/390e660f56c44b5a9952d20ad571d5b8")</f>
        <v>https://auction.openprocurement.org/tenders/390e660f56c44b5a9952d20ad571d5b8</v>
      </c>
      <c r="R582" s="5">
        <v>43042.578680347353</v>
      </c>
      <c r="S582" s="4">
        <v>43053</v>
      </c>
      <c r="T582" s="4">
        <v>43063</v>
      </c>
      <c r="U582" s="1" t="s">
        <v>1956</v>
      </c>
      <c r="V582" s="5">
        <v>43056.499688547767</v>
      </c>
      <c r="W582" s="1" t="s">
        <v>191</v>
      </c>
      <c r="X582" s="6">
        <v>1790000</v>
      </c>
      <c r="Y582" s="4">
        <v>43070</v>
      </c>
      <c r="Z582" s="4">
        <v>43160</v>
      </c>
      <c r="AA582" s="5">
        <v>43465</v>
      </c>
      <c r="AB582" s="1" t="s">
        <v>1971</v>
      </c>
      <c r="AC582" s="1"/>
      <c r="AD582" s="1"/>
    </row>
    <row r="583" spans="1:30" hidden="1" x14ac:dyDescent="0.25">
      <c r="A583" s="1" t="s">
        <v>1557</v>
      </c>
      <c r="B583" s="1" t="s">
        <v>788</v>
      </c>
      <c r="C583" s="1" t="s">
        <v>1157</v>
      </c>
      <c r="D583" s="4">
        <v>43019</v>
      </c>
      <c r="E583" s="6">
        <v>13338</v>
      </c>
      <c r="F583" s="6"/>
      <c r="G583" s="6">
        <v>13338</v>
      </c>
      <c r="H583" s="1"/>
      <c r="I583" s="1"/>
      <c r="J583" s="1"/>
      <c r="K583" s="1" t="s">
        <v>1683</v>
      </c>
      <c r="L583" s="1" t="s">
        <v>595</v>
      </c>
      <c r="M583" s="1"/>
      <c r="N583" s="1" t="s">
        <v>310</v>
      </c>
      <c r="O583" s="1"/>
      <c r="P583" s="1"/>
      <c r="Q583" s="2"/>
      <c r="R583" s="1"/>
      <c r="S583" s="1"/>
      <c r="T583" s="1"/>
      <c r="U583" s="1" t="s">
        <v>1956</v>
      </c>
      <c r="V583" s="5">
        <v>43019.728178417769</v>
      </c>
      <c r="W583" s="1" t="s">
        <v>351</v>
      </c>
      <c r="X583" s="6">
        <v>13338</v>
      </c>
      <c r="Y583" s="4">
        <v>43018</v>
      </c>
      <c r="Z583" s="4">
        <v>43465</v>
      </c>
      <c r="AA583" s="5">
        <v>43465</v>
      </c>
      <c r="AB583" s="1" t="s">
        <v>1971</v>
      </c>
      <c r="AC583" s="1"/>
      <c r="AD583" s="1"/>
    </row>
    <row r="584" spans="1:30" hidden="1" x14ac:dyDescent="0.25">
      <c r="A584" s="1" t="s">
        <v>1557</v>
      </c>
      <c r="B584" s="1" t="s">
        <v>788</v>
      </c>
      <c r="C584" s="1" t="s">
        <v>1157</v>
      </c>
      <c r="D584" s="4">
        <v>43019</v>
      </c>
      <c r="E584" s="6">
        <v>13338</v>
      </c>
      <c r="F584" s="6"/>
      <c r="G584" s="6">
        <v>13338</v>
      </c>
      <c r="H584" s="1"/>
      <c r="I584" s="1"/>
      <c r="J584" s="1"/>
      <c r="K584" s="1"/>
      <c r="L584" s="1"/>
      <c r="M584" s="1"/>
      <c r="N584" s="1"/>
      <c r="O584" s="1"/>
      <c r="P584" s="1"/>
      <c r="Q584" s="2"/>
      <c r="R584" s="1"/>
      <c r="S584" s="1"/>
      <c r="T584" s="1"/>
      <c r="U584" s="1" t="s">
        <v>1972</v>
      </c>
      <c r="V584" s="5">
        <v>43019.719430468736</v>
      </c>
      <c r="W584" s="1"/>
      <c r="X584" s="1"/>
      <c r="Y584" s="4">
        <v>43018</v>
      </c>
      <c r="Z584" s="4">
        <v>43131</v>
      </c>
      <c r="AA584" s="1"/>
      <c r="AB584" s="1"/>
      <c r="AC584" s="1" t="s">
        <v>1798</v>
      </c>
      <c r="AD584" s="1"/>
    </row>
    <row r="585" spans="1:30" hidden="1" x14ac:dyDescent="0.25">
      <c r="A585" s="1" t="s">
        <v>1424</v>
      </c>
      <c r="B585" s="1" t="s">
        <v>817</v>
      </c>
      <c r="C585" s="1" t="s">
        <v>1081</v>
      </c>
      <c r="D585" s="4">
        <v>43018</v>
      </c>
      <c r="E585" s="6">
        <v>240513</v>
      </c>
      <c r="F585" s="6"/>
      <c r="G585" s="6">
        <v>240513</v>
      </c>
      <c r="H585" s="1" t="s">
        <v>1715</v>
      </c>
      <c r="I585" s="6">
        <v>4487</v>
      </c>
      <c r="J585" s="6">
        <v>1.8314285714285714E-2</v>
      </c>
      <c r="K585" s="1" t="s">
        <v>1715</v>
      </c>
      <c r="L585" s="1" t="s">
        <v>623</v>
      </c>
      <c r="M585" s="1" t="s">
        <v>906</v>
      </c>
      <c r="N585" s="1" t="s">
        <v>52</v>
      </c>
      <c r="O585" s="6">
        <v>4487</v>
      </c>
      <c r="P585" s="6">
        <v>1.8314285714285714E-2</v>
      </c>
      <c r="Q585" s="2" t="str">
        <f>HYPERLINK("https://auction.openprocurement.org/tenders/eed163e5b6d84494afd1ac232deb8518")</f>
        <v>https://auction.openprocurement.org/tenders/eed163e5b6d84494afd1ac232deb8518</v>
      </c>
      <c r="R585" s="5">
        <v>43039.582614651379</v>
      </c>
      <c r="S585" s="4">
        <v>43050</v>
      </c>
      <c r="T585" s="4">
        <v>43060</v>
      </c>
      <c r="U585" s="1" t="s">
        <v>1956</v>
      </c>
      <c r="V585" s="5">
        <v>43052.452479007639</v>
      </c>
      <c r="W585" s="1" t="s">
        <v>383</v>
      </c>
      <c r="X585" s="6">
        <v>240513</v>
      </c>
      <c r="Y585" s="4">
        <v>43054</v>
      </c>
      <c r="Z585" s="4">
        <v>43159</v>
      </c>
      <c r="AA585" s="5">
        <v>43159</v>
      </c>
      <c r="AB585" s="1" t="s">
        <v>1971</v>
      </c>
      <c r="AC585" s="1"/>
      <c r="AD585" s="1" t="s">
        <v>1168</v>
      </c>
    </row>
    <row r="586" spans="1:30" hidden="1" x14ac:dyDescent="0.25">
      <c r="A586" s="1" t="s">
        <v>1449</v>
      </c>
      <c r="B586" s="1" t="s">
        <v>833</v>
      </c>
      <c r="C586" s="1" t="s">
        <v>1081</v>
      </c>
      <c r="D586" s="4">
        <v>43017</v>
      </c>
      <c r="E586" s="6">
        <v>84932</v>
      </c>
      <c r="F586" s="6"/>
      <c r="G586" s="6">
        <v>84932</v>
      </c>
      <c r="H586" s="1" t="s">
        <v>1662</v>
      </c>
      <c r="I586" s="6">
        <v>68</v>
      </c>
      <c r="J586" s="6">
        <v>8.0000000000000004E-4</v>
      </c>
      <c r="K586" s="1" t="s">
        <v>1662</v>
      </c>
      <c r="L586" s="1" t="s">
        <v>626</v>
      </c>
      <c r="M586" s="1" t="s">
        <v>962</v>
      </c>
      <c r="N586" s="1" t="s">
        <v>30</v>
      </c>
      <c r="O586" s="6">
        <v>68</v>
      </c>
      <c r="P586" s="6">
        <v>8.0000000000000004E-4</v>
      </c>
      <c r="Q586" s="2" t="str">
        <f>HYPERLINK("https://auction.openprocurement.org/tenders/aca900f09ddf45a3b0eb0e3ba294fbb3")</f>
        <v>https://auction.openprocurement.org/tenders/aca900f09ddf45a3b0eb0e3ba294fbb3</v>
      </c>
      <c r="R586" s="5">
        <v>43034.573446184986</v>
      </c>
      <c r="S586" s="4">
        <v>43045</v>
      </c>
      <c r="T586" s="4">
        <v>43055</v>
      </c>
      <c r="U586" s="1" t="s">
        <v>1956</v>
      </c>
      <c r="V586" s="5">
        <v>43046.702086015983</v>
      </c>
      <c r="W586" s="1" t="s">
        <v>1952</v>
      </c>
      <c r="X586" s="6">
        <v>84932</v>
      </c>
      <c r="Y586" s="1"/>
      <c r="Z586" s="4">
        <v>43079</v>
      </c>
      <c r="AA586" s="5">
        <v>43100</v>
      </c>
      <c r="AB586" s="1" t="s">
        <v>1971</v>
      </c>
      <c r="AC586" s="1"/>
      <c r="AD586" s="1"/>
    </row>
    <row r="587" spans="1:30" hidden="1" x14ac:dyDescent="0.25">
      <c r="A587" s="1" t="s">
        <v>1612</v>
      </c>
      <c r="B587" s="1" t="s">
        <v>411</v>
      </c>
      <c r="C587" s="1" t="s">
        <v>1081</v>
      </c>
      <c r="D587" s="4">
        <v>43013</v>
      </c>
      <c r="E587" s="6">
        <v>50364</v>
      </c>
      <c r="F587" s="6"/>
      <c r="G587" s="6">
        <v>186.53333333333333</v>
      </c>
      <c r="H587" s="1" t="s">
        <v>1693</v>
      </c>
      <c r="I587" s="6">
        <v>84636</v>
      </c>
      <c r="J587" s="6">
        <v>0.62693333333333334</v>
      </c>
      <c r="K587" s="1"/>
      <c r="L587" s="1"/>
      <c r="M587" s="1"/>
      <c r="N587" s="1"/>
      <c r="O587" s="1"/>
      <c r="P587" s="1"/>
      <c r="Q587" s="2" t="str">
        <f>HYPERLINK("https://auction.openprocurement.org/tenders/a385b652f5244d178bc604cbe94985bd")</f>
        <v>https://auction.openprocurement.org/tenders/a385b652f5244d178bc604cbe94985bd</v>
      </c>
      <c r="R587" s="1"/>
      <c r="S587" s="1"/>
      <c r="T587" s="1"/>
      <c r="U587" s="1" t="s">
        <v>1972</v>
      </c>
      <c r="V587" s="5">
        <v>43031.719500846004</v>
      </c>
      <c r="W587" s="1"/>
      <c r="X587" s="1"/>
      <c r="Y587" s="1"/>
      <c r="Z587" s="4">
        <v>43070</v>
      </c>
      <c r="AA587" s="1"/>
      <c r="AB587" s="1"/>
      <c r="AC587" s="1" t="s">
        <v>1802</v>
      </c>
      <c r="AD587" s="1"/>
    </row>
    <row r="588" spans="1:30" hidden="1" x14ac:dyDescent="0.25">
      <c r="A588" s="1" t="s">
        <v>1242</v>
      </c>
      <c r="B588" s="1" t="s">
        <v>659</v>
      </c>
      <c r="C588" s="1" t="s">
        <v>1147</v>
      </c>
      <c r="D588" s="4">
        <v>43013</v>
      </c>
      <c r="E588" s="6">
        <v>55500</v>
      </c>
      <c r="F588" s="6"/>
      <c r="G588" s="6">
        <v>2055.5555555555557</v>
      </c>
      <c r="H588" s="1" t="s">
        <v>1759</v>
      </c>
      <c r="I588" s="6">
        <v>2900</v>
      </c>
      <c r="J588" s="6">
        <v>4.965753424657534E-2</v>
      </c>
      <c r="K588" s="1" t="s">
        <v>1759</v>
      </c>
      <c r="L588" s="1" t="s">
        <v>706</v>
      </c>
      <c r="M588" s="1" t="s">
        <v>967</v>
      </c>
      <c r="N588" s="1" t="s">
        <v>155</v>
      </c>
      <c r="O588" s="6">
        <v>2900</v>
      </c>
      <c r="P588" s="6">
        <v>4.965753424657534E-2</v>
      </c>
      <c r="Q588" s="2"/>
      <c r="R588" s="5">
        <v>43026.41953920939</v>
      </c>
      <c r="S588" s="4">
        <v>43028</v>
      </c>
      <c r="T588" s="4">
        <v>43048</v>
      </c>
      <c r="U588" s="1" t="s">
        <v>1956</v>
      </c>
      <c r="V588" s="5">
        <v>43033.639964992719</v>
      </c>
      <c r="W588" s="1" t="s">
        <v>1952</v>
      </c>
      <c r="X588" s="6">
        <v>55500</v>
      </c>
      <c r="Y588" s="1"/>
      <c r="Z588" s="4">
        <v>43054</v>
      </c>
      <c r="AA588" s="5">
        <v>43100</v>
      </c>
      <c r="AB588" s="1" t="s">
        <v>1971</v>
      </c>
      <c r="AC588" s="1"/>
      <c r="AD588" s="1" t="s">
        <v>1168</v>
      </c>
    </row>
    <row r="589" spans="1:30" hidden="1" x14ac:dyDescent="0.25">
      <c r="A589" s="1" t="s">
        <v>5</v>
      </c>
      <c r="B589" s="1" t="s">
        <v>761</v>
      </c>
      <c r="C589" s="1" t="s">
        <v>1081</v>
      </c>
      <c r="D589" s="4">
        <v>43013</v>
      </c>
      <c r="E589" s="6">
        <v>158800</v>
      </c>
      <c r="F589" s="6"/>
      <c r="G589" s="6">
        <v>26466.666666666668</v>
      </c>
      <c r="H589" s="1" t="s">
        <v>1879</v>
      </c>
      <c r="I589" s="6">
        <v>1200</v>
      </c>
      <c r="J589" s="6">
        <v>7.4999999999999997E-3</v>
      </c>
      <c r="K589" s="1"/>
      <c r="L589" s="1"/>
      <c r="M589" s="1"/>
      <c r="N589" s="1"/>
      <c r="O589" s="1"/>
      <c r="P589" s="1"/>
      <c r="Q589" s="2" t="str">
        <f>HYPERLINK("https://auction.openprocurement.org/tenders/24fade6aa438437489ed9c0a25a653d2")</f>
        <v>https://auction.openprocurement.org/tenders/24fade6aa438437489ed9c0a25a653d2</v>
      </c>
      <c r="R589" s="5">
        <v>43032.721235642341</v>
      </c>
      <c r="S589" s="1"/>
      <c r="T589" s="1"/>
      <c r="U589" s="1" t="s">
        <v>1957</v>
      </c>
      <c r="V589" s="5">
        <v>43042.961311598621</v>
      </c>
      <c r="W589" s="1"/>
      <c r="X589" s="1"/>
      <c r="Y589" s="4">
        <v>43079</v>
      </c>
      <c r="Z589" s="4">
        <v>43166</v>
      </c>
      <c r="AA589" s="1"/>
      <c r="AB589" s="1"/>
      <c r="AC589" s="1"/>
      <c r="AD589" s="1"/>
    </row>
    <row r="590" spans="1:30" hidden="1" x14ac:dyDescent="0.25">
      <c r="A590" s="1" t="s">
        <v>1108</v>
      </c>
      <c r="B590" s="1" t="s">
        <v>728</v>
      </c>
      <c r="C590" s="1" t="s">
        <v>1081</v>
      </c>
      <c r="D590" s="4">
        <v>43013</v>
      </c>
      <c r="E590" s="6">
        <v>2041086</v>
      </c>
      <c r="F590" s="6"/>
      <c r="G590" s="6">
        <v>978</v>
      </c>
      <c r="H590" s="1" t="s">
        <v>1646</v>
      </c>
      <c r="I590" s="6">
        <v>700474</v>
      </c>
      <c r="J590" s="6">
        <v>0.25550197697661187</v>
      </c>
      <c r="K590" s="1" t="s">
        <v>1646</v>
      </c>
      <c r="L590" s="1" t="s">
        <v>653</v>
      </c>
      <c r="M590" s="1" t="s">
        <v>894</v>
      </c>
      <c r="N590" s="1" t="s">
        <v>123</v>
      </c>
      <c r="O590" s="6">
        <v>700474</v>
      </c>
      <c r="P590" s="6">
        <v>0.25550197697661187</v>
      </c>
      <c r="Q590" s="2" t="str">
        <f>HYPERLINK("https://auction.openprocurement.org/tenders/b793977fb566413fabcf55eba19af5a2")</f>
        <v>https://auction.openprocurement.org/tenders/b793977fb566413fabcf55eba19af5a2</v>
      </c>
      <c r="R590" s="5">
        <v>43032.518445124042</v>
      </c>
      <c r="S590" s="4">
        <v>43043</v>
      </c>
      <c r="T590" s="4">
        <v>43053</v>
      </c>
      <c r="U590" s="1" t="s">
        <v>1956</v>
      </c>
      <c r="V590" s="5">
        <v>43047.697112708527</v>
      </c>
      <c r="W590" s="1" t="s">
        <v>525</v>
      </c>
      <c r="X590" s="6">
        <v>2041086</v>
      </c>
      <c r="Y590" s="1"/>
      <c r="Z590" s="4">
        <v>43070</v>
      </c>
      <c r="AA590" s="5">
        <v>43100</v>
      </c>
      <c r="AB590" s="1" t="s">
        <v>1971</v>
      </c>
      <c r="AC590" s="1"/>
      <c r="AD590" s="1"/>
    </row>
    <row r="591" spans="1:30" hidden="1" x14ac:dyDescent="0.25">
      <c r="A591" s="1" t="s">
        <v>1602</v>
      </c>
      <c r="B591" s="1" t="s">
        <v>548</v>
      </c>
      <c r="C591" s="1" t="s">
        <v>1081</v>
      </c>
      <c r="D591" s="4">
        <v>43013</v>
      </c>
      <c r="E591" s="6">
        <v>898000</v>
      </c>
      <c r="F591" s="6"/>
      <c r="G591" s="6">
        <v>3241.8772563176894</v>
      </c>
      <c r="H591" s="1" t="s">
        <v>1879</v>
      </c>
      <c r="I591" s="6">
        <v>2000</v>
      </c>
      <c r="J591" s="6">
        <v>2.2222222222222222E-3</v>
      </c>
      <c r="K591" s="1"/>
      <c r="L591" s="1"/>
      <c r="M591" s="1"/>
      <c r="N591" s="1"/>
      <c r="O591" s="1"/>
      <c r="P591" s="1"/>
      <c r="Q591" s="2" t="str">
        <f>HYPERLINK("https://auction.openprocurement.org/tenders/eadda134dc1e42068fbdb0eb9d646af1_3f9d7ec33df64924998f47601a0e85ef")</f>
        <v>https://auction.openprocurement.org/tenders/eadda134dc1e42068fbdb0eb9d646af1_3f9d7ec33df64924998f47601a0e85ef</v>
      </c>
      <c r="R591" s="5">
        <v>43035.621083944956</v>
      </c>
      <c r="S591" s="1"/>
      <c r="T591" s="1"/>
      <c r="U591" s="1" t="s">
        <v>1957</v>
      </c>
      <c r="V591" s="5">
        <v>43042.958872415089</v>
      </c>
      <c r="W591" s="1"/>
      <c r="X591" s="1"/>
      <c r="Y591" s="1"/>
      <c r="Z591" s="4">
        <v>43079</v>
      </c>
      <c r="AA591" s="1"/>
      <c r="AB591" s="1"/>
      <c r="AC591" s="1"/>
      <c r="AD591" s="1"/>
    </row>
    <row r="592" spans="1:30" hidden="1" x14ac:dyDescent="0.25">
      <c r="A592" s="1" t="s">
        <v>1603</v>
      </c>
      <c r="B592" s="1" t="s">
        <v>548</v>
      </c>
      <c r="C592" s="1" t="s">
        <v>1081</v>
      </c>
      <c r="D592" s="4">
        <v>43013</v>
      </c>
      <c r="E592" s="6">
        <v>865500</v>
      </c>
      <c r="F592" s="6"/>
      <c r="G592" s="6">
        <v>832.21153846153845</v>
      </c>
      <c r="H592" s="1" t="s">
        <v>1315</v>
      </c>
      <c r="I592" s="6">
        <v>4500</v>
      </c>
      <c r="J592" s="6">
        <v>5.1724137931034482E-3</v>
      </c>
      <c r="K592" s="1" t="s">
        <v>1315</v>
      </c>
      <c r="L592" s="1" t="s">
        <v>618</v>
      </c>
      <c r="M592" s="1" t="s">
        <v>988</v>
      </c>
      <c r="N592" s="1" t="s">
        <v>185</v>
      </c>
      <c r="O592" s="6">
        <v>4500</v>
      </c>
      <c r="P592" s="6">
        <v>5.1724137931034482E-3</v>
      </c>
      <c r="Q592" s="2" t="str">
        <f>HYPERLINK("https://auction.openprocurement.org/tenders/eadda134dc1e42068fbdb0eb9d646af1_2a160f32512146b28042614c411373fd")</f>
        <v>https://auction.openprocurement.org/tenders/eadda134dc1e42068fbdb0eb9d646af1_2a160f32512146b28042614c411373fd</v>
      </c>
      <c r="R592" s="5">
        <v>43035.621083944956</v>
      </c>
      <c r="S592" s="4">
        <v>43046</v>
      </c>
      <c r="T592" s="4">
        <v>43056</v>
      </c>
      <c r="U592" s="1" t="s">
        <v>1955</v>
      </c>
      <c r="V592" s="5">
        <v>43046.729637780823</v>
      </c>
      <c r="W592" s="1" t="s">
        <v>1952</v>
      </c>
      <c r="X592" s="6">
        <v>865500</v>
      </c>
      <c r="Y592" s="1"/>
      <c r="Z592" s="4">
        <v>43079</v>
      </c>
      <c r="AA592" s="5">
        <v>43100</v>
      </c>
      <c r="AB592" s="1" t="s">
        <v>1971</v>
      </c>
      <c r="AC592" s="1"/>
      <c r="AD592" s="1"/>
    </row>
    <row r="593" spans="1:30" hidden="1" x14ac:dyDescent="0.25">
      <c r="A593" s="1" t="s">
        <v>1059</v>
      </c>
      <c r="B593" s="1" t="s">
        <v>723</v>
      </c>
      <c r="C593" s="1" t="s">
        <v>1147</v>
      </c>
      <c r="D593" s="4">
        <v>43013</v>
      </c>
      <c r="E593" s="6">
        <v>4289</v>
      </c>
      <c r="F593" s="6"/>
      <c r="G593" s="6">
        <v>4289</v>
      </c>
      <c r="H593" s="1" t="s">
        <v>1679</v>
      </c>
      <c r="I593" s="6">
        <v>611</v>
      </c>
      <c r="J593" s="6">
        <v>0.1246938775510204</v>
      </c>
      <c r="K593" s="1" t="s">
        <v>1640</v>
      </c>
      <c r="L593" s="1" t="s">
        <v>552</v>
      </c>
      <c r="M593" s="1" t="s">
        <v>765</v>
      </c>
      <c r="N593" s="1" t="s">
        <v>38</v>
      </c>
      <c r="O593" s="6">
        <v>610</v>
      </c>
      <c r="P593" s="6">
        <v>0.12448979591836734</v>
      </c>
      <c r="Q593" s="2" t="str">
        <f>HYPERLINK("https://auction.openprocurement.org/tenders/caafcc35c8804aed9d50f411b2802add")</f>
        <v>https://auction.openprocurement.org/tenders/caafcc35c8804aed9d50f411b2802add</v>
      </c>
      <c r="R593" s="5">
        <v>43027.517871602824</v>
      </c>
      <c r="S593" s="4">
        <v>43031</v>
      </c>
      <c r="T593" s="4">
        <v>43048</v>
      </c>
      <c r="U593" s="1" t="s">
        <v>1956</v>
      </c>
      <c r="V593" s="5">
        <v>43040.526293632152</v>
      </c>
      <c r="W593" s="1" t="s">
        <v>464</v>
      </c>
      <c r="X593" s="6">
        <v>4290</v>
      </c>
      <c r="Y593" s="1"/>
      <c r="Z593" s="4">
        <v>43040</v>
      </c>
      <c r="AA593" s="5">
        <v>43100</v>
      </c>
      <c r="AB593" s="1" t="s">
        <v>1971</v>
      </c>
      <c r="AC593" s="1"/>
      <c r="AD593" s="1" t="s">
        <v>1168</v>
      </c>
    </row>
    <row r="594" spans="1:30" hidden="1" x14ac:dyDescent="0.25">
      <c r="A594" s="1" t="s">
        <v>1607</v>
      </c>
      <c r="B594" s="1" t="s">
        <v>394</v>
      </c>
      <c r="C594" s="1" t="s">
        <v>1147</v>
      </c>
      <c r="D594" s="4">
        <v>43011</v>
      </c>
      <c r="E594" s="6">
        <v>53883</v>
      </c>
      <c r="F594" s="6"/>
      <c r="G594" s="6">
        <v>53883</v>
      </c>
      <c r="H594" s="1" t="s">
        <v>1890</v>
      </c>
      <c r="I594" s="6">
        <v>11117</v>
      </c>
      <c r="J594" s="6">
        <v>0.17103076923076924</v>
      </c>
      <c r="K594" s="1" t="s">
        <v>1133</v>
      </c>
      <c r="L594" s="1" t="s">
        <v>588</v>
      </c>
      <c r="M594" s="1" t="s">
        <v>960</v>
      </c>
      <c r="N594" s="1" t="s">
        <v>113</v>
      </c>
      <c r="O594" s="1"/>
      <c r="P594" s="1"/>
      <c r="Q594" s="2" t="str">
        <f>HYPERLINK("https://auction.openprocurement.org/tenders/0bead495638947fd8d08f29678b0e781")</f>
        <v>https://auction.openprocurement.org/tenders/0bead495638947fd8d08f29678b0e781</v>
      </c>
      <c r="R594" s="5">
        <v>43025.731244693321</v>
      </c>
      <c r="S594" s="4">
        <v>43027</v>
      </c>
      <c r="T594" s="4">
        <v>43044</v>
      </c>
      <c r="U594" s="1" t="s">
        <v>1956</v>
      </c>
      <c r="V594" s="5">
        <v>43032.729991228429</v>
      </c>
      <c r="W594" s="1" t="s">
        <v>1952</v>
      </c>
      <c r="X594" s="6">
        <v>65000</v>
      </c>
      <c r="Y594" s="1"/>
      <c r="Z594" s="4">
        <v>43070</v>
      </c>
      <c r="AA594" s="5">
        <v>43100</v>
      </c>
      <c r="AB594" s="1" t="s">
        <v>1971</v>
      </c>
      <c r="AC594" s="1"/>
      <c r="AD594" s="1" t="s">
        <v>1168</v>
      </c>
    </row>
    <row r="595" spans="1:30" hidden="1" x14ac:dyDescent="0.25">
      <c r="A595" s="1" t="s">
        <v>1442</v>
      </c>
      <c r="B595" s="1" t="s">
        <v>747</v>
      </c>
      <c r="C595" s="1" t="s">
        <v>1147</v>
      </c>
      <c r="D595" s="4">
        <v>43010</v>
      </c>
      <c r="E595" s="6">
        <v>189930</v>
      </c>
      <c r="F595" s="6"/>
      <c r="G595" s="6">
        <v>189930</v>
      </c>
      <c r="H595" s="1" t="s">
        <v>1662</v>
      </c>
      <c r="I595" s="6">
        <v>70</v>
      </c>
      <c r="J595" s="6">
        <v>3.6842105263157896E-4</v>
      </c>
      <c r="K595" s="1" t="s">
        <v>1662</v>
      </c>
      <c r="L595" s="1" t="s">
        <v>626</v>
      </c>
      <c r="M595" s="1" t="s">
        <v>962</v>
      </c>
      <c r="N595" s="1" t="s">
        <v>30</v>
      </c>
      <c r="O595" s="6">
        <v>70</v>
      </c>
      <c r="P595" s="6">
        <v>3.6842105263157896E-4</v>
      </c>
      <c r="Q595" s="2"/>
      <c r="R595" s="5">
        <v>43019.490032356676</v>
      </c>
      <c r="S595" s="4">
        <v>43021</v>
      </c>
      <c r="T595" s="4">
        <v>43043</v>
      </c>
      <c r="U595" s="1" t="s">
        <v>1956</v>
      </c>
      <c r="V595" s="5">
        <v>43031.654891961771</v>
      </c>
      <c r="W595" s="1" t="s">
        <v>407</v>
      </c>
      <c r="X595" s="6">
        <v>189930</v>
      </c>
      <c r="Y595" s="1"/>
      <c r="Z595" s="4">
        <v>43079</v>
      </c>
      <c r="AA595" s="5">
        <v>43100</v>
      </c>
      <c r="AB595" s="1" t="s">
        <v>1971</v>
      </c>
      <c r="AC595" s="1"/>
      <c r="AD595" s="1" t="s">
        <v>1168</v>
      </c>
    </row>
    <row r="596" spans="1:30" hidden="1" x14ac:dyDescent="0.25">
      <c r="A596" s="1" t="s">
        <v>1483</v>
      </c>
      <c r="B596" s="1" t="s">
        <v>820</v>
      </c>
      <c r="C596" s="1" t="s">
        <v>1081</v>
      </c>
      <c r="D596" s="4">
        <v>43007</v>
      </c>
      <c r="E596" s="6">
        <v>300000</v>
      </c>
      <c r="F596" s="6"/>
      <c r="G596" s="6">
        <v>300000</v>
      </c>
      <c r="H596" s="1" t="s">
        <v>1692</v>
      </c>
      <c r="I596" s="6">
        <v>10000</v>
      </c>
      <c r="J596" s="6">
        <v>3.2258064516129031E-2</v>
      </c>
      <c r="K596" s="1" t="s">
        <v>1692</v>
      </c>
      <c r="L596" s="1" t="s">
        <v>641</v>
      </c>
      <c r="M596" s="1" t="s">
        <v>919</v>
      </c>
      <c r="N596" s="1" t="s">
        <v>167</v>
      </c>
      <c r="O596" s="6">
        <v>10000</v>
      </c>
      <c r="P596" s="6">
        <v>3.2258064516129031E-2</v>
      </c>
      <c r="Q596" s="2" t="str">
        <f>HYPERLINK("https://auction.openprocurement.org/tenders/9e921dad4ee044209ead8ff701c59750")</f>
        <v>https://auction.openprocurement.org/tenders/9e921dad4ee044209ead8ff701c59750</v>
      </c>
      <c r="R596" s="5">
        <v>43027.498315051307</v>
      </c>
      <c r="S596" s="4">
        <v>43038</v>
      </c>
      <c r="T596" s="4">
        <v>43048</v>
      </c>
      <c r="U596" s="1" t="s">
        <v>1956</v>
      </c>
      <c r="V596" s="5">
        <v>43039.474074123915</v>
      </c>
      <c r="W596" s="1" t="s">
        <v>1952</v>
      </c>
      <c r="X596" s="6">
        <v>300000</v>
      </c>
      <c r="Y596" s="1"/>
      <c r="Z596" s="4">
        <v>43100</v>
      </c>
      <c r="AA596" s="5">
        <v>43100</v>
      </c>
      <c r="AB596" s="1" t="s">
        <v>1971</v>
      </c>
      <c r="AC596" s="1"/>
      <c r="AD596" s="1" t="s">
        <v>1168</v>
      </c>
    </row>
    <row r="597" spans="1:30" hidden="1" x14ac:dyDescent="0.25">
      <c r="A597" s="1" t="s">
        <v>1417</v>
      </c>
      <c r="B597" s="1" t="s">
        <v>843</v>
      </c>
      <c r="C597" s="1" t="s">
        <v>1081</v>
      </c>
      <c r="D597" s="4">
        <v>43006</v>
      </c>
      <c r="E597" s="6">
        <v>796000</v>
      </c>
      <c r="F597" s="6"/>
      <c r="G597" s="6">
        <v>796000</v>
      </c>
      <c r="H597" s="1" t="s">
        <v>1839</v>
      </c>
      <c r="I597" s="6">
        <v>4000</v>
      </c>
      <c r="J597" s="6">
        <v>5.0000000000000001E-3</v>
      </c>
      <c r="K597" s="1" t="s">
        <v>1839</v>
      </c>
      <c r="L597" s="1" t="s">
        <v>476</v>
      </c>
      <c r="M597" s="1" t="s">
        <v>877</v>
      </c>
      <c r="N597" s="1" t="s">
        <v>99</v>
      </c>
      <c r="O597" s="6">
        <v>4000</v>
      </c>
      <c r="P597" s="6">
        <v>5.0000000000000001E-3</v>
      </c>
      <c r="Q597" s="2" t="str">
        <f>HYPERLINK("https://auction.openprocurement.org/tenders/8d214156418b48279083194f5d5456d3_311aa7c2ac8f428cb287b024d95c5528")</f>
        <v>https://auction.openprocurement.org/tenders/8d214156418b48279083194f5d5456d3_311aa7c2ac8f428cb287b024d95c5528</v>
      </c>
      <c r="R597" s="5">
        <v>43026.643259400997</v>
      </c>
      <c r="S597" s="4">
        <v>43037</v>
      </c>
      <c r="T597" s="4">
        <v>43047</v>
      </c>
      <c r="U597" s="1" t="s">
        <v>1955</v>
      </c>
      <c r="V597" s="5">
        <v>43045.490779883934</v>
      </c>
      <c r="W597" s="1" t="s">
        <v>1952</v>
      </c>
      <c r="X597" s="6">
        <v>796000</v>
      </c>
      <c r="Y597" s="4">
        <v>43070</v>
      </c>
      <c r="Z597" s="4">
        <v>43190</v>
      </c>
      <c r="AA597" s="5">
        <v>43190</v>
      </c>
      <c r="AB597" s="1" t="s">
        <v>1971</v>
      </c>
      <c r="AC597" s="1"/>
      <c r="AD597" s="1"/>
    </row>
    <row r="598" spans="1:30" hidden="1" x14ac:dyDescent="0.25">
      <c r="A598" s="1" t="s">
        <v>1418</v>
      </c>
      <c r="B598" s="1" t="s">
        <v>843</v>
      </c>
      <c r="C598" s="1" t="s">
        <v>1081</v>
      </c>
      <c r="D598" s="4">
        <v>43006</v>
      </c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2"/>
      <c r="R598" s="5">
        <v>43026.643259400997</v>
      </c>
      <c r="S598" s="1"/>
      <c r="T598" s="1"/>
      <c r="U598" s="1" t="s">
        <v>1957</v>
      </c>
      <c r="V598" s="5">
        <v>43021.459210430883</v>
      </c>
      <c r="W598" s="1"/>
      <c r="X598" s="1"/>
      <c r="Y598" s="4">
        <v>43070</v>
      </c>
      <c r="Z598" s="4">
        <v>43160</v>
      </c>
      <c r="AA598" s="1"/>
      <c r="AB598" s="1"/>
      <c r="AC598" s="1"/>
      <c r="AD598" s="1"/>
    </row>
    <row r="599" spans="1:30" hidden="1" x14ac:dyDescent="0.25">
      <c r="A599" s="1" t="s">
        <v>1449</v>
      </c>
      <c r="B599" s="1" t="s">
        <v>833</v>
      </c>
      <c r="C599" s="1" t="s">
        <v>1081</v>
      </c>
      <c r="D599" s="4">
        <v>42999</v>
      </c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2"/>
      <c r="R599" s="1"/>
      <c r="S599" s="1"/>
      <c r="T599" s="1"/>
      <c r="U599" s="1" t="s">
        <v>1957</v>
      </c>
      <c r="V599" s="5">
        <v>43014.62560341131</v>
      </c>
      <c r="W599" s="1"/>
      <c r="X599" s="1"/>
      <c r="Y599" s="1"/>
      <c r="Z599" s="4">
        <v>43069</v>
      </c>
      <c r="AA599" s="1"/>
      <c r="AB599" s="1"/>
      <c r="AC599" s="1"/>
      <c r="AD599" s="1"/>
    </row>
    <row r="600" spans="1:30" hidden="1" x14ac:dyDescent="0.25">
      <c r="A600" s="1" t="s">
        <v>1402</v>
      </c>
      <c r="B600" s="1" t="s">
        <v>810</v>
      </c>
      <c r="C600" s="1" t="s">
        <v>1081</v>
      </c>
      <c r="D600" s="4">
        <v>42999</v>
      </c>
      <c r="E600" s="6">
        <v>139142.44</v>
      </c>
      <c r="F600" s="6"/>
      <c r="G600" s="6">
        <v>139142.44</v>
      </c>
      <c r="H600" s="1" t="s">
        <v>1725</v>
      </c>
      <c r="I600" s="6">
        <v>857.55999999999767</v>
      </c>
      <c r="J600" s="6">
        <v>6.1254285714285551E-3</v>
      </c>
      <c r="K600" s="1" t="s">
        <v>1725</v>
      </c>
      <c r="L600" s="1" t="s">
        <v>473</v>
      </c>
      <c r="M600" s="1" t="s">
        <v>993</v>
      </c>
      <c r="N600" s="1" t="s">
        <v>160</v>
      </c>
      <c r="O600" s="6">
        <v>857.55999999999767</v>
      </c>
      <c r="P600" s="6">
        <v>6.1254285714285551E-3</v>
      </c>
      <c r="Q600" s="2" t="str">
        <f>HYPERLINK("https://auction.openprocurement.org/tenders/ce23689838b741f7a3575e42c56c1bfa")</f>
        <v>https://auction.openprocurement.org/tenders/ce23689838b741f7a3575e42c56c1bfa</v>
      </c>
      <c r="R600" s="5">
        <v>43021.394877870749</v>
      </c>
      <c r="S600" s="4">
        <v>43032</v>
      </c>
      <c r="T600" s="4">
        <v>43042</v>
      </c>
      <c r="U600" s="1" t="s">
        <v>1956</v>
      </c>
      <c r="V600" s="5">
        <v>43033.466098976853</v>
      </c>
      <c r="W600" s="1" t="s">
        <v>1952</v>
      </c>
      <c r="X600" s="6">
        <v>139142.44</v>
      </c>
      <c r="Y600" s="1"/>
      <c r="Z600" s="4">
        <v>43084</v>
      </c>
      <c r="AA600" s="5">
        <v>43100</v>
      </c>
      <c r="AB600" s="1" t="s">
        <v>1971</v>
      </c>
      <c r="AC600" s="1"/>
      <c r="AD600" s="1" t="s">
        <v>1168</v>
      </c>
    </row>
    <row r="601" spans="1:30" hidden="1" x14ac:dyDescent="0.25">
      <c r="A601" s="1" t="s">
        <v>1442</v>
      </c>
      <c r="B601" s="1" t="s">
        <v>747</v>
      </c>
      <c r="C601" s="1" t="s">
        <v>1147</v>
      </c>
      <c r="D601" s="4">
        <v>42999</v>
      </c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2"/>
      <c r="R601" s="1"/>
      <c r="S601" s="1"/>
      <c r="T601" s="1"/>
      <c r="U601" s="1" t="s">
        <v>1957</v>
      </c>
      <c r="V601" s="5">
        <v>43007.528601003301</v>
      </c>
      <c r="W601" s="1"/>
      <c r="X601" s="1"/>
      <c r="Y601" s="1"/>
      <c r="Z601" s="4">
        <v>43069</v>
      </c>
      <c r="AA601" s="1"/>
      <c r="AB601" s="1"/>
      <c r="AC601" s="1"/>
      <c r="AD601" s="1"/>
    </row>
    <row r="602" spans="1:30" hidden="1" x14ac:dyDescent="0.25">
      <c r="A602" s="1" t="s">
        <v>1549</v>
      </c>
      <c r="B602" s="1" t="s">
        <v>793</v>
      </c>
      <c r="C602" s="1" t="s">
        <v>1147</v>
      </c>
      <c r="D602" s="4">
        <v>42997</v>
      </c>
      <c r="E602" s="6">
        <v>305000</v>
      </c>
      <c r="F602" s="6"/>
      <c r="G602" s="6">
        <v>305000</v>
      </c>
      <c r="H602" s="1" t="s">
        <v>1722</v>
      </c>
      <c r="I602" s="6">
        <v>14500</v>
      </c>
      <c r="J602" s="6">
        <v>4.5383411580594682E-2</v>
      </c>
      <c r="K602" s="1" t="s">
        <v>1313</v>
      </c>
      <c r="L602" s="1" t="s">
        <v>576</v>
      </c>
      <c r="M602" s="1" t="s">
        <v>903</v>
      </c>
      <c r="N602" s="1" t="s">
        <v>109</v>
      </c>
      <c r="O602" s="1"/>
      <c r="P602" s="1"/>
      <c r="Q602" s="2" t="str">
        <f>HYPERLINK("https://auction.openprocurement.org/tenders/6a4b4badf8634743872fc901f8d970f3")</f>
        <v>https://auction.openprocurement.org/tenders/6a4b4badf8634743872fc901f8d970f3</v>
      </c>
      <c r="R602" s="5">
        <v>43010.624105182629</v>
      </c>
      <c r="S602" s="4">
        <v>43012</v>
      </c>
      <c r="T602" s="4">
        <v>43030</v>
      </c>
      <c r="U602" s="1" t="s">
        <v>1956</v>
      </c>
      <c r="V602" s="5">
        <v>43018.550559873227</v>
      </c>
      <c r="W602" s="1" t="s">
        <v>345</v>
      </c>
      <c r="X602" s="6">
        <v>319500</v>
      </c>
      <c r="Y602" s="1"/>
      <c r="Z602" s="4">
        <v>43465</v>
      </c>
      <c r="AA602" s="5">
        <v>43465</v>
      </c>
      <c r="AB602" s="1" t="s">
        <v>1971</v>
      </c>
      <c r="AC602" s="1"/>
      <c r="AD602" s="1"/>
    </row>
    <row r="603" spans="1:30" hidden="1" x14ac:dyDescent="0.25">
      <c r="A603" s="1" t="s">
        <v>1242</v>
      </c>
      <c r="B603" s="1" t="s">
        <v>659</v>
      </c>
      <c r="C603" s="1" t="s">
        <v>1147</v>
      </c>
      <c r="D603" s="4">
        <v>42993</v>
      </c>
      <c r="E603" s="6">
        <v>43980</v>
      </c>
      <c r="F603" s="6"/>
      <c r="G603" s="6">
        <v>1628.8888888888889</v>
      </c>
      <c r="H603" s="1" t="s">
        <v>1759</v>
      </c>
      <c r="I603" s="6">
        <v>14420</v>
      </c>
      <c r="J603" s="6">
        <v>0.24691780821917808</v>
      </c>
      <c r="K603" s="1" t="s">
        <v>1759</v>
      </c>
      <c r="L603" s="1" t="s">
        <v>706</v>
      </c>
      <c r="M603" s="1" t="s">
        <v>967</v>
      </c>
      <c r="N603" s="1" t="s">
        <v>155</v>
      </c>
      <c r="O603" s="6">
        <v>14420</v>
      </c>
      <c r="P603" s="6">
        <v>0.24691780821917808</v>
      </c>
      <c r="Q603" s="2" t="str">
        <f>HYPERLINK("https://auction.openprocurement.org/tenders/3e06c3cdf2f84f8298974f221f5b51bd")</f>
        <v>https://auction.openprocurement.org/tenders/3e06c3cdf2f84f8298974f221f5b51bd</v>
      </c>
      <c r="R603" s="5">
        <v>43007.480129289863</v>
      </c>
      <c r="S603" s="1"/>
      <c r="T603" s="1"/>
      <c r="U603" s="1" t="s">
        <v>1972</v>
      </c>
      <c r="V603" s="5">
        <v>43013.578457270291</v>
      </c>
      <c r="W603" s="1"/>
      <c r="X603" s="6">
        <v>43980</v>
      </c>
      <c r="Y603" s="1"/>
      <c r="Z603" s="4">
        <v>43040</v>
      </c>
      <c r="AA603" s="1"/>
      <c r="AB603" s="1" t="s">
        <v>1961</v>
      </c>
      <c r="AC603" s="1" t="s">
        <v>1793</v>
      </c>
      <c r="AD603" s="1"/>
    </row>
    <row r="604" spans="1:30" hidden="1" x14ac:dyDescent="0.25">
      <c r="A604" s="1" t="s">
        <v>1783</v>
      </c>
      <c r="B604" s="1" t="s">
        <v>631</v>
      </c>
      <c r="C604" s="1" t="s">
        <v>1147</v>
      </c>
      <c r="D604" s="4">
        <v>42993</v>
      </c>
      <c r="E604" s="6">
        <v>80000</v>
      </c>
      <c r="F604" s="6"/>
      <c r="G604" s="6">
        <v>2962.962962962963</v>
      </c>
      <c r="H604" s="1" t="s">
        <v>1836</v>
      </c>
      <c r="I604" s="1"/>
      <c r="J604" s="1"/>
      <c r="K604" s="1" t="s">
        <v>1836</v>
      </c>
      <c r="L604" s="1" t="s">
        <v>583</v>
      </c>
      <c r="M604" s="1" t="s">
        <v>968</v>
      </c>
      <c r="N604" s="1" t="s">
        <v>56</v>
      </c>
      <c r="O604" s="1"/>
      <c r="P604" s="1"/>
      <c r="Q604" s="2"/>
      <c r="R604" s="5">
        <v>43005.685100258459</v>
      </c>
      <c r="S604" s="4">
        <v>43007</v>
      </c>
      <c r="T604" s="4">
        <v>43028</v>
      </c>
      <c r="U604" s="1" t="s">
        <v>1956</v>
      </c>
      <c r="V604" s="5">
        <v>43013.704972457352</v>
      </c>
      <c r="W604" s="1" t="s">
        <v>1952</v>
      </c>
      <c r="X604" s="6">
        <v>80000</v>
      </c>
      <c r="Y604" s="1"/>
      <c r="Z604" s="4">
        <v>43040</v>
      </c>
      <c r="AA604" s="5">
        <v>43100</v>
      </c>
      <c r="AB604" s="1" t="s">
        <v>1971</v>
      </c>
      <c r="AC604" s="1"/>
      <c r="AD604" s="1" t="s">
        <v>1168</v>
      </c>
    </row>
    <row r="605" spans="1:30" hidden="1" x14ac:dyDescent="0.25">
      <c r="A605" s="1" t="s">
        <v>1340</v>
      </c>
      <c r="B605" s="1" t="s">
        <v>387</v>
      </c>
      <c r="C605" s="1" t="s">
        <v>1081</v>
      </c>
      <c r="D605" s="4">
        <v>42993</v>
      </c>
      <c r="E605" s="6">
        <v>339970</v>
      </c>
      <c r="F605" s="6"/>
      <c r="G605" s="6">
        <v>16189.047619047618</v>
      </c>
      <c r="H605" s="1" t="s">
        <v>1133</v>
      </c>
      <c r="I605" s="6">
        <v>38030</v>
      </c>
      <c r="J605" s="6">
        <v>0.10060846560846561</v>
      </c>
      <c r="K605" s="1" t="s">
        <v>1133</v>
      </c>
      <c r="L605" s="1" t="s">
        <v>588</v>
      </c>
      <c r="M605" s="1" t="s">
        <v>960</v>
      </c>
      <c r="N605" s="1" t="s">
        <v>113</v>
      </c>
      <c r="O605" s="6">
        <v>38030</v>
      </c>
      <c r="P605" s="6">
        <v>0.10060846560846561</v>
      </c>
      <c r="Q605" s="2" t="str">
        <f>HYPERLINK("https://auction.openprocurement.org/tenders/53420476cc04476fb9c469fb38ef24cd")</f>
        <v>https://auction.openprocurement.org/tenders/53420476cc04476fb9c469fb38ef24cd</v>
      </c>
      <c r="R605" s="5">
        <v>43013.53342033067</v>
      </c>
      <c r="S605" s="4">
        <v>43024</v>
      </c>
      <c r="T605" s="4">
        <v>43034</v>
      </c>
      <c r="U605" s="1" t="s">
        <v>1956</v>
      </c>
      <c r="V605" s="5">
        <v>43032.611513434618</v>
      </c>
      <c r="W605" s="1" t="s">
        <v>1952</v>
      </c>
      <c r="X605" s="6">
        <v>339970</v>
      </c>
      <c r="Y605" s="1"/>
      <c r="Z605" s="4">
        <v>43069</v>
      </c>
      <c r="AA605" s="5">
        <v>43100</v>
      </c>
      <c r="AB605" s="1" t="s">
        <v>1971</v>
      </c>
      <c r="AC605" s="1"/>
      <c r="AD605" s="1" t="s">
        <v>1168</v>
      </c>
    </row>
    <row r="606" spans="1:30" hidden="1" x14ac:dyDescent="0.25">
      <c r="A606" s="1" t="s">
        <v>1483</v>
      </c>
      <c r="B606" s="1" t="s">
        <v>824</v>
      </c>
      <c r="C606" s="1" t="s">
        <v>1081</v>
      </c>
      <c r="D606" s="4">
        <v>42992</v>
      </c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2"/>
      <c r="R606" s="1"/>
      <c r="S606" s="1"/>
      <c r="T606" s="1"/>
      <c r="U606" s="1" t="s">
        <v>1957</v>
      </c>
      <c r="V606" s="5">
        <v>43007.625849850345</v>
      </c>
      <c r="W606" s="1"/>
      <c r="X606" s="1"/>
      <c r="Y606" s="1"/>
      <c r="Z606" s="4">
        <v>43100</v>
      </c>
      <c r="AA606" s="1"/>
      <c r="AB606" s="1"/>
      <c r="AC606" s="1"/>
      <c r="AD606" s="1"/>
    </row>
    <row r="607" spans="1:30" hidden="1" x14ac:dyDescent="0.25">
      <c r="A607" s="1" t="s">
        <v>1607</v>
      </c>
      <c r="B607" s="1" t="s">
        <v>394</v>
      </c>
      <c r="C607" s="1" t="s">
        <v>1147</v>
      </c>
      <c r="D607" s="4">
        <v>42991</v>
      </c>
      <c r="E607" s="6">
        <v>53819</v>
      </c>
      <c r="F607" s="6"/>
      <c r="G607" s="6">
        <v>53819</v>
      </c>
      <c r="H607" s="1" t="s">
        <v>1028</v>
      </c>
      <c r="I607" s="6">
        <v>11181</v>
      </c>
      <c r="J607" s="6">
        <v>0.17201538461538463</v>
      </c>
      <c r="K607" s="1"/>
      <c r="L607" s="1"/>
      <c r="M607" s="1"/>
      <c r="N607" s="1"/>
      <c r="O607" s="1"/>
      <c r="P607" s="1"/>
      <c r="Q607" s="2" t="str">
        <f>HYPERLINK("https://auction.openprocurement.org/tenders/0ac08df857c4471596f3c18168f347c7")</f>
        <v>https://auction.openprocurement.org/tenders/0ac08df857c4471596f3c18168f347c7</v>
      </c>
      <c r="R607" s="5">
        <v>43007.647476010126</v>
      </c>
      <c r="S607" s="1"/>
      <c r="T607" s="1"/>
      <c r="U607" s="1" t="s">
        <v>1957</v>
      </c>
      <c r="V607" s="5">
        <v>43011.648951162766</v>
      </c>
      <c r="W607" s="1"/>
      <c r="X607" s="1"/>
      <c r="Y607" s="1"/>
      <c r="Z607" s="4">
        <v>43070</v>
      </c>
      <c r="AA607" s="1"/>
      <c r="AB607" s="1"/>
      <c r="AC607" s="1"/>
      <c r="AD607" s="1"/>
    </row>
    <row r="608" spans="1:30" hidden="1" x14ac:dyDescent="0.25">
      <c r="A608" s="1" t="s">
        <v>1328</v>
      </c>
      <c r="B608" s="1" t="s">
        <v>428</v>
      </c>
      <c r="C608" s="1" t="s">
        <v>1147</v>
      </c>
      <c r="D608" s="4">
        <v>42989</v>
      </c>
      <c r="E608" s="6">
        <v>6078.42</v>
      </c>
      <c r="F608" s="6"/>
      <c r="G608" s="6">
        <v>24.608987854251012</v>
      </c>
      <c r="H608" s="1" t="s">
        <v>1691</v>
      </c>
      <c r="I608" s="6">
        <v>2266.58</v>
      </c>
      <c r="J608" s="6">
        <v>0.27160934691431993</v>
      </c>
      <c r="K608" s="1" t="s">
        <v>1691</v>
      </c>
      <c r="L608" s="1" t="s">
        <v>664</v>
      </c>
      <c r="M608" s="1" t="s">
        <v>921</v>
      </c>
      <c r="N608" s="1" t="s">
        <v>299</v>
      </c>
      <c r="O608" s="6">
        <v>2266.58</v>
      </c>
      <c r="P608" s="6">
        <v>0.27160934691431993</v>
      </c>
      <c r="Q608" s="2" t="str">
        <f>HYPERLINK("https://auction.openprocurement.org/tenders/58d94d5859df407ea7c884a9bb7a3775")</f>
        <v>https://auction.openprocurement.org/tenders/58d94d5859df407ea7c884a9bb7a3775</v>
      </c>
      <c r="R608" s="5">
        <v>43000.425024060714</v>
      </c>
      <c r="S608" s="4">
        <v>43004</v>
      </c>
      <c r="T608" s="4">
        <v>43022</v>
      </c>
      <c r="U608" s="1" t="s">
        <v>1956</v>
      </c>
      <c r="V608" s="5">
        <v>43011.643235484466</v>
      </c>
      <c r="W608" s="1" t="s">
        <v>1582</v>
      </c>
      <c r="X608" s="6">
        <v>6078.42</v>
      </c>
      <c r="Y608" s="1"/>
      <c r="Z608" s="4">
        <v>43009</v>
      </c>
      <c r="AA608" s="5">
        <v>43100</v>
      </c>
      <c r="AB608" s="1" t="s">
        <v>1971</v>
      </c>
      <c r="AC608" s="1"/>
      <c r="AD608" s="1" t="s">
        <v>1168</v>
      </c>
    </row>
    <row r="609" spans="1:30" hidden="1" x14ac:dyDescent="0.25">
      <c r="A609" s="1" t="s">
        <v>1108</v>
      </c>
      <c r="B609" s="1" t="s">
        <v>728</v>
      </c>
      <c r="C609" s="1" t="s">
        <v>1081</v>
      </c>
      <c r="D609" s="4">
        <v>42986</v>
      </c>
      <c r="E609" s="6">
        <v>2604082.2999999998</v>
      </c>
      <c r="F609" s="6"/>
      <c r="G609" s="6">
        <v>1247.7634403449927</v>
      </c>
      <c r="H609" s="1" t="s">
        <v>1645</v>
      </c>
      <c r="I609" s="6">
        <v>137477.70000000019</v>
      </c>
      <c r="J609" s="6">
        <v>5.0145792906228635E-2</v>
      </c>
      <c r="K609" s="1" t="s">
        <v>1646</v>
      </c>
      <c r="L609" s="1" t="s">
        <v>653</v>
      </c>
      <c r="M609" s="1" t="s">
        <v>894</v>
      </c>
      <c r="N609" s="1" t="s">
        <v>123</v>
      </c>
      <c r="O609" s="6">
        <v>126549</v>
      </c>
      <c r="P609" s="6">
        <v>4.6159485840178587E-2</v>
      </c>
      <c r="Q609" s="2" t="str">
        <f>HYPERLINK("https://auction.openprocurement.org/tenders/4e3510cffabd4cfdb76924ce187db373")</f>
        <v>https://auction.openprocurement.org/tenders/4e3510cffabd4cfdb76924ce187db373</v>
      </c>
      <c r="R609" s="5">
        <v>43006.589942005288</v>
      </c>
      <c r="S609" s="1"/>
      <c r="T609" s="1"/>
      <c r="U609" s="1" t="s">
        <v>1972</v>
      </c>
      <c r="V609" s="5">
        <v>43007.573723175286</v>
      </c>
      <c r="W609" s="1"/>
      <c r="X609" s="6">
        <v>2615011</v>
      </c>
      <c r="Y609" s="1"/>
      <c r="Z609" s="4">
        <v>43054</v>
      </c>
      <c r="AA609" s="1"/>
      <c r="AB609" s="1" t="s">
        <v>1961</v>
      </c>
      <c r="AC609" s="1" t="s">
        <v>1786</v>
      </c>
      <c r="AD609" s="1"/>
    </row>
    <row r="610" spans="1:30" hidden="1" x14ac:dyDescent="0.25">
      <c r="A610" s="1" t="s">
        <v>1482</v>
      </c>
      <c r="B610" s="1" t="s">
        <v>781</v>
      </c>
      <c r="C610" s="1" t="s">
        <v>1157</v>
      </c>
      <c r="D610" s="4">
        <v>42985</v>
      </c>
      <c r="E610" s="6">
        <v>93560</v>
      </c>
      <c r="F610" s="6"/>
      <c r="G610" s="6">
        <v>93560</v>
      </c>
      <c r="H610" s="1"/>
      <c r="I610" s="1"/>
      <c r="J610" s="1"/>
      <c r="K610" s="1" t="s">
        <v>1212</v>
      </c>
      <c r="L610" s="1" t="s">
        <v>231</v>
      </c>
      <c r="M610" s="1"/>
      <c r="N610" s="1" t="s">
        <v>79</v>
      </c>
      <c r="O610" s="1"/>
      <c r="P610" s="1"/>
      <c r="Q610" s="2"/>
      <c r="R610" s="1"/>
      <c r="S610" s="1"/>
      <c r="T610" s="1"/>
      <c r="U610" s="1" t="s">
        <v>1956</v>
      </c>
      <c r="V610" s="5">
        <v>42985.66054483068</v>
      </c>
      <c r="W610" s="1" t="s">
        <v>378</v>
      </c>
      <c r="X610" s="6">
        <v>93560</v>
      </c>
      <c r="Y610" s="4">
        <v>42957</v>
      </c>
      <c r="Z610" s="4">
        <v>43100</v>
      </c>
      <c r="AA610" s="5">
        <v>43100</v>
      </c>
      <c r="AB610" s="1" t="s">
        <v>1971</v>
      </c>
      <c r="AC610" s="1"/>
      <c r="AD610" s="1" t="s">
        <v>1168</v>
      </c>
    </row>
    <row r="611" spans="1:30" hidden="1" x14ac:dyDescent="0.25">
      <c r="A611" s="1" t="s">
        <v>1273</v>
      </c>
      <c r="B611" s="1" t="s">
        <v>667</v>
      </c>
      <c r="C611" s="1" t="s">
        <v>1081</v>
      </c>
      <c r="D611" s="4">
        <v>42982</v>
      </c>
      <c r="E611" s="6">
        <v>279432</v>
      </c>
      <c r="F611" s="6"/>
      <c r="G611" s="6">
        <v>279432</v>
      </c>
      <c r="H611" s="1" t="s">
        <v>1315</v>
      </c>
      <c r="I611" s="6">
        <v>20568</v>
      </c>
      <c r="J611" s="6">
        <v>6.8559999999999996E-2</v>
      </c>
      <c r="K611" s="1" t="s">
        <v>1315</v>
      </c>
      <c r="L611" s="1" t="s">
        <v>618</v>
      </c>
      <c r="M611" s="1" t="s">
        <v>988</v>
      </c>
      <c r="N611" s="1" t="s">
        <v>185</v>
      </c>
      <c r="O611" s="6">
        <v>20568</v>
      </c>
      <c r="P611" s="6">
        <v>6.8559999999999996E-2</v>
      </c>
      <c r="Q611" s="2" t="str">
        <f>HYPERLINK("https://auction.openprocurement.org/tenders/fbc4619b7222490fbd4510c719d704d9")</f>
        <v>https://auction.openprocurement.org/tenders/fbc4619b7222490fbd4510c719d704d9</v>
      </c>
      <c r="R611" s="5">
        <v>42999.701425158288</v>
      </c>
      <c r="S611" s="4">
        <v>43010</v>
      </c>
      <c r="T611" s="4">
        <v>43020</v>
      </c>
      <c r="U611" s="1" t="s">
        <v>1956</v>
      </c>
      <c r="V611" s="5">
        <v>43011.38863453707</v>
      </c>
      <c r="W611" s="1" t="s">
        <v>1952</v>
      </c>
      <c r="X611" s="6">
        <v>279432</v>
      </c>
      <c r="Y611" s="1"/>
      <c r="Z611" s="4">
        <v>43084</v>
      </c>
      <c r="AA611" s="5">
        <v>43100</v>
      </c>
      <c r="AB611" s="1" t="s">
        <v>1971</v>
      </c>
      <c r="AC611" s="1"/>
      <c r="AD611" s="1" t="s">
        <v>1168</v>
      </c>
    </row>
    <row r="612" spans="1:30" hidden="1" x14ac:dyDescent="0.25">
      <c r="A612" s="1" t="s">
        <v>1599</v>
      </c>
      <c r="B612" s="1" t="s">
        <v>548</v>
      </c>
      <c r="C612" s="1" t="s">
        <v>1081</v>
      </c>
      <c r="D612" s="4">
        <v>42982</v>
      </c>
      <c r="E612" s="6">
        <v>698040</v>
      </c>
      <c r="F612" s="6"/>
      <c r="G612" s="6">
        <v>5675.1219512195121</v>
      </c>
      <c r="H612" s="1" t="s">
        <v>1315</v>
      </c>
      <c r="I612" s="6">
        <v>1960</v>
      </c>
      <c r="J612" s="6">
        <v>2.8E-3</v>
      </c>
      <c r="K612" s="1" t="s">
        <v>1315</v>
      </c>
      <c r="L612" s="1" t="s">
        <v>618</v>
      </c>
      <c r="M612" s="1" t="s">
        <v>988</v>
      </c>
      <c r="N612" s="1" t="s">
        <v>185</v>
      </c>
      <c r="O612" s="6">
        <v>1960</v>
      </c>
      <c r="P612" s="6">
        <v>2.8E-3</v>
      </c>
      <c r="Q612" s="2" t="str">
        <f>HYPERLINK("https://auction.openprocurement.org/tenders/0952d365031c4bdb89555c25d8101f22")</f>
        <v>https://auction.openprocurement.org/tenders/0952d365031c4bdb89555c25d8101f22</v>
      </c>
      <c r="R612" s="5">
        <v>42999.600431547522</v>
      </c>
      <c r="S612" s="4">
        <v>43010</v>
      </c>
      <c r="T612" s="4">
        <v>43020</v>
      </c>
      <c r="U612" s="1" t="s">
        <v>1956</v>
      </c>
      <c r="V612" s="5">
        <v>43011.390089674227</v>
      </c>
      <c r="W612" s="1" t="s">
        <v>1952</v>
      </c>
      <c r="X612" s="6">
        <v>698040</v>
      </c>
      <c r="Y612" s="1"/>
      <c r="Z612" s="4">
        <v>43084</v>
      </c>
      <c r="AA612" s="5">
        <v>43100</v>
      </c>
      <c r="AB612" s="1" t="s">
        <v>1971</v>
      </c>
      <c r="AC612" s="1"/>
      <c r="AD612" s="1"/>
    </row>
    <row r="613" spans="1:30" hidden="1" x14ac:dyDescent="0.25">
      <c r="A613" s="1" t="s">
        <v>1348</v>
      </c>
      <c r="B613" s="1" t="s">
        <v>728</v>
      </c>
      <c r="C613" s="1" t="s">
        <v>1081</v>
      </c>
      <c r="D613" s="4">
        <v>42979</v>
      </c>
      <c r="E613" s="6">
        <v>729000</v>
      </c>
      <c r="F613" s="6"/>
      <c r="G613" s="6">
        <v>1620</v>
      </c>
      <c r="H613" s="1" t="s">
        <v>1646</v>
      </c>
      <c r="I613" s="6">
        <v>27450</v>
      </c>
      <c r="J613" s="6">
        <v>3.6287923854848303E-2</v>
      </c>
      <c r="K613" s="1" t="s">
        <v>1646</v>
      </c>
      <c r="L613" s="1" t="s">
        <v>653</v>
      </c>
      <c r="M613" s="1" t="s">
        <v>894</v>
      </c>
      <c r="N613" s="1" t="s">
        <v>123</v>
      </c>
      <c r="O613" s="6">
        <v>27450</v>
      </c>
      <c r="P613" s="6">
        <v>3.6287923854848303E-2</v>
      </c>
      <c r="Q613" s="2" t="str">
        <f>HYPERLINK("https://auction.openprocurement.org/tenders/aac4bf8e900a4f05b1b311614f268098_041d8e200a204ee0a907ed5f9005d1b7")</f>
        <v>https://auction.openprocurement.org/tenders/aac4bf8e900a4f05b1b311614f268098_041d8e200a204ee0a907ed5f9005d1b7</v>
      </c>
      <c r="R613" s="5">
        <v>43000.536336013822</v>
      </c>
      <c r="S613" s="4">
        <v>43011</v>
      </c>
      <c r="T613" s="4">
        <v>43021</v>
      </c>
      <c r="U613" s="1" t="s">
        <v>1955</v>
      </c>
      <c r="V613" s="5">
        <v>43013.707873863219</v>
      </c>
      <c r="W613" s="1" t="s">
        <v>243</v>
      </c>
      <c r="X613" s="6">
        <v>729000</v>
      </c>
      <c r="Y613" s="1"/>
      <c r="Z613" s="4">
        <v>43054</v>
      </c>
      <c r="AA613" s="5">
        <v>43100</v>
      </c>
      <c r="AB613" s="1" t="s">
        <v>1971</v>
      </c>
      <c r="AC613" s="1"/>
      <c r="AD613" s="1"/>
    </row>
    <row r="614" spans="1:30" hidden="1" x14ac:dyDescent="0.25">
      <c r="A614" s="1" t="s">
        <v>1349</v>
      </c>
      <c r="B614" s="1" t="s">
        <v>728</v>
      </c>
      <c r="C614" s="1" t="s">
        <v>1081</v>
      </c>
      <c r="D614" s="4">
        <v>42979</v>
      </c>
      <c r="E614" s="6">
        <v>588000</v>
      </c>
      <c r="F614" s="6"/>
      <c r="G614" s="6">
        <v>2100</v>
      </c>
      <c r="H614" s="1" t="s">
        <v>1878</v>
      </c>
      <c r="I614" s="6">
        <v>12000</v>
      </c>
      <c r="J614" s="6">
        <v>0.02</v>
      </c>
      <c r="K614" s="1" t="s">
        <v>1836</v>
      </c>
      <c r="L614" s="1" t="s">
        <v>583</v>
      </c>
      <c r="M614" s="1" t="s">
        <v>968</v>
      </c>
      <c r="N614" s="1" t="s">
        <v>56</v>
      </c>
      <c r="O614" s="6">
        <v>6000</v>
      </c>
      <c r="P614" s="6">
        <v>0.01</v>
      </c>
      <c r="Q614" s="2" t="str">
        <f>HYPERLINK("https://auction.openprocurement.org/tenders/aac4bf8e900a4f05b1b311614f268098_5d4394e2e21f4712b524fa25ec64d66f")</f>
        <v>https://auction.openprocurement.org/tenders/aac4bf8e900a4f05b1b311614f268098_5d4394e2e21f4712b524fa25ec64d66f</v>
      </c>
      <c r="R614" s="5">
        <v>43000.536336013822</v>
      </c>
      <c r="S614" s="4">
        <v>43010</v>
      </c>
      <c r="T614" s="4">
        <v>43020</v>
      </c>
      <c r="U614" s="1" t="s">
        <v>1955</v>
      </c>
      <c r="V614" s="5">
        <v>43013.710694371191</v>
      </c>
      <c r="W614" s="1" t="s">
        <v>1952</v>
      </c>
      <c r="X614" s="6">
        <v>594000</v>
      </c>
      <c r="Y614" s="1"/>
      <c r="Z614" s="4">
        <v>43054</v>
      </c>
      <c r="AA614" s="5">
        <v>43100</v>
      </c>
      <c r="AB614" s="1" t="s">
        <v>1971</v>
      </c>
      <c r="AC614" s="1"/>
      <c r="AD614" s="1"/>
    </row>
    <row r="615" spans="1:30" hidden="1" x14ac:dyDescent="0.25">
      <c r="A615" s="1" t="s">
        <v>1558</v>
      </c>
      <c r="B615" s="1" t="s">
        <v>788</v>
      </c>
      <c r="C615" s="1" t="s">
        <v>1157</v>
      </c>
      <c r="D615" s="4">
        <v>42978</v>
      </c>
      <c r="E615" s="6">
        <v>148732.79999999999</v>
      </c>
      <c r="F615" s="6"/>
      <c r="G615" s="6">
        <v>148732.79999999999</v>
      </c>
      <c r="H615" s="1"/>
      <c r="I615" s="1"/>
      <c r="J615" s="1"/>
      <c r="K615" s="1" t="s">
        <v>1911</v>
      </c>
      <c r="L615" s="1" t="s">
        <v>491</v>
      </c>
      <c r="M615" s="1"/>
      <c r="N615" s="1" t="s">
        <v>307</v>
      </c>
      <c r="O615" s="1"/>
      <c r="P615" s="1"/>
      <c r="Q615" s="2"/>
      <c r="R615" s="1"/>
      <c r="S615" s="1"/>
      <c r="T615" s="1"/>
      <c r="U615" s="1" t="s">
        <v>1956</v>
      </c>
      <c r="V615" s="5">
        <v>42978.730208062916</v>
      </c>
      <c r="W615" s="1" t="s">
        <v>1027</v>
      </c>
      <c r="X615" s="6">
        <v>148732.79999999999</v>
      </c>
      <c r="Y615" s="1"/>
      <c r="Z615" s="4">
        <v>43465</v>
      </c>
      <c r="AA615" s="5">
        <v>43465</v>
      </c>
      <c r="AB615" s="1" t="s">
        <v>1971</v>
      </c>
      <c r="AC615" s="1"/>
      <c r="AD615" s="1" t="s">
        <v>1168</v>
      </c>
    </row>
    <row r="616" spans="1:30" hidden="1" x14ac:dyDescent="0.25">
      <c r="A616" s="1" t="s">
        <v>1195</v>
      </c>
      <c r="B616" s="1" t="s">
        <v>753</v>
      </c>
      <c r="C616" s="1" t="s">
        <v>1081</v>
      </c>
      <c r="D616" s="4">
        <v>42978</v>
      </c>
      <c r="E616" s="6">
        <v>18958045</v>
      </c>
      <c r="F616" s="6"/>
      <c r="G616" s="6">
        <v>18958045</v>
      </c>
      <c r="H616" s="1" t="s">
        <v>1684</v>
      </c>
      <c r="I616" s="6">
        <v>95267</v>
      </c>
      <c r="J616" s="6">
        <v>5.0000230930979349E-3</v>
      </c>
      <c r="K616" s="1" t="s">
        <v>1684</v>
      </c>
      <c r="L616" s="1" t="s">
        <v>582</v>
      </c>
      <c r="M616" s="1" t="s">
        <v>430</v>
      </c>
      <c r="N616" s="1" t="s">
        <v>171</v>
      </c>
      <c r="O616" s="6">
        <v>95267</v>
      </c>
      <c r="P616" s="6">
        <v>5.0000230930979349E-3</v>
      </c>
      <c r="Q616" s="2" t="str">
        <f>HYPERLINK("https://auction.openprocurement.org/tenders/5dabc1337d9e4b268f16cf9543c8d900")</f>
        <v>https://auction.openprocurement.org/tenders/5dabc1337d9e4b268f16cf9543c8d900</v>
      </c>
      <c r="R616" s="5">
        <v>42998.672832229153</v>
      </c>
      <c r="S616" s="4">
        <v>43009</v>
      </c>
      <c r="T616" s="4">
        <v>43019</v>
      </c>
      <c r="U616" s="1" t="s">
        <v>1956</v>
      </c>
      <c r="V616" s="5">
        <v>43018.692318485708</v>
      </c>
      <c r="W616" s="1" t="s">
        <v>1952</v>
      </c>
      <c r="X616" s="6">
        <v>18958045</v>
      </c>
      <c r="Y616" s="1"/>
      <c r="Z616" s="4">
        <v>43373</v>
      </c>
      <c r="AA616" s="5">
        <v>43465</v>
      </c>
      <c r="AB616" s="1" t="s">
        <v>1971</v>
      </c>
      <c r="AC616" s="1"/>
      <c r="AD616" s="1" t="s">
        <v>1168</v>
      </c>
    </row>
    <row r="617" spans="1:30" hidden="1" x14ac:dyDescent="0.25">
      <c r="A617" s="1" t="s">
        <v>1568</v>
      </c>
      <c r="B617" s="1" t="s">
        <v>788</v>
      </c>
      <c r="C617" s="1" t="s">
        <v>1147</v>
      </c>
      <c r="D617" s="4">
        <v>42977</v>
      </c>
      <c r="E617" s="6">
        <v>300000</v>
      </c>
      <c r="F617" s="6"/>
      <c r="G617" s="6">
        <v>300000</v>
      </c>
      <c r="H617" s="1" t="s">
        <v>1912</v>
      </c>
      <c r="I617" s="1"/>
      <c r="J617" s="1"/>
      <c r="K617" s="1" t="s">
        <v>1912</v>
      </c>
      <c r="L617" s="1" t="s">
        <v>491</v>
      </c>
      <c r="M617" s="1" t="s">
        <v>954</v>
      </c>
      <c r="N617" s="1" t="s">
        <v>83</v>
      </c>
      <c r="O617" s="1"/>
      <c r="P617" s="1"/>
      <c r="Q617" s="2"/>
      <c r="R617" s="5">
        <v>42989.403294738091</v>
      </c>
      <c r="S617" s="4">
        <v>42991</v>
      </c>
      <c r="T617" s="4">
        <v>43012</v>
      </c>
      <c r="U617" s="1" t="s">
        <v>1956</v>
      </c>
      <c r="V617" s="5">
        <v>43003.489776102746</v>
      </c>
      <c r="W617" s="1" t="s">
        <v>315</v>
      </c>
      <c r="X617" s="6">
        <v>300000</v>
      </c>
      <c r="Y617" s="1"/>
      <c r="Z617" s="4">
        <v>43069</v>
      </c>
      <c r="AA617" s="5">
        <v>43100</v>
      </c>
      <c r="AB617" s="1" t="s">
        <v>1971</v>
      </c>
      <c r="AC617" s="1"/>
      <c r="AD617" s="1" t="s">
        <v>1168</v>
      </c>
    </row>
    <row r="618" spans="1:30" hidden="1" x14ac:dyDescent="0.25">
      <c r="A618" s="1" t="s">
        <v>1455</v>
      </c>
      <c r="B618" s="1" t="s">
        <v>824</v>
      </c>
      <c r="C618" s="1" t="s">
        <v>1147</v>
      </c>
      <c r="D618" s="4">
        <v>42966</v>
      </c>
      <c r="E618" s="6">
        <v>83566.5</v>
      </c>
      <c r="F618" s="6"/>
      <c r="G618" s="6">
        <v>83566.5</v>
      </c>
      <c r="H618" s="1" t="s">
        <v>1690</v>
      </c>
      <c r="I618" s="6">
        <v>1433.5</v>
      </c>
      <c r="J618" s="6">
        <v>1.6864705882352941E-2</v>
      </c>
      <c r="K618" s="1" t="s">
        <v>1690</v>
      </c>
      <c r="L618" s="1" t="s">
        <v>642</v>
      </c>
      <c r="M618" s="1" t="s">
        <v>776</v>
      </c>
      <c r="N618" s="1" t="s">
        <v>128</v>
      </c>
      <c r="O618" s="6">
        <v>1433.5</v>
      </c>
      <c r="P618" s="6">
        <v>1.6864705882352941E-2</v>
      </c>
      <c r="Q618" s="2"/>
      <c r="R618" s="5">
        <v>42978.511120062809</v>
      </c>
      <c r="S618" s="4">
        <v>42982</v>
      </c>
      <c r="T618" s="4">
        <v>43000</v>
      </c>
      <c r="U618" s="1" t="s">
        <v>1956</v>
      </c>
      <c r="V618" s="5">
        <v>42985.695691627567</v>
      </c>
      <c r="W618" s="1" t="s">
        <v>1952</v>
      </c>
      <c r="X618" s="6">
        <v>83566.5</v>
      </c>
      <c r="Y618" s="1"/>
      <c r="Z618" s="4">
        <v>43008</v>
      </c>
      <c r="AA618" s="5">
        <v>43100</v>
      </c>
      <c r="AB618" s="1" t="s">
        <v>1971</v>
      </c>
      <c r="AC618" s="1"/>
      <c r="AD618" s="1" t="s">
        <v>1168</v>
      </c>
    </row>
    <row r="619" spans="1:30" hidden="1" x14ac:dyDescent="0.25">
      <c r="A619" s="1" t="s">
        <v>1274</v>
      </c>
      <c r="B619" s="1" t="s">
        <v>667</v>
      </c>
      <c r="C619" s="1" t="s">
        <v>1081</v>
      </c>
      <c r="D619" s="4">
        <v>42963</v>
      </c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2"/>
      <c r="R619" s="1"/>
      <c r="S619" s="1"/>
      <c r="T619" s="1"/>
      <c r="U619" s="1" t="s">
        <v>1957</v>
      </c>
      <c r="V619" s="5">
        <v>42979.732466679816</v>
      </c>
      <c r="W619" s="1"/>
      <c r="X619" s="1"/>
      <c r="Y619" s="1"/>
      <c r="Z619" s="4">
        <v>43084</v>
      </c>
      <c r="AA619" s="1"/>
      <c r="AB619" s="1"/>
      <c r="AC619" s="1"/>
      <c r="AD619" s="1"/>
    </row>
    <row r="620" spans="1:30" hidden="1" x14ac:dyDescent="0.25">
      <c r="A620" s="1" t="s">
        <v>1599</v>
      </c>
      <c r="B620" s="1" t="s">
        <v>548</v>
      </c>
      <c r="C620" s="1" t="s">
        <v>1081</v>
      </c>
      <c r="D620" s="4">
        <v>42963</v>
      </c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2"/>
      <c r="R620" s="1"/>
      <c r="S620" s="1"/>
      <c r="T620" s="1"/>
      <c r="U620" s="1" t="s">
        <v>1957</v>
      </c>
      <c r="V620" s="5">
        <v>42979.685487612231</v>
      </c>
      <c r="W620" s="1"/>
      <c r="X620" s="1"/>
      <c r="Y620" s="1"/>
      <c r="Z620" s="4">
        <v>43084</v>
      </c>
      <c r="AA620" s="1"/>
      <c r="AB620" s="1"/>
      <c r="AC620" s="1"/>
      <c r="AD620" s="1"/>
    </row>
    <row r="621" spans="1:30" hidden="1" x14ac:dyDescent="0.25">
      <c r="A621" s="1" t="s">
        <v>1276</v>
      </c>
      <c r="B621" s="1" t="s">
        <v>638</v>
      </c>
      <c r="C621" s="1" t="s">
        <v>1147</v>
      </c>
      <c r="D621" s="4">
        <v>42963</v>
      </c>
      <c r="E621" s="6">
        <v>34884</v>
      </c>
      <c r="F621" s="6"/>
      <c r="G621" s="6">
        <v>108</v>
      </c>
      <c r="H621" s="1" t="s">
        <v>1315</v>
      </c>
      <c r="I621" s="6">
        <v>116</v>
      </c>
      <c r="J621" s="6">
        <v>3.3142857142857145E-3</v>
      </c>
      <c r="K621" s="1" t="s">
        <v>1315</v>
      </c>
      <c r="L621" s="1" t="s">
        <v>618</v>
      </c>
      <c r="M621" s="1" t="s">
        <v>988</v>
      </c>
      <c r="N621" s="1" t="s">
        <v>185</v>
      </c>
      <c r="O621" s="6">
        <v>116</v>
      </c>
      <c r="P621" s="6">
        <v>3.3142857142857145E-3</v>
      </c>
      <c r="Q621" s="2"/>
      <c r="R621" s="5">
        <v>42975.634078436276</v>
      </c>
      <c r="S621" s="4">
        <v>42977</v>
      </c>
      <c r="T621" s="4">
        <v>42998</v>
      </c>
      <c r="U621" s="1" t="s">
        <v>1956</v>
      </c>
      <c r="V621" s="5">
        <v>42982.567895368367</v>
      </c>
      <c r="W621" s="1" t="s">
        <v>1952</v>
      </c>
      <c r="X621" s="6">
        <v>34884</v>
      </c>
      <c r="Y621" s="1"/>
      <c r="Z621" s="4">
        <v>43084</v>
      </c>
      <c r="AA621" s="5">
        <v>43100</v>
      </c>
      <c r="AB621" s="1" t="s">
        <v>1971</v>
      </c>
      <c r="AC621" s="1"/>
      <c r="AD621" s="1" t="s">
        <v>1168</v>
      </c>
    </row>
    <row r="622" spans="1:30" hidden="1" x14ac:dyDescent="0.25">
      <c r="A622" s="1" t="s">
        <v>1263</v>
      </c>
      <c r="B622" s="1" t="s">
        <v>761</v>
      </c>
      <c r="C622" s="1" t="s">
        <v>1147</v>
      </c>
      <c r="D622" s="4">
        <v>42963</v>
      </c>
      <c r="E622" s="6">
        <v>151800</v>
      </c>
      <c r="F622" s="6"/>
      <c r="G622" s="6">
        <v>25300</v>
      </c>
      <c r="H622" s="1" t="s">
        <v>1315</v>
      </c>
      <c r="I622" s="6">
        <v>200</v>
      </c>
      <c r="J622" s="6">
        <v>1.3157894736842105E-3</v>
      </c>
      <c r="K622" s="1" t="s">
        <v>1315</v>
      </c>
      <c r="L622" s="1" t="s">
        <v>618</v>
      </c>
      <c r="M622" s="1" t="s">
        <v>988</v>
      </c>
      <c r="N622" s="1" t="s">
        <v>185</v>
      </c>
      <c r="O622" s="6">
        <v>200</v>
      </c>
      <c r="P622" s="6">
        <v>1.3157894736842105E-3</v>
      </c>
      <c r="Q622" s="2"/>
      <c r="R622" s="5">
        <v>42975.431546655323</v>
      </c>
      <c r="S622" s="4">
        <v>42977</v>
      </c>
      <c r="T622" s="4">
        <v>42998</v>
      </c>
      <c r="U622" s="1" t="s">
        <v>1956</v>
      </c>
      <c r="V622" s="5">
        <v>42982.623871044234</v>
      </c>
      <c r="W622" s="1" t="s">
        <v>1952</v>
      </c>
      <c r="X622" s="6">
        <v>151800</v>
      </c>
      <c r="Y622" s="4">
        <v>43084</v>
      </c>
      <c r="Z622" s="4">
        <v>43121</v>
      </c>
      <c r="AA622" s="5">
        <v>43121</v>
      </c>
      <c r="AB622" s="1" t="s">
        <v>1971</v>
      </c>
      <c r="AC622" s="1"/>
      <c r="AD622" s="1" t="s">
        <v>1168</v>
      </c>
    </row>
    <row r="623" spans="1:30" hidden="1" x14ac:dyDescent="0.25">
      <c r="A623" s="1" t="s">
        <v>1492</v>
      </c>
      <c r="B623" s="1" t="s">
        <v>791</v>
      </c>
      <c r="C623" s="1" t="s">
        <v>1147</v>
      </c>
      <c r="D623" s="4">
        <v>42962</v>
      </c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2"/>
      <c r="R623" s="1"/>
      <c r="S623" s="1"/>
      <c r="T623" s="1"/>
      <c r="U623" s="1" t="s">
        <v>1972</v>
      </c>
      <c r="V623" s="5">
        <v>42964.732482964318</v>
      </c>
      <c r="W623" s="1"/>
      <c r="X623" s="1"/>
      <c r="Y623" s="1"/>
      <c r="Z623" s="4">
        <v>43008</v>
      </c>
      <c r="AA623" s="1"/>
      <c r="AB623" s="1"/>
      <c r="AC623" s="1" t="s">
        <v>1084</v>
      </c>
      <c r="AD623" s="1"/>
    </row>
    <row r="624" spans="1:30" hidden="1" x14ac:dyDescent="0.25">
      <c r="A624" s="1" t="s">
        <v>1455</v>
      </c>
      <c r="B624" s="1" t="s">
        <v>824</v>
      </c>
      <c r="C624" s="1" t="s">
        <v>1147</v>
      </c>
      <c r="D624" s="4">
        <v>42962</v>
      </c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2"/>
      <c r="R624" s="1"/>
      <c r="S624" s="1"/>
      <c r="T624" s="1"/>
      <c r="U624" s="1" t="s">
        <v>1972</v>
      </c>
      <c r="V624" s="5">
        <v>42964.733346753266</v>
      </c>
      <c r="W624" s="1"/>
      <c r="X624" s="1"/>
      <c r="Y624" s="1"/>
      <c r="Z624" s="4">
        <v>43008</v>
      </c>
      <c r="AA624" s="1"/>
      <c r="AB624" s="1"/>
      <c r="AC624" s="1" t="s">
        <v>1170</v>
      </c>
      <c r="AD624" s="1"/>
    </row>
    <row r="625" spans="1:30" hidden="1" x14ac:dyDescent="0.25">
      <c r="A625" s="1" t="s">
        <v>1469</v>
      </c>
      <c r="B625" s="1" t="s">
        <v>821</v>
      </c>
      <c r="C625" s="1" t="s">
        <v>1147</v>
      </c>
      <c r="D625" s="4">
        <v>42958</v>
      </c>
      <c r="E625" s="6">
        <v>9700</v>
      </c>
      <c r="F625" s="6"/>
      <c r="G625" s="6">
        <v>9700</v>
      </c>
      <c r="H625" s="1" t="s">
        <v>1879</v>
      </c>
      <c r="I625" s="6">
        <v>300</v>
      </c>
      <c r="J625" s="6">
        <v>0.03</v>
      </c>
      <c r="K625" s="1" t="s">
        <v>1879</v>
      </c>
      <c r="L625" s="1" t="s">
        <v>550</v>
      </c>
      <c r="M625" s="1" t="s">
        <v>880</v>
      </c>
      <c r="N625" s="1" t="s">
        <v>97</v>
      </c>
      <c r="O625" s="6">
        <v>300</v>
      </c>
      <c r="P625" s="6">
        <v>0.03</v>
      </c>
      <c r="Q625" s="2"/>
      <c r="R625" s="5">
        <v>42968.460306387045</v>
      </c>
      <c r="S625" s="4">
        <v>42970</v>
      </c>
      <c r="T625" s="4">
        <v>42993</v>
      </c>
      <c r="U625" s="1" t="s">
        <v>1956</v>
      </c>
      <c r="V625" s="5">
        <v>42976.566227921699</v>
      </c>
      <c r="W625" s="1" t="s">
        <v>503</v>
      </c>
      <c r="X625" s="6">
        <v>9700</v>
      </c>
      <c r="Y625" s="1"/>
      <c r="Z625" s="4">
        <v>42988</v>
      </c>
      <c r="AA625" s="5">
        <v>43100</v>
      </c>
      <c r="AB625" s="1" t="s">
        <v>1971</v>
      </c>
      <c r="AC625" s="1"/>
      <c r="AD625" s="1" t="s">
        <v>1168</v>
      </c>
    </row>
    <row r="626" spans="1:30" hidden="1" x14ac:dyDescent="0.25">
      <c r="A626" s="1" t="s">
        <v>1553</v>
      </c>
      <c r="B626" s="1" t="s">
        <v>793</v>
      </c>
      <c r="C626" s="1" t="s">
        <v>1147</v>
      </c>
      <c r="D626" s="4">
        <v>42958</v>
      </c>
      <c r="E626" s="6">
        <v>744000</v>
      </c>
      <c r="F626" s="6"/>
      <c r="G626" s="6">
        <v>744000</v>
      </c>
      <c r="H626" s="1" t="s">
        <v>1669</v>
      </c>
      <c r="I626" s="6">
        <v>360562</v>
      </c>
      <c r="J626" s="6">
        <v>0.32642984277930981</v>
      </c>
      <c r="K626" s="1" t="s">
        <v>1860</v>
      </c>
      <c r="L626" s="1" t="s">
        <v>443</v>
      </c>
      <c r="M626" s="1" t="s">
        <v>931</v>
      </c>
      <c r="N626" s="1" t="s">
        <v>117</v>
      </c>
      <c r="O626" s="6">
        <v>124562</v>
      </c>
      <c r="P626" s="6">
        <v>0.11277049183296184</v>
      </c>
      <c r="Q626" s="2" t="str">
        <f>HYPERLINK("https://auction.openprocurement.org/tenders/fe0677a30dd1465fb4c82f17f9b28996")</f>
        <v>https://auction.openprocurement.org/tenders/fe0677a30dd1465fb4c82f17f9b28996</v>
      </c>
      <c r="R626" s="5">
        <v>42970.6182801494</v>
      </c>
      <c r="S626" s="4">
        <v>42976</v>
      </c>
      <c r="T626" s="4">
        <v>42993</v>
      </c>
      <c r="U626" s="1" t="s">
        <v>1956</v>
      </c>
      <c r="V626" s="5">
        <v>42992.427285556958</v>
      </c>
      <c r="W626" s="1" t="s">
        <v>1952</v>
      </c>
      <c r="X626" s="6">
        <v>980000</v>
      </c>
      <c r="Y626" s="1"/>
      <c r="Z626" s="4">
        <v>43100</v>
      </c>
      <c r="AA626" s="5">
        <v>43465</v>
      </c>
      <c r="AB626" s="1" t="s">
        <v>1971</v>
      </c>
      <c r="AC626" s="1"/>
      <c r="AD626" s="1" t="s">
        <v>1168</v>
      </c>
    </row>
    <row r="627" spans="1:30" hidden="1" x14ac:dyDescent="0.25">
      <c r="A627" s="1" t="s">
        <v>1450</v>
      </c>
      <c r="B627" s="1" t="s">
        <v>833</v>
      </c>
      <c r="C627" s="1" t="s">
        <v>1081</v>
      </c>
      <c r="D627" s="4">
        <v>42954</v>
      </c>
      <c r="E627" s="6">
        <v>601500</v>
      </c>
      <c r="F627" s="6"/>
      <c r="G627" s="6">
        <v>601500</v>
      </c>
      <c r="H627" s="1" t="s">
        <v>1662</v>
      </c>
      <c r="I627" s="6">
        <v>3500</v>
      </c>
      <c r="J627" s="6">
        <v>5.7851239669421484E-3</v>
      </c>
      <c r="K627" s="1" t="s">
        <v>1662</v>
      </c>
      <c r="L627" s="1" t="s">
        <v>626</v>
      </c>
      <c r="M627" s="1" t="s">
        <v>962</v>
      </c>
      <c r="N627" s="1" t="s">
        <v>30</v>
      </c>
      <c r="O627" s="6">
        <v>3500</v>
      </c>
      <c r="P627" s="6">
        <v>5.7851239669421484E-3</v>
      </c>
      <c r="Q627" s="2" t="str">
        <f>HYPERLINK("https://auction.openprocurement.org/tenders/d9955706c1034e4bb0af1c01727d5598")</f>
        <v>https://auction.openprocurement.org/tenders/d9955706c1034e4bb0af1c01727d5598</v>
      </c>
      <c r="R627" s="5">
        <v>42976.474377675913</v>
      </c>
      <c r="S627" s="4">
        <v>42987</v>
      </c>
      <c r="T627" s="4">
        <v>42997</v>
      </c>
      <c r="U627" s="1" t="s">
        <v>1956</v>
      </c>
      <c r="V627" s="5">
        <v>42991.455021380731</v>
      </c>
      <c r="W627" s="1" t="s">
        <v>1952</v>
      </c>
      <c r="X627" s="6">
        <v>601500</v>
      </c>
      <c r="Y627" s="1"/>
      <c r="Z627" s="4">
        <v>43039</v>
      </c>
      <c r="AA627" s="5">
        <v>43100</v>
      </c>
      <c r="AB627" s="1" t="s">
        <v>1971</v>
      </c>
      <c r="AC627" s="1"/>
      <c r="AD627" s="1"/>
    </row>
    <row r="628" spans="1:30" hidden="1" x14ac:dyDescent="0.25">
      <c r="A628" s="1" t="s">
        <v>1370</v>
      </c>
      <c r="B628" s="1" t="s">
        <v>808</v>
      </c>
      <c r="C628" s="1" t="s">
        <v>1081</v>
      </c>
      <c r="D628" s="4">
        <v>42954</v>
      </c>
      <c r="E628" s="6">
        <v>999999</v>
      </c>
      <c r="F628" s="6"/>
      <c r="G628" s="6">
        <v>999999</v>
      </c>
      <c r="H628" s="1" t="s">
        <v>1858</v>
      </c>
      <c r="I628" s="6">
        <v>1300001</v>
      </c>
      <c r="J628" s="6">
        <v>0.56521782608695648</v>
      </c>
      <c r="K628" s="1" t="s">
        <v>1662</v>
      </c>
      <c r="L628" s="1" t="s">
        <v>626</v>
      </c>
      <c r="M628" s="1" t="s">
        <v>962</v>
      </c>
      <c r="N628" s="1" t="s">
        <v>30</v>
      </c>
      <c r="O628" s="6">
        <v>5489.7200000002049</v>
      </c>
      <c r="P628" s="6">
        <v>2.3868347826087846E-3</v>
      </c>
      <c r="Q628" s="2" t="str">
        <f>HYPERLINK("https://auction.openprocurement.org/tenders/6df6a3dd853445e69e5fa0b15ac186f8")</f>
        <v>https://auction.openprocurement.org/tenders/6df6a3dd853445e69e5fa0b15ac186f8</v>
      </c>
      <c r="R628" s="5">
        <v>42978.612412102855</v>
      </c>
      <c r="S628" s="4">
        <v>42989</v>
      </c>
      <c r="T628" s="4">
        <v>42999</v>
      </c>
      <c r="U628" s="1" t="s">
        <v>1956</v>
      </c>
      <c r="V628" s="5">
        <v>42992.530578251142</v>
      </c>
      <c r="W628" s="1" t="s">
        <v>1952</v>
      </c>
      <c r="X628" s="6">
        <v>2294510.2799999998</v>
      </c>
      <c r="Y628" s="1"/>
      <c r="Z628" s="4">
        <v>43069</v>
      </c>
      <c r="AA628" s="5">
        <v>43100</v>
      </c>
      <c r="AB628" s="1" t="s">
        <v>1971</v>
      </c>
      <c r="AC628" s="1"/>
      <c r="AD628" s="1"/>
    </row>
    <row r="629" spans="1:30" hidden="1" x14ac:dyDescent="0.25">
      <c r="A629" s="1" t="s">
        <v>1402</v>
      </c>
      <c r="B629" s="1" t="s">
        <v>810</v>
      </c>
      <c r="C629" s="1" t="s">
        <v>1081</v>
      </c>
      <c r="D629" s="4">
        <v>42954</v>
      </c>
      <c r="E629" s="6">
        <v>592795.84</v>
      </c>
      <c r="F629" s="6"/>
      <c r="G629" s="6">
        <v>592795.84</v>
      </c>
      <c r="H629" s="1" t="s">
        <v>1662</v>
      </c>
      <c r="I629" s="6">
        <v>2204.1600000000326</v>
      </c>
      <c r="J629" s="6">
        <v>3.704470588235349E-3</v>
      </c>
      <c r="K629" s="1" t="s">
        <v>1662</v>
      </c>
      <c r="L629" s="1" t="s">
        <v>626</v>
      </c>
      <c r="M629" s="1" t="s">
        <v>962</v>
      </c>
      <c r="N629" s="1" t="s">
        <v>30</v>
      </c>
      <c r="O629" s="6">
        <v>2204.1600000000326</v>
      </c>
      <c r="P629" s="6">
        <v>3.704470588235349E-3</v>
      </c>
      <c r="Q629" s="2" t="str">
        <f>HYPERLINK("https://auction.openprocurement.org/tenders/0be54cbc156a4618b5cdc89c7ef5c3b3")</f>
        <v>https://auction.openprocurement.org/tenders/0be54cbc156a4618b5cdc89c7ef5c3b3</v>
      </c>
      <c r="R629" s="5">
        <v>42976.462327253263</v>
      </c>
      <c r="S629" s="4">
        <v>42987</v>
      </c>
      <c r="T629" s="4">
        <v>42997</v>
      </c>
      <c r="U629" s="1" t="s">
        <v>1956</v>
      </c>
      <c r="V629" s="5">
        <v>42991.45780636889</v>
      </c>
      <c r="W629" s="1" t="s">
        <v>1952</v>
      </c>
      <c r="X629" s="6">
        <v>592795.84</v>
      </c>
      <c r="Y629" s="1"/>
      <c r="Z629" s="4">
        <v>43039</v>
      </c>
      <c r="AA629" s="5">
        <v>43100</v>
      </c>
      <c r="AB629" s="1" t="s">
        <v>1971</v>
      </c>
      <c r="AC629" s="1"/>
      <c r="AD629" s="1" t="s">
        <v>1168</v>
      </c>
    </row>
    <row r="630" spans="1:30" hidden="1" x14ac:dyDescent="0.25">
      <c r="A630" s="1" t="s">
        <v>1782</v>
      </c>
      <c r="B630" s="1" t="s">
        <v>634</v>
      </c>
      <c r="C630" s="1" t="s">
        <v>1081</v>
      </c>
      <c r="D630" s="4">
        <v>42954</v>
      </c>
      <c r="E630" s="6">
        <v>349500</v>
      </c>
      <c r="F630" s="6"/>
      <c r="G630" s="6">
        <v>8961.538461538461</v>
      </c>
      <c r="H630" s="1" t="s">
        <v>1701</v>
      </c>
      <c r="I630" s="6">
        <v>142000</v>
      </c>
      <c r="J630" s="6">
        <v>0.28891149542217703</v>
      </c>
      <c r="K630" s="1" t="s">
        <v>1701</v>
      </c>
      <c r="L630" s="1" t="s">
        <v>559</v>
      </c>
      <c r="M630" s="1" t="s">
        <v>856</v>
      </c>
      <c r="N630" s="1" t="s">
        <v>76</v>
      </c>
      <c r="O630" s="6">
        <v>142000</v>
      </c>
      <c r="P630" s="6">
        <v>0.28891149542217703</v>
      </c>
      <c r="Q630" s="2" t="str">
        <f>HYPERLINK("https://auction.openprocurement.org/tenders/30d5443d431b4361b80aeb63e0550b3f")</f>
        <v>https://auction.openprocurement.org/tenders/30d5443d431b4361b80aeb63e0550b3f</v>
      </c>
      <c r="R630" s="5">
        <v>42976.46122265017</v>
      </c>
      <c r="S630" s="4">
        <v>42987</v>
      </c>
      <c r="T630" s="4">
        <v>42997</v>
      </c>
      <c r="U630" s="1" t="s">
        <v>1956</v>
      </c>
      <c r="V630" s="5">
        <v>42989.450536997399</v>
      </c>
      <c r="W630" s="1" t="s">
        <v>362</v>
      </c>
      <c r="X630" s="6">
        <v>349500</v>
      </c>
      <c r="Y630" s="1"/>
      <c r="Z630" s="4">
        <v>43023</v>
      </c>
      <c r="AA630" s="5">
        <v>43100</v>
      </c>
      <c r="AB630" s="1" t="s">
        <v>1971</v>
      </c>
      <c r="AC630" s="1"/>
      <c r="AD630" s="1" t="s">
        <v>1168</v>
      </c>
    </row>
    <row r="631" spans="1:30" hidden="1" x14ac:dyDescent="0.25">
      <c r="A631" s="1" t="s">
        <v>17</v>
      </c>
      <c r="B631" s="1" t="s">
        <v>665</v>
      </c>
      <c r="C631" s="1" t="s">
        <v>1147</v>
      </c>
      <c r="D631" s="4">
        <v>42951</v>
      </c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2"/>
      <c r="R631" s="1"/>
      <c r="S631" s="1"/>
      <c r="T631" s="1"/>
      <c r="U631" s="1" t="s">
        <v>1957</v>
      </c>
      <c r="V631" s="5">
        <v>42961.460441288647</v>
      </c>
      <c r="W631" s="1"/>
      <c r="X631" s="1"/>
      <c r="Y631" s="1"/>
      <c r="Z631" s="4">
        <v>42971</v>
      </c>
      <c r="AA631" s="1"/>
      <c r="AB631" s="1"/>
      <c r="AC631" s="1"/>
      <c r="AD631" s="1"/>
    </row>
    <row r="632" spans="1:30" hidden="1" x14ac:dyDescent="0.25">
      <c r="A632" s="1" t="s">
        <v>1818</v>
      </c>
      <c r="B632" s="1" t="s">
        <v>609</v>
      </c>
      <c r="C632" s="1" t="s">
        <v>1081</v>
      </c>
      <c r="D632" s="4">
        <v>42951</v>
      </c>
      <c r="E632" s="6">
        <v>413065</v>
      </c>
      <c r="F632" s="6"/>
      <c r="G632" s="6">
        <v>2971.6906474820144</v>
      </c>
      <c r="H632" s="1" t="s">
        <v>1720</v>
      </c>
      <c r="I632" s="6">
        <v>5</v>
      </c>
      <c r="J632" s="6">
        <v>1.2104485922482873E-5</v>
      </c>
      <c r="K632" s="1" t="s">
        <v>1720</v>
      </c>
      <c r="L632" s="1" t="s">
        <v>640</v>
      </c>
      <c r="M632" s="1" t="s">
        <v>881</v>
      </c>
      <c r="N632" s="1" t="s">
        <v>112</v>
      </c>
      <c r="O632" s="6">
        <v>5</v>
      </c>
      <c r="P632" s="6">
        <v>1.2104485922482873E-5</v>
      </c>
      <c r="Q632" s="2" t="str">
        <f>HYPERLINK("https://auction.openprocurement.org/tenders/977e0b37e4ab466ebd749e2a55b3bcef_0acc25282ee845bb80c1dc46ad0ea055")</f>
        <v>https://auction.openprocurement.org/tenders/977e0b37e4ab466ebd749e2a55b3bcef_0acc25282ee845bb80c1dc46ad0ea055</v>
      </c>
      <c r="R632" s="5">
        <v>42969.645654608692</v>
      </c>
      <c r="S632" s="4">
        <v>42980</v>
      </c>
      <c r="T632" s="4">
        <v>42990</v>
      </c>
      <c r="U632" s="1" t="s">
        <v>1955</v>
      </c>
      <c r="V632" s="5">
        <v>42985.618527392988</v>
      </c>
      <c r="W632" s="1" t="s">
        <v>228</v>
      </c>
      <c r="X632" s="6">
        <v>413065</v>
      </c>
      <c r="Y632" s="1"/>
      <c r="Z632" s="4">
        <v>43023</v>
      </c>
      <c r="AA632" s="5">
        <v>43100</v>
      </c>
      <c r="AB632" s="1" t="s">
        <v>1971</v>
      </c>
      <c r="AC632" s="1"/>
      <c r="AD632" s="1"/>
    </row>
    <row r="633" spans="1:30" hidden="1" x14ac:dyDescent="0.25">
      <c r="A633" s="1" t="s">
        <v>1819</v>
      </c>
      <c r="B633" s="1" t="s">
        <v>609</v>
      </c>
      <c r="C633" s="1" t="s">
        <v>1081</v>
      </c>
      <c r="D633" s="4">
        <v>42951</v>
      </c>
      <c r="E633" s="6">
        <v>1909600</v>
      </c>
      <c r="F633" s="6"/>
      <c r="G633" s="6">
        <v>2652.2222222222222</v>
      </c>
      <c r="H633" s="1" t="s">
        <v>1701</v>
      </c>
      <c r="I633" s="6">
        <v>31290</v>
      </c>
      <c r="J633" s="6">
        <v>1.6121470047246365E-2</v>
      </c>
      <c r="K633" s="1" t="s">
        <v>1701</v>
      </c>
      <c r="L633" s="1" t="s">
        <v>559</v>
      </c>
      <c r="M633" s="1" t="s">
        <v>856</v>
      </c>
      <c r="N633" s="1" t="s">
        <v>76</v>
      </c>
      <c r="O633" s="6">
        <v>31290</v>
      </c>
      <c r="P633" s="6">
        <v>1.6121470047246365E-2</v>
      </c>
      <c r="Q633" s="2" t="str">
        <f>HYPERLINK("https://auction.openprocurement.org/tenders/977e0b37e4ab466ebd749e2a55b3bcef_3f24f16063af45f180afba33e60418dd")</f>
        <v>https://auction.openprocurement.org/tenders/977e0b37e4ab466ebd749e2a55b3bcef_3f24f16063af45f180afba33e60418dd</v>
      </c>
      <c r="R633" s="5">
        <v>42969.645654608692</v>
      </c>
      <c r="S633" s="4">
        <v>42980</v>
      </c>
      <c r="T633" s="4">
        <v>42990</v>
      </c>
      <c r="U633" s="1" t="s">
        <v>1955</v>
      </c>
      <c r="V633" s="5">
        <v>42989.713841282115</v>
      </c>
      <c r="W633" s="1" t="s">
        <v>358</v>
      </c>
      <c r="X633" s="6">
        <v>1909600</v>
      </c>
      <c r="Y633" s="1"/>
      <c r="Z633" s="4">
        <v>43023</v>
      </c>
      <c r="AA633" s="5">
        <v>43100</v>
      </c>
      <c r="AB633" s="1" t="s">
        <v>1971</v>
      </c>
      <c r="AC633" s="1"/>
      <c r="AD633" s="1"/>
    </row>
    <row r="634" spans="1:30" hidden="1" x14ac:dyDescent="0.25">
      <c r="A634" s="1" t="s">
        <v>1820</v>
      </c>
      <c r="B634" s="1" t="s">
        <v>609</v>
      </c>
      <c r="C634" s="1" t="s">
        <v>1081</v>
      </c>
      <c r="D634" s="4">
        <v>42951</v>
      </c>
      <c r="E634" s="6">
        <v>44950</v>
      </c>
      <c r="F634" s="6"/>
      <c r="G634" s="6">
        <v>1450</v>
      </c>
      <c r="H634" s="1" t="s">
        <v>1701</v>
      </c>
      <c r="I634" s="6">
        <v>3890</v>
      </c>
      <c r="J634" s="6">
        <v>7.9647829647829654E-2</v>
      </c>
      <c r="K634" s="1" t="s">
        <v>1701</v>
      </c>
      <c r="L634" s="1" t="s">
        <v>559</v>
      </c>
      <c r="M634" s="1" t="s">
        <v>856</v>
      </c>
      <c r="N634" s="1" t="s">
        <v>76</v>
      </c>
      <c r="O634" s="6">
        <v>3890</v>
      </c>
      <c r="P634" s="6">
        <v>7.9647829647829654E-2</v>
      </c>
      <c r="Q634" s="2" t="str">
        <f>HYPERLINK("https://auction.openprocurement.org/tenders/977e0b37e4ab466ebd749e2a55b3bcef_77cab61b4f8f4110a563718579509bfb")</f>
        <v>https://auction.openprocurement.org/tenders/977e0b37e4ab466ebd749e2a55b3bcef_77cab61b4f8f4110a563718579509bfb</v>
      </c>
      <c r="R634" s="5">
        <v>42969.645654608692</v>
      </c>
      <c r="S634" s="4">
        <v>42980</v>
      </c>
      <c r="T634" s="4">
        <v>42990</v>
      </c>
      <c r="U634" s="1" t="s">
        <v>1955</v>
      </c>
      <c r="V634" s="5">
        <v>42989.430603845394</v>
      </c>
      <c r="W634" s="1" t="s">
        <v>357</v>
      </c>
      <c r="X634" s="6">
        <v>44950</v>
      </c>
      <c r="Y634" s="1"/>
      <c r="Z634" s="4">
        <v>43023</v>
      </c>
      <c r="AA634" s="5">
        <v>43100</v>
      </c>
      <c r="AB634" s="1" t="s">
        <v>1971</v>
      </c>
      <c r="AC634" s="1"/>
      <c r="AD634" s="1"/>
    </row>
    <row r="635" spans="1:30" hidden="1" x14ac:dyDescent="0.25">
      <c r="A635" s="1" t="s">
        <v>1821</v>
      </c>
      <c r="B635" s="1" t="s">
        <v>609</v>
      </c>
      <c r="C635" s="1" t="s">
        <v>1081</v>
      </c>
      <c r="D635" s="4">
        <v>42951</v>
      </c>
      <c r="E635" s="6">
        <v>36200</v>
      </c>
      <c r="F635" s="6"/>
      <c r="G635" s="6">
        <v>2262.5</v>
      </c>
      <c r="H635" s="1" t="s">
        <v>1720</v>
      </c>
      <c r="I635" s="1"/>
      <c r="J635" s="1"/>
      <c r="K635" s="1" t="s">
        <v>1720</v>
      </c>
      <c r="L635" s="1" t="s">
        <v>640</v>
      </c>
      <c r="M635" s="1" t="s">
        <v>881</v>
      </c>
      <c r="N635" s="1" t="s">
        <v>112</v>
      </c>
      <c r="O635" s="1"/>
      <c r="P635" s="1"/>
      <c r="Q635" s="2" t="str">
        <f>HYPERLINK("https://auction.openprocurement.org/tenders/977e0b37e4ab466ebd749e2a55b3bcef_9f93ef2ae9b841438ae40b21b033ef87")</f>
        <v>https://auction.openprocurement.org/tenders/977e0b37e4ab466ebd749e2a55b3bcef_9f93ef2ae9b841438ae40b21b033ef87</v>
      </c>
      <c r="R635" s="5">
        <v>42969.645654608692</v>
      </c>
      <c r="S635" s="4">
        <v>42980</v>
      </c>
      <c r="T635" s="4">
        <v>42990</v>
      </c>
      <c r="U635" s="1" t="s">
        <v>1955</v>
      </c>
      <c r="V635" s="5">
        <v>42985.6171437386</v>
      </c>
      <c r="W635" s="1" t="s">
        <v>200</v>
      </c>
      <c r="X635" s="6">
        <v>36200</v>
      </c>
      <c r="Y635" s="1"/>
      <c r="Z635" s="4">
        <v>43023</v>
      </c>
      <c r="AA635" s="5">
        <v>43100</v>
      </c>
      <c r="AB635" s="1" t="s">
        <v>1971</v>
      </c>
      <c r="AC635" s="1"/>
      <c r="AD635" s="1"/>
    </row>
    <row r="636" spans="1:30" hidden="1" x14ac:dyDescent="0.25">
      <c r="A636" s="1" t="s">
        <v>1396</v>
      </c>
      <c r="B636" s="1" t="s">
        <v>809</v>
      </c>
      <c r="C636" s="1" t="s">
        <v>1147</v>
      </c>
      <c r="D636" s="4">
        <v>42949</v>
      </c>
      <c r="E636" s="6">
        <v>199883.18</v>
      </c>
      <c r="F636" s="6"/>
      <c r="G636" s="6">
        <v>199883.18</v>
      </c>
      <c r="H636" s="1" t="s">
        <v>1657</v>
      </c>
      <c r="I636" s="6">
        <v>16.820000000006985</v>
      </c>
      <c r="J636" s="6">
        <v>8.4142071035552706E-5</v>
      </c>
      <c r="K636" s="1" t="s">
        <v>1657</v>
      </c>
      <c r="L636" s="1" t="s">
        <v>590</v>
      </c>
      <c r="M636" s="1" t="s">
        <v>891</v>
      </c>
      <c r="N636" s="1" t="s">
        <v>162</v>
      </c>
      <c r="O636" s="6">
        <v>16.820000000006985</v>
      </c>
      <c r="P636" s="6">
        <v>8.4142071035552706E-5</v>
      </c>
      <c r="Q636" s="2"/>
      <c r="R636" s="5">
        <v>42958.445114117567</v>
      </c>
      <c r="S636" s="4">
        <v>42962</v>
      </c>
      <c r="T636" s="4">
        <v>42984</v>
      </c>
      <c r="U636" s="1" t="s">
        <v>1956</v>
      </c>
      <c r="V636" s="5">
        <v>42975.462671813933</v>
      </c>
      <c r="W636" s="1" t="s">
        <v>1952</v>
      </c>
      <c r="X636" s="6">
        <v>199883.18</v>
      </c>
      <c r="Y636" s="4">
        <v>42984</v>
      </c>
      <c r="Z636" s="4">
        <v>42993</v>
      </c>
      <c r="AA636" s="5">
        <v>43100</v>
      </c>
      <c r="AB636" s="1" t="s">
        <v>1971</v>
      </c>
      <c r="AC636" s="1"/>
      <c r="AD636" s="1" t="s">
        <v>1168</v>
      </c>
    </row>
    <row r="637" spans="1:30" hidden="1" x14ac:dyDescent="0.25">
      <c r="A637" s="1" t="s">
        <v>1080</v>
      </c>
      <c r="B637" s="1" t="s">
        <v>720</v>
      </c>
      <c r="C637" s="1" t="s">
        <v>1147</v>
      </c>
      <c r="D637" s="4">
        <v>42948</v>
      </c>
      <c r="E637" s="6">
        <v>4249.9799999999996</v>
      </c>
      <c r="F637" s="6"/>
      <c r="G637" s="6">
        <v>4249.9799999999996</v>
      </c>
      <c r="H637" s="1" t="s">
        <v>1519</v>
      </c>
      <c r="I637" s="6">
        <v>1070.0200000000004</v>
      </c>
      <c r="J637" s="6">
        <v>0.20113157894736849</v>
      </c>
      <c r="K637" s="1"/>
      <c r="L637" s="1"/>
      <c r="M637" s="1"/>
      <c r="N637" s="1"/>
      <c r="O637" s="1"/>
      <c r="P637" s="1"/>
      <c r="Q637" s="2" t="str">
        <f>HYPERLINK("https://auction.openprocurement.org/tenders/8194ad6fe60b4d128c23c10e5f4d4d76")</f>
        <v>https://auction.openprocurement.org/tenders/8194ad6fe60b4d128c23c10e5f4d4d76</v>
      </c>
      <c r="R637" s="1"/>
      <c r="S637" s="1"/>
      <c r="T637" s="1"/>
      <c r="U637" s="1" t="s">
        <v>1972</v>
      </c>
      <c r="V637" s="5">
        <v>42962.472138644363</v>
      </c>
      <c r="W637" s="1"/>
      <c r="X637" s="1"/>
      <c r="Y637" s="1"/>
      <c r="Z637" s="4">
        <v>42965</v>
      </c>
      <c r="AA637" s="1"/>
      <c r="AB637" s="1"/>
      <c r="AC637" s="1" t="s">
        <v>1084</v>
      </c>
      <c r="AD637" s="1"/>
    </row>
    <row r="638" spans="1:30" hidden="1" x14ac:dyDescent="0.25">
      <c r="A638" s="1" t="s">
        <v>1066</v>
      </c>
      <c r="B638" s="1" t="s">
        <v>651</v>
      </c>
      <c r="C638" s="1" t="s">
        <v>1147</v>
      </c>
      <c r="D638" s="4">
        <v>42948</v>
      </c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2"/>
      <c r="R638" s="1"/>
      <c r="S638" s="1"/>
      <c r="T638" s="1"/>
      <c r="U638" s="1" t="s">
        <v>1957</v>
      </c>
      <c r="V638" s="5">
        <v>42955.589758086782</v>
      </c>
      <c r="W638" s="1"/>
      <c r="X638" s="1"/>
      <c r="Y638" s="1"/>
      <c r="Z638" s="4">
        <v>42965</v>
      </c>
      <c r="AA638" s="1"/>
      <c r="AB638" s="1"/>
      <c r="AC638" s="1"/>
      <c r="AD638" s="1"/>
    </row>
    <row r="639" spans="1:30" hidden="1" x14ac:dyDescent="0.25">
      <c r="A639" s="1" t="s">
        <v>1818</v>
      </c>
      <c r="B639" s="1" t="s">
        <v>609</v>
      </c>
      <c r="C639" s="1" t="s">
        <v>1081</v>
      </c>
      <c r="D639" s="4">
        <v>42948</v>
      </c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2"/>
      <c r="R639" s="1"/>
      <c r="S639" s="1"/>
      <c r="T639" s="1"/>
      <c r="U639" s="1" t="s">
        <v>1972</v>
      </c>
      <c r="V639" s="5">
        <v>42948.57386986175</v>
      </c>
      <c r="W639" s="1"/>
      <c r="X639" s="1"/>
      <c r="Y639" s="1"/>
      <c r="Z639" s="4">
        <v>43023</v>
      </c>
      <c r="AA639" s="1"/>
      <c r="AB639" s="1"/>
      <c r="AC639" s="1"/>
      <c r="AD639" s="1"/>
    </row>
    <row r="640" spans="1:30" hidden="1" x14ac:dyDescent="0.25">
      <c r="A640" s="1" t="s">
        <v>1819</v>
      </c>
      <c r="B640" s="1" t="s">
        <v>609</v>
      </c>
      <c r="C640" s="1" t="s">
        <v>1081</v>
      </c>
      <c r="D640" s="4">
        <v>42948</v>
      </c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2"/>
      <c r="R640" s="1"/>
      <c r="S640" s="1"/>
      <c r="T640" s="1"/>
      <c r="U640" s="1" t="s">
        <v>1972</v>
      </c>
      <c r="V640" s="5">
        <v>42948.57386986175</v>
      </c>
      <c r="W640" s="1"/>
      <c r="X640" s="1"/>
      <c r="Y640" s="1"/>
      <c r="Z640" s="4">
        <v>43023</v>
      </c>
      <c r="AA640" s="1"/>
      <c r="AB640" s="1"/>
      <c r="AC640" s="1"/>
      <c r="AD640" s="1"/>
    </row>
    <row r="641" spans="1:30" hidden="1" x14ac:dyDescent="0.25">
      <c r="A641" s="1" t="s">
        <v>1820</v>
      </c>
      <c r="B641" s="1" t="s">
        <v>609</v>
      </c>
      <c r="C641" s="1" t="s">
        <v>1081</v>
      </c>
      <c r="D641" s="4">
        <v>42948</v>
      </c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2"/>
      <c r="R641" s="1"/>
      <c r="S641" s="1"/>
      <c r="T641" s="1"/>
      <c r="U641" s="1" t="s">
        <v>1972</v>
      </c>
      <c r="V641" s="5">
        <v>42948.57386986175</v>
      </c>
      <c r="W641" s="1"/>
      <c r="X641" s="1"/>
      <c r="Y641" s="1"/>
      <c r="Z641" s="4">
        <v>43023</v>
      </c>
      <c r="AA641" s="1"/>
      <c r="AB641" s="1"/>
      <c r="AC641" s="1"/>
      <c r="AD641" s="1"/>
    </row>
    <row r="642" spans="1:30" hidden="1" x14ac:dyDescent="0.25">
      <c r="A642" s="1" t="s">
        <v>1821</v>
      </c>
      <c r="B642" s="1" t="s">
        <v>609</v>
      </c>
      <c r="C642" s="1" t="s">
        <v>1081</v>
      </c>
      <c r="D642" s="4">
        <v>42948</v>
      </c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2"/>
      <c r="R642" s="1"/>
      <c r="S642" s="1"/>
      <c r="T642" s="1"/>
      <c r="U642" s="1" t="s">
        <v>1972</v>
      </c>
      <c r="V642" s="5">
        <v>42948.57386986175</v>
      </c>
      <c r="W642" s="1"/>
      <c r="X642" s="1"/>
      <c r="Y642" s="1"/>
      <c r="Z642" s="4">
        <v>43023</v>
      </c>
      <c r="AA642" s="1"/>
      <c r="AB642" s="1"/>
      <c r="AC642" s="1"/>
      <c r="AD642" s="1"/>
    </row>
    <row r="643" spans="1:30" hidden="1" x14ac:dyDescent="0.25">
      <c r="A643" s="1" t="s">
        <v>1298</v>
      </c>
      <c r="B643" s="1" t="s">
        <v>733</v>
      </c>
      <c r="C643" s="1" t="s">
        <v>1081</v>
      </c>
      <c r="D643" s="4">
        <v>42948</v>
      </c>
      <c r="E643" s="6">
        <v>444000</v>
      </c>
      <c r="F643" s="6"/>
      <c r="G643" s="6">
        <v>37000</v>
      </c>
      <c r="H643" s="1" t="s">
        <v>1701</v>
      </c>
      <c r="I643" s="6">
        <v>46000</v>
      </c>
      <c r="J643" s="6">
        <v>9.3877551020408165E-2</v>
      </c>
      <c r="K643" s="1" t="s">
        <v>1701</v>
      </c>
      <c r="L643" s="1" t="s">
        <v>559</v>
      </c>
      <c r="M643" s="1" t="s">
        <v>856</v>
      </c>
      <c r="N643" s="1" t="s">
        <v>76</v>
      </c>
      <c r="O643" s="6">
        <v>46000</v>
      </c>
      <c r="P643" s="6">
        <v>9.3877551020408165E-2</v>
      </c>
      <c r="Q643" s="2" t="str">
        <f>HYPERLINK("https://auction.openprocurement.org/tenders/01ffc7eebd9a4cf0af39f5e6cff3a90d")</f>
        <v>https://auction.openprocurement.org/tenders/01ffc7eebd9a4cf0af39f5e6cff3a90d</v>
      </c>
      <c r="R643" s="5">
        <v>42968.462985982675</v>
      </c>
      <c r="S643" s="4">
        <v>42979</v>
      </c>
      <c r="T643" s="4">
        <v>42989</v>
      </c>
      <c r="U643" s="1" t="s">
        <v>1956</v>
      </c>
      <c r="V643" s="5">
        <v>42989.437141350223</v>
      </c>
      <c r="W643" s="1" t="s">
        <v>356</v>
      </c>
      <c r="X643" s="6">
        <v>444000</v>
      </c>
      <c r="Y643" s="1"/>
      <c r="Z643" s="4">
        <v>43023</v>
      </c>
      <c r="AA643" s="5">
        <v>43100</v>
      </c>
      <c r="AB643" s="1" t="s">
        <v>1971</v>
      </c>
      <c r="AC643" s="1"/>
      <c r="AD643" s="1" t="s">
        <v>1168</v>
      </c>
    </row>
    <row r="644" spans="1:30" hidden="1" x14ac:dyDescent="0.25">
      <c r="A644" s="1" t="s">
        <v>1945</v>
      </c>
      <c r="B644" s="1" t="s">
        <v>667</v>
      </c>
      <c r="C644" s="1" t="s">
        <v>1081</v>
      </c>
      <c r="D644" s="4">
        <v>42948</v>
      </c>
      <c r="E644" s="6">
        <v>100000</v>
      </c>
      <c r="F644" s="6"/>
      <c r="G644" s="6">
        <v>10000</v>
      </c>
      <c r="H644" s="1" t="s">
        <v>1720</v>
      </c>
      <c r="I644" s="1"/>
      <c r="J644" s="1"/>
      <c r="K644" s="1" t="s">
        <v>1720</v>
      </c>
      <c r="L644" s="1" t="s">
        <v>640</v>
      </c>
      <c r="M644" s="1" t="s">
        <v>881</v>
      </c>
      <c r="N644" s="1" t="s">
        <v>112</v>
      </c>
      <c r="O644" s="1"/>
      <c r="P644" s="1"/>
      <c r="Q644" s="2" t="str">
        <f>HYPERLINK("https://auction.openprocurement.org/tenders/71fc17b3cb4343e88e12c36200d8742e_2bbb04e7728945e08a6d63701a6e0018")</f>
        <v>https://auction.openprocurement.org/tenders/71fc17b3cb4343e88e12c36200d8742e_2bbb04e7728945e08a6d63701a6e0018</v>
      </c>
      <c r="R644" s="5">
        <v>42968.744895855292</v>
      </c>
      <c r="S644" s="4">
        <v>42979</v>
      </c>
      <c r="T644" s="4">
        <v>42989</v>
      </c>
      <c r="U644" s="1" t="s">
        <v>1955</v>
      </c>
      <c r="V644" s="5">
        <v>42985.641557014525</v>
      </c>
      <c r="W644" s="1" t="s">
        <v>240</v>
      </c>
      <c r="X644" s="6">
        <v>100000</v>
      </c>
      <c r="Y644" s="1"/>
      <c r="Z644" s="4">
        <v>43023</v>
      </c>
      <c r="AA644" s="5">
        <v>43100</v>
      </c>
      <c r="AB644" s="1" t="s">
        <v>1971</v>
      </c>
      <c r="AC644" s="1"/>
      <c r="AD644" s="1"/>
    </row>
    <row r="645" spans="1:30" hidden="1" x14ac:dyDescent="0.25">
      <c r="A645" s="1" t="s">
        <v>1943</v>
      </c>
      <c r="B645" s="1" t="s">
        <v>667</v>
      </c>
      <c r="C645" s="1" t="s">
        <v>1081</v>
      </c>
      <c r="D645" s="4">
        <v>42948</v>
      </c>
      <c r="E645" s="6">
        <v>639830.4</v>
      </c>
      <c r="F645" s="6"/>
      <c r="G645" s="6">
        <v>1211.8</v>
      </c>
      <c r="H645" s="1" t="s">
        <v>1720</v>
      </c>
      <c r="I645" s="6">
        <v>29.599999999976717</v>
      </c>
      <c r="J645" s="6">
        <v>4.6260119401082609E-5</v>
      </c>
      <c r="K645" s="1" t="s">
        <v>1720</v>
      </c>
      <c r="L645" s="1" t="s">
        <v>640</v>
      </c>
      <c r="M645" s="1" t="s">
        <v>881</v>
      </c>
      <c r="N645" s="1" t="s">
        <v>112</v>
      </c>
      <c r="O645" s="6">
        <v>29.599999999976717</v>
      </c>
      <c r="P645" s="6">
        <v>4.6260119401082609E-5</v>
      </c>
      <c r="Q645" s="2" t="str">
        <f>HYPERLINK("https://auction.openprocurement.org/tenders/71fc17b3cb4343e88e12c36200d8742e_298be3e606fc466b8ac36f03b14986cb")</f>
        <v>https://auction.openprocurement.org/tenders/71fc17b3cb4343e88e12c36200d8742e_298be3e606fc466b8ac36f03b14986cb</v>
      </c>
      <c r="R645" s="5">
        <v>42968.744895855292</v>
      </c>
      <c r="S645" s="4">
        <v>42977</v>
      </c>
      <c r="T645" s="4">
        <v>42987</v>
      </c>
      <c r="U645" s="1" t="s">
        <v>1955</v>
      </c>
      <c r="V645" s="5">
        <v>42985.639722393644</v>
      </c>
      <c r="W645" s="1" t="s">
        <v>213</v>
      </c>
      <c r="X645" s="6">
        <v>639830.4</v>
      </c>
      <c r="Y645" s="1"/>
      <c r="Z645" s="4">
        <v>43023</v>
      </c>
      <c r="AA645" s="5">
        <v>43100</v>
      </c>
      <c r="AB645" s="1" t="s">
        <v>1971</v>
      </c>
      <c r="AC645" s="1"/>
      <c r="AD645" s="1"/>
    </row>
    <row r="646" spans="1:30" hidden="1" x14ac:dyDescent="0.25">
      <c r="A646" s="1" t="s">
        <v>1944</v>
      </c>
      <c r="B646" s="1" t="s">
        <v>667</v>
      </c>
      <c r="C646" s="1" t="s">
        <v>1081</v>
      </c>
      <c r="D646" s="4">
        <v>42948</v>
      </c>
      <c r="E646" s="6">
        <v>1333012</v>
      </c>
      <c r="F646" s="6"/>
      <c r="G646" s="6">
        <v>1442.6536796536795</v>
      </c>
      <c r="H646" s="1" t="s">
        <v>1701</v>
      </c>
      <c r="I646" s="6">
        <v>83628</v>
      </c>
      <c r="J646" s="6">
        <v>5.9032640614411568E-2</v>
      </c>
      <c r="K646" s="1" t="s">
        <v>1701</v>
      </c>
      <c r="L646" s="1" t="s">
        <v>559</v>
      </c>
      <c r="M646" s="1" t="s">
        <v>856</v>
      </c>
      <c r="N646" s="1" t="s">
        <v>76</v>
      </c>
      <c r="O646" s="6">
        <v>83628</v>
      </c>
      <c r="P646" s="6">
        <v>5.9032640614411568E-2</v>
      </c>
      <c r="Q646" s="2" t="str">
        <f>HYPERLINK("https://auction.openprocurement.org/tenders/71fc17b3cb4343e88e12c36200d8742e_a304463286c94367829dbf3f4ef95fd8")</f>
        <v>https://auction.openprocurement.org/tenders/71fc17b3cb4343e88e12c36200d8742e_a304463286c94367829dbf3f4ef95fd8</v>
      </c>
      <c r="R646" s="5">
        <v>42968.744895855292</v>
      </c>
      <c r="S646" s="4">
        <v>42979</v>
      </c>
      <c r="T646" s="4">
        <v>42989</v>
      </c>
      <c r="U646" s="1" t="s">
        <v>1955</v>
      </c>
      <c r="V646" s="5">
        <v>42989.711243894744</v>
      </c>
      <c r="W646" s="1" t="s">
        <v>853</v>
      </c>
      <c r="X646" s="6">
        <v>1333012</v>
      </c>
      <c r="Y646" s="1"/>
      <c r="Z646" s="4">
        <v>43023</v>
      </c>
      <c r="AA646" s="5">
        <v>43100</v>
      </c>
      <c r="AB646" s="1" t="s">
        <v>1971</v>
      </c>
      <c r="AC646" s="1"/>
      <c r="AD646" s="1"/>
    </row>
    <row r="647" spans="1:30" hidden="1" x14ac:dyDescent="0.25">
      <c r="A647" s="1" t="s">
        <v>1012</v>
      </c>
      <c r="B647" s="1" t="s">
        <v>639</v>
      </c>
      <c r="C647" s="1" t="s">
        <v>1081</v>
      </c>
      <c r="D647" s="4">
        <v>42947</v>
      </c>
      <c r="E647" s="6">
        <v>4002997</v>
      </c>
      <c r="F647" s="6"/>
      <c r="G647" s="6">
        <v>47654.726190476191</v>
      </c>
      <c r="H647" s="1" t="s">
        <v>1720</v>
      </c>
      <c r="I647" s="6">
        <v>3</v>
      </c>
      <c r="J647" s="6">
        <v>7.4943792155883083E-7</v>
      </c>
      <c r="K647" s="1" t="s">
        <v>1720</v>
      </c>
      <c r="L647" s="1" t="s">
        <v>640</v>
      </c>
      <c r="M647" s="1" t="s">
        <v>881</v>
      </c>
      <c r="N647" s="1" t="s">
        <v>112</v>
      </c>
      <c r="O647" s="6">
        <v>3</v>
      </c>
      <c r="P647" s="6">
        <v>7.4943792155883083E-7</v>
      </c>
      <c r="Q647" s="2" t="str">
        <f>HYPERLINK("https://auction.openprocurement.org/tenders/12b6c96c89d04eb4bc703b5af56d7dea")</f>
        <v>https://auction.openprocurement.org/tenders/12b6c96c89d04eb4bc703b5af56d7dea</v>
      </c>
      <c r="R647" s="5">
        <v>42965.443691671724</v>
      </c>
      <c r="S647" s="4">
        <v>42976</v>
      </c>
      <c r="T647" s="4">
        <v>42986</v>
      </c>
      <c r="U647" s="1" t="s">
        <v>1956</v>
      </c>
      <c r="V647" s="5">
        <v>42985.700454696758</v>
      </c>
      <c r="W647" s="1" t="s">
        <v>250</v>
      </c>
      <c r="X647" s="6">
        <v>4002997</v>
      </c>
      <c r="Y647" s="1"/>
      <c r="Z647" s="4">
        <v>43023</v>
      </c>
      <c r="AA647" s="5">
        <v>43100</v>
      </c>
      <c r="AB647" s="1" t="s">
        <v>1971</v>
      </c>
      <c r="AC647" s="1"/>
      <c r="AD647" s="1" t="s">
        <v>1168</v>
      </c>
    </row>
    <row r="648" spans="1:30" hidden="1" x14ac:dyDescent="0.25">
      <c r="A648" s="1" t="s">
        <v>1614</v>
      </c>
      <c r="B648" s="1" t="s">
        <v>635</v>
      </c>
      <c r="C648" s="1" t="s">
        <v>1147</v>
      </c>
      <c r="D648" s="4">
        <v>42947</v>
      </c>
      <c r="E648" s="6">
        <v>38439</v>
      </c>
      <c r="F648" s="6"/>
      <c r="G648" s="6">
        <v>7687.8</v>
      </c>
      <c r="H648" s="1" t="s">
        <v>1834</v>
      </c>
      <c r="I648" s="6">
        <v>12461</v>
      </c>
      <c r="J648" s="6">
        <v>0.24481335952848723</v>
      </c>
      <c r="K648" s="1" t="s">
        <v>1834</v>
      </c>
      <c r="L648" s="1" t="s">
        <v>554</v>
      </c>
      <c r="M648" s="1" t="s">
        <v>963</v>
      </c>
      <c r="N648" s="1" t="s">
        <v>189</v>
      </c>
      <c r="O648" s="6">
        <v>12461</v>
      </c>
      <c r="P648" s="6">
        <v>0.24481335952848723</v>
      </c>
      <c r="Q648" s="2" t="str">
        <f>HYPERLINK("https://auction.openprocurement.org/tenders/d4d699e874c84f839907e8809bb0b357")</f>
        <v>https://auction.openprocurement.org/tenders/d4d699e874c84f839907e8809bb0b357</v>
      </c>
      <c r="R648" s="5">
        <v>42958.447035448793</v>
      </c>
      <c r="S648" s="4">
        <v>42962</v>
      </c>
      <c r="T648" s="4">
        <v>42981</v>
      </c>
      <c r="U648" s="1" t="s">
        <v>1956</v>
      </c>
      <c r="V648" s="5">
        <v>42982.589294573889</v>
      </c>
      <c r="W648" s="1" t="s">
        <v>382</v>
      </c>
      <c r="X648" s="6">
        <v>38439</v>
      </c>
      <c r="Y648" s="1"/>
      <c r="Z648" s="4">
        <v>43009</v>
      </c>
      <c r="AA648" s="5">
        <v>43100</v>
      </c>
      <c r="AB648" s="1" t="s">
        <v>1971</v>
      </c>
      <c r="AC648" s="1"/>
      <c r="AD648" s="1" t="s">
        <v>1168</v>
      </c>
    </row>
    <row r="649" spans="1:30" hidden="1" x14ac:dyDescent="0.25">
      <c r="A649" s="1" t="s">
        <v>1109</v>
      </c>
      <c r="B649" s="1" t="s">
        <v>632</v>
      </c>
      <c r="C649" s="1" t="s">
        <v>1147</v>
      </c>
      <c r="D649" s="4">
        <v>42947</v>
      </c>
      <c r="E649" s="6">
        <v>16600</v>
      </c>
      <c r="F649" s="6"/>
      <c r="G649" s="6">
        <v>8300</v>
      </c>
      <c r="H649" s="1" t="s">
        <v>1701</v>
      </c>
      <c r="I649" s="6">
        <v>1400</v>
      </c>
      <c r="J649" s="6">
        <v>7.7777777777777779E-2</v>
      </c>
      <c r="K649" s="1" t="s">
        <v>1701</v>
      </c>
      <c r="L649" s="1" t="s">
        <v>559</v>
      </c>
      <c r="M649" s="1" t="s">
        <v>856</v>
      </c>
      <c r="N649" s="1" t="s">
        <v>76</v>
      </c>
      <c r="O649" s="6">
        <v>1400</v>
      </c>
      <c r="P649" s="6">
        <v>7.7777777777777779E-2</v>
      </c>
      <c r="Q649" s="2" t="str">
        <f>HYPERLINK("https://auction.openprocurement.org/tenders/05843794a947437a847417c1b26e4ae1")</f>
        <v>https://auction.openprocurement.org/tenders/05843794a947437a847417c1b26e4ae1</v>
      </c>
      <c r="R649" s="5">
        <v>42958.624105557697</v>
      </c>
      <c r="S649" s="4">
        <v>42962</v>
      </c>
      <c r="T649" s="4">
        <v>42980</v>
      </c>
      <c r="U649" s="1" t="s">
        <v>1956</v>
      </c>
      <c r="V649" s="5">
        <v>42975.473246327456</v>
      </c>
      <c r="W649" s="1" t="s">
        <v>850</v>
      </c>
      <c r="X649" s="6">
        <v>16600</v>
      </c>
      <c r="Y649" s="1"/>
      <c r="Z649" s="4">
        <v>43009</v>
      </c>
      <c r="AA649" s="5">
        <v>43100</v>
      </c>
      <c r="AB649" s="1" t="s">
        <v>1971</v>
      </c>
      <c r="AC649" s="1"/>
      <c r="AD649" s="1" t="s">
        <v>1168</v>
      </c>
    </row>
    <row r="650" spans="1:30" hidden="1" x14ac:dyDescent="0.25">
      <c r="A650" s="1" t="s">
        <v>1220</v>
      </c>
      <c r="B650" s="1" t="s">
        <v>660</v>
      </c>
      <c r="C650" s="1" t="s">
        <v>1147</v>
      </c>
      <c r="D650" s="4">
        <v>42947</v>
      </c>
      <c r="E650" s="6">
        <v>10560</v>
      </c>
      <c r="F650" s="6"/>
      <c r="G650" s="6">
        <v>2640</v>
      </c>
      <c r="H650" s="1" t="s">
        <v>1701</v>
      </c>
      <c r="I650" s="6">
        <v>940</v>
      </c>
      <c r="J650" s="6">
        <v>8.1739130434782606E-2</v>
      </c>
      <c r="K650" s="1" t="s">
        <v>1701</v>
      </c>
      <c r="L650" s="1" t="s">
        <v>559</v>
      </c>
      <c r="M650" s="1" t="s">
        <v>856</v>
      </c>
      <c r="N650" s="1" t="s">
        <v>76</v>
      </c>
      <c r="O650" s="6">
        <v>940</v>
      </c>
      <c r="P650" s="6">
        <v>8.1739130434782606E-2</v>
      </c>
      <c r="Q650" s="2"/>
      <c r="R650" s="5">
        <v>42957.407144741112</v>
      </c>
      <c r="S650" s="4">
        <v>42961</v>
      </c>
      <c r="T650" s="4">
        <v>42980</v>
      </c>
      <c r="U650" s="1" t="s">
        <v>1956</v>
      </c>
      <c r="V650" s="5">
        <v>42975.468967918285</v>
      </c>
      <c r="W650" s="1" t="s">
        <v>851</v>
      </c>
      <c r="X650" s="6">
        <v>10560</v>
      </c>
      <c r="Y650" s="1"/>
      <c r="Z650" s="4">
        <v>43009</v>
      </c>
      <c r="AA650" s="5">
        <v>43100</v>
      </c>
      <c r="AB650" s="1" t="s">
        <v>1971</v>
      </c>
      <c r="AC650" s="1"/>
      <c r="AD650" s="1" t="s">
        <v>1168</v>
      </c>
    </row>
    <row r="651" spans="1:30" hidden="1" x14ac:dyDescent="0.25">
      <c r="A651" s="1" t="s">
        <v>1077</v>
      </c>
      <c r="B651" s="1" t="s">
        <v>732</v>
      </c>
      <c r="C651" s="1" t="s">
        <v>1147</v>
      </c>
      <c r="D651" s="4">
        <v>42947</v>
      </c>
      <c r="E651" s="6">
        <v>34900</v>
      </c>
      <c r="F651" s="6"/>
      <c r="G651" s="6">
        <v>8725</v>
      </c>
      <c r="H651" s="1" t="s">
        <v>1834</v>
      </c>
      <c r="I651" s="6">
        <v>30100</v>
      </c>
      <c r="J651" s="6">
        <v>0.46307692307692305</v>
      </c>
      <c r="K651" s="1" t="s">
        <v>1834</v>
      </c>
      <c r="L651" s="1" t="s">
        <v>554</v>
      </c>
      <c r="M651" s="1" t="s">
        <v>963</v>
      </c>
      <c r="N651" s="1" t="s">
        <v>189</v>
      </c>
      <c r="O651" s="6">
        <v>30100</v>
      </c>
      <c r="P651" s="6">
        <v>0.46307692307692305</v>
      </c>
      <c r="Q651" s="2" t="str">
        <f>HYPERLINK("https://auction.openprocurement.org/tenders/1e7b0f4333fd47c8b657aecacd988959")</f>
        <v>https://auction.openprocurement.org/tenders/1e7b0f4333fd47c8b657aecacd988959</v>
      </c>
      <c r="R651" s="5">
        <v>42958.442892379906</v>
      </c>
      <c r="S651" s="4">
        <v>42962</v>
      </c>
      <c r="T651" s="4">
        <v>42980</v>
      </c>
      <c r="U651" s="1" t="s">
        <v>1956</v>
      </c>
      <c r="V651" s="5">
        <v>42982.539797250822</v>
      </c>
      <c r="W651" s="1" t="s">
        <v>381</v>
      </c>
      <c r="X651" s="6">
        <v>34900</v>
      </c>
      <c r="Y651" s="1"/>
      <c r="Z651" s="4">
        <v>43009</v>
      </c>
      <c r="AA651" s="5">
        <v>43100</v>
      </c>
      <c r="AB651" s="1" t="s">
        <v>1971</v>
      </c>
      <c r="AC651" s="1"/>
      <c r="AD651" s="1" t="s">
        <v>1168</v>
      </c>
    </row>
    <row r="652" spans="1:30" hidden="1" x14ac:dyDescent="0.25">
      <c r="A652" s="1" t="s">
        <v>1966</v>
      </c>
      <c r="B652" s="1" t="s">
        <v>728</v>
      </c>
      <c r="C652" s="1" t="s">
        <v>1082</v>
      </c>
      <c r="D652" s="4">
        <v>42947</v>
      </c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2"/>
      <c r="R652" s="5">
        <v>42986.683357147951</v>
      </c>
      <c r="S652" s="1"/>
      <c r="T652" s="1"/>
      <c r="U652" s="1" t="s">
        <v>1957</v>
      </c>
      <c r="V652" s="5">
        <v>42977.722484443308</v>
      </c>
      <c r="W652" s="1"/>
      <c r="X652" s="1"/>
      <c r="Y652" s="1"/>
      <c r="Z652" s="4">
        <v>43054</v>
      </c>
      <c r="AA652" s="1"/>
      <c r="AB652" s="1"/>
      <c r="AC652" s="1"/>
      <c r="AD652" s="1"/>
    </row>
    <row r="653" spans="1:30" hidden="1" x14ac:dyDescent="0.25">
      <c r="A653" s="1" t="s">
        <v>1964</v>
      </c>
      <c r="B653" s="1" t="s">
        <v>728</v>
      </c>
      <c r="C653" s="1" t="s">
        <v>1082</v>
      </c>
      <c r="D653" s="4">
        <v>42947</v>
      </c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2" t="str">
        <f>HYPERLINK("https://auction.openprocurement.org/tenders/08850027c2894e1cb452c67d34669229_3eefc4d1f00a4f67802b0f1501abe82c")</f>
        <v>https://auction.openprocurement.org/tenders/08850027c2894e1cb452c67d34669229_3eefc4d1f00a4f67802b0f1501abe82c</v>
      </c>
      <c r="R653" s="5">
        <v>42986.683357147951</v>
      </c>
      <c r="S653" s="1"/>
      <c r="T653" s="1"/>
      <c r="U653" s="1" t="s">
        <v>1973</v>
      </c>
      <c r="V653" s="5">
        <v>42986.474451008376</v>
      </c>
      <c r="W653" s="1"/>
      <c r="X653" s="1"/>
      <c r="Y653" s="1"/>
      <c r="Z653" s="4">
        <v>43054</v>
      </c>
      <c r="AA653" s="1"/>
      <c r="AB653" s="1"/>
      <c r="AC653" s="1" t="s">
        <v>1169</v>
      </c>
      <c r="AD653" s="1"/>
    </row>
    <row r="654" spans="1:30" hidden="1" x14ac:dyDescent="0.25">
      <c r="A654" s="1" t="s">
        <v>1965</v>
      </c>
      <c r="B654" s="1" t="s">
        <v>728</v>
      </c>
      <c r="C654" s="1" t="s">
        <v>1082</v>
      </c>
      <c r="D654" s="4">
        <v>42947</v>
      </c>
      <c r="E654" s="6">
        <v>2688000</v>
      </c>
      <c r="F654" s="6"/>
      <c r="G654" s="6">
        <v>2000</v>
      </c>
      <c r="H654" s="1" t="s">
        <v>1701</v>
      </c>
      <c r="I654" s="6">
        <v>200000</v>
      </c>
      <c r="J654" s="6">
        <v>6.9252077562326875E-2</v>
      </c>
      <c r="K654" s="1" t="s">
        <v>1701</v>
      </c>
      <c r="L654" s="1" t="s">
        <v>559</v>
      </c>
      <c r="M654" s="1" t="s">
        <v>856</v>
      </c>
      <c r="N654" s="1" t="s">
        <v>76</v>
      </c>
      <c r="O654" s="6">
        <v>200000</v>
      </c>
      <c r="P654" s="6">
        <v>6.9252077562326875E-2</v>
      </c>
      <c r="Q654" s="2" t="str">
        <f>HYPERLINK("https://auction.openprocurement.org/tenders/08850027c2894e1cb452c67d34669229_3c9e1d81ea6e430284eb7a319884a1c4")</f>
        <v>https://auction.openprocurement.org/tenders/08850027c2894e1cb452c67d34669229_3c9e1d81ea6e430284eb7a319884a1c4</v>
      </c>
      <c r="R654" s="5">
        <v>42986.683357147951</v>
      </c>
      <c r="S654" s="4">
        <v>42997</v>
      </c>
      <c r="T654" s="4">
        <v>43007</v>
      </c>
      <c r="U654" s="1" t="s">
        <v>1955</v>
      </c>
      <c r="V654" s="5">
        <v>43000.624113786667</v>
      </c>
      <c r="W654" s="1" t="s">
        <v>371</v>
      </c>
      <c r="X654" s="6">
        <v>2688000</v>
      </c>
      <c r="Y654" s="1"/>
      <c r="Z654" s="4">
        <v>43054</v>
      </c>
      <c r="AA654" s="5">
        <v>43100</v>
      </c>
      <c r="AB654" s="1" t="s">
        <v>1971</v>
      </c>
      <c r="AC654" s="1"/>
      <c r="AD654" s="1"/>
    </row>
    <row r="655" spans="1:30" hidden="1" x14ac:dyDescent="0.25">
      <c r="A655" s="1" t="s">
        <v>1963</v>
      </c>
      <c r="B655" s="1" t="s">
        <v>728</v>
      </c>
      <c r="C655" s="1" t="s">
        <v>1082</v>
      </c>
      <c r="D655" s="4">
        <v>42947</v>
      </c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2" t="str">
        <f>HYPERLINK("https://auction.openprocurement.org/tenders/08850027c2894e1cb452c67d34669229_ddcad6f3d4f64accb9739fbb42b25e3a")</f>
        <v>https://auction.openprocurement.org/tenders/08850027c2894e1cb452c67d34669229_ddcad6f3d4f64accb9739fbb42b25e3a</v>
      </c>
      <c r="R655" s="5">
        <v>42986.683357147951</v>
      </c>
      <c r="S655" s="1"/>
      <c r="T655" s="1"/>
      <c r="U655" s="1" t="s">
        <v>1973</v>
      </c>
      <c r="V655" s="5">
        <v>42986.475608506436</v>
      </c>
      <c r="W655" s="1"/>
      <c r="X655" s="1"/>
      <c r="Y655" s="1"/>
      <c r="Z655" s="4">
        <v>43054</v>
      </c>
      <c r="AA655" s="1"/>
      <c r="AB655" s="1"/>
      <c r="AC655" s="1" t="s">
        <v>1084</v>
      </c>
      <c r="AD655" s="1"/>
    </row>
    <row r="656" spans="1:30" hidden="1" x14ac:dyDescent="0.25">
      <c r="A656" s="1" t="s">
        <v>1967</v>
      </c>
      <c r="B656" s="1" t="s">
        <v>728</v>
      </c>
      <c r="C656" s="1" t="s">
        <v>1082</v>
      </c>
      <c r="D656" s="4">
        <v>42947</v>
      </c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2"/>
      <c r="R656" s="5">
        <v>42986.683357147951</v>
      </c>
      <c r="S656" s="1"/>
      <c r="T656" s="1"/>
      <c r="U656" s="1" t="s">
        <v>1957</v>
      </c>
      <c r="V656" s="5">
        <v>42977.722484443308</v>
      </c>
      <c r="W656" s="1"/>
      <c r="X656" s="1"/>
      <c r="Y656" s="1"/>
      <c r="Z656" s="4">
        <v>43054</v>
      </c>
      <c r="AA656" s="1"/>
      <c r="AB656" s="1"/>
      <c r="AC656" s="1"/>
      <c r="AD656" s="1"/>
    </row>
    <row r="657" spans="1:30" hidden="1" x14ac:dyDescent="0.25">
      <c r="A657" s="1" t="s">
        <v>1344</v>
      </c>
      <c r="B657" s="1" t="s">
        <v>728</v>
      </c>
      <c r="C657" s="1" t="s">
        <v>1081</v>
      </c>
      <c r="D657" s="4">
        <v>42943</v>
      </c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2"/>
      <c r="R657" s="1"/>
      <c r="S657" s="1"/>
      <c r="T657" s="1"/>
      <c r="U657" s="1" t="s">
        <v>1972</v>
      </c>
      <c r="V657" s="5">
        <v>42943.66178686278</v>
      </c>
      <c r="W657" s="1"/>
      <c r="X657" s="1"/>
      <c r="Y657" s="1"/>
      <c r="Z657" s="4">
        <v>43009</v>
      </c>
      <c r="AA657" s="1"/>
      <c r="AB657" s="1"/>
      <c r="AC657" s="1" t="s">
        <v>1807</v>
      </c>
      <c r="AD657" s="1"/>
    </row>
    <row r="658" spans="1:30" hidden="1" x14ac:dyDescent="0.25">
      <c r="A658" s="1" t="s">
        <v>1942</v>
      </c>
      <c r="B658" s="1" t="s">
        <v>667</v>
      </c>
      <c r="C658" s="1" t="s">
        <v>1081</v>
      </c>
      <c r="D658" s="4">
        <v>42943</v>
      </c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2"/>
      <c r="R658" s="1"/>
      <c r="S658" s="1"/>
      <c r="T658" s="1"/>
      <c r="U658" s="1" t="s">
        <v>1972</v>
      </c>
      <c r="V658" s="5">
        <v>42943.662563752659</v>
      </c>
      <c r="W658" s="1"/>
      <c r="X658" s="1"/>
      <c r="Y658" s="1"/>
      <c r="Z658" s="4">
        <v>43009</v>
      </c>
      <c r="AA658" s="1"/>
      <c r="AB658" s="1"/>
      <c r="AC658" s="1" t="s">
        <v>1807</v>
      </c>
      <c r="AD658" s="1"/>
    </row>
    <row r="659" spans="1:30" hidden="1" x14ac:dyDescent="0.25">
      <c r="A659" s="1" t="s">
        <v>1012</v>
      </c>
      <c r="B659" s="1" t="s">
        <v>639</v>
      </c>
      <c r="C659" s="1" t="s">
        <v>1081</v>
      </c>
      <c r="D659" s="4">
        <v>42942</v>
      </c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2"/>
      <c r="R659" s="1"/>
      <c r="S659" s="1"/>
      <c r="T659" s="1"/>
      <c r="U659" s="1" t="s">
        <v>1972</v>
      </c>
      <c r="V659" s="5">
        <v>42943.663506730372</v>
      </c>
      <c r="W659" s="1"/>
      <c r="X659" s="1"/>
      <c r="Y659" s="1"/>
      <c r="Z659" s="4">
        <v>43009</v>
      </c>
      <c r="AA659" s="1"/>
      <c r="AB659" s="1"/>
      <c r="AC659" s="1" t="s">
        <v>1807</v>
      </c>
      <c r="AD659" s="1"/>
    </row>
    <row r="660" spans="1:30" hidden="1" x14ac:dyDescent="0.25">
      <c r="A660" s="1" t="s">
        <v>1011</v>
      </c>
      <c r="B660" s="1" t="s">
        <v>639</v>
      </c>
      <c r="C660" s="1" t="s">
        <v>1081</v>
      </c>
      <c r="D660" s="4">
        <v>42942</v>
      </c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2"/>
      <c r="R660" s="1"/>
      <c r="S660" s="1"/>
      <c r="T660" s="1"/>
      <c r="U660" s="1" t="s">
        <v>1972</v>
      </c>
      <c r="V660" s="5">
        <v>42943.664371095867</v>
      </c>
      <c r="W660" s="1"/>
      <c r="X660" s="1"/>
      <c r="Y660" s="1"/>
      <c r="Z660" s="4">
        <v>43009</v>
      </c>
      <c r="AA660" s="1"/>
      <c r="AB660" s="1"/>
      <c r="AC660" s="1" t="s">
        <v>1807</v>
      </c>
      <c r="AD660" s="1"/>
    </row>
    <row r="661" spans="1:30" hidden="1" x14ac:dyDescent="0.25">
      <c r="A661" s="1" t="s">
        <v>1007</v>
      </c>
      <c r="B661" s="1" t="s">
        <v>746</v>
      </c>
      <c r="C661" s="1" t="s">
        <v>1081</v>
      </c>
      <c r="D661" s="4">
        <v>42941</v>
      </c>
      <c r="E661" s="6">
        <v>56380169.140000001</v>
      </c>
      <c r="F661" s="6"/>
      <c r="G661" s="6">
        <v>56380169.140000001</v>
      </c>
      <c r="H661" s="1" t="s">
        <v>1639</v>
      </c>
      <c r="I661" s="6">
        <v>263081.8599999994</v>
      </c>
      <c r="J661" s="6">
        <v>4.6445402648234192E-3</v>
      </c>
      <c r="K661" s="1" t="s">
        <v>1639</v>
      </c>
      <c r="L661" s="1" t="s">
        <v>624</v>
      </c>
      <c r="M661" s="1" t="s">
        <v>942</v>
      </c>
      <c r="N661" s="1" t="s">
        <v>61</v>
      </c>
      <c r="O661" s="6">
        <v>263081.8599999994</v>
      </c>
      <c r="P661" s="6">
        <v>4.6445402648234192E-3</v>
      </c>
      <c r="Q661" s="2" t="str">
        <f>HYPERLINK("https://auction.openprocurement.org/tenders/7b20eebbf5bb4b718b8382a438d58af9")</f>
        <v>https://auction.openprocurement.org/tenders/7b20eebbf5bb4b718b8382a438d58af9</v>
      </c>
      <c r="R661" s="5">
        <v>42961.68140772279</v>
      </c>
      <c r="S661" s="4">
        <v>42972</v>
      </c>
      <c r="T661" s="4">
        <v>42982</v>
      </c>
      <c r="U661" s="1" t="s">
        <v>1956</v>
      </c>
      <c r="V661" s="5">
        <v>42977.538135063551</v>
      </c>
      <c r="W661" s="1" t="s">
        <v>372</v>
      </c>
      <c r="X661" s="6">
        <v>56380169.140000001</v>
      </c>
      <c r="Y661" s="1"/>
      <c r="Z661" s="4">
        <v>43404</v>
      </c>
      <c r="AA661" s="5">
        <v>43465</v>
      </c>
      <c r="AB661" s="1" t="s">
        <v>1971</v>
      </c>
      <c r="AC661" s="1"/>
      <c r="AD661" s="1" t="s">
        <v>1168</v>
      </c>
    </row>
    <row r="662" spans="1:30" hidden="1" x14ac:dyDescent="0.25">
      <c r="A662" s="1" t="s">
        <v>1579</v>
      </c>
      <c r="B662" s="1" t="s">
        <v>665</v>
      </c>
      <c r="C662" s="1" t="s">
        <v>1147</v>
      </c>
      <c r="D662" s="4">
        <v>42941</v>
      </c>
      <c r="E662" s="6">
        <v>5500</v>
      </c>
      <c r="F662" s="6"/>
      <c r="G662" s="6">
        <v>305.55555555555554</v>
      </c>
      <c r="H662" s="1" t="s">
        <v>1721</v>
      </c>
      <c r="I662" s="1"/>
      <c r="J662" s="1"/>
      <c r="K662" s="1"/>
      <c r="L662" s="1"/>
      <c r="M662" s="1"/>
      <c r="N662" s="1"/>
      <c r="O662" s="1"/>
      <c r="P662" s="1"/>
      <c r="Q662" s="2"/>
      <c r="R662" s="5">
        <v>42949.697065742199</v>
      </c>
      <c r="S662" s="1"/>
      <c r="T662" s="1"/>
      <c r="U662" s="1" t="s">
        <v>1957</v>
      </c>
      <c r="V662" s="5">
        <v>42951.699868378353</v>
      </c>
      <c r="W662" s="1"/>
      <c r="X662" s="1"/>
      <c r="Y662" s="1"/>
      <c r="Z662" s="4">
        <v>42962</v>
      </c>
      <c r="AA662" s="1"/>
      <c r="AB662" s="1"/>
      <c r="AC662" s="1"/>
      <c r="AD662" s="1"/>
    </row>
    <row r="663" spans="1:30" hidden="1" x14ac:dyDescent="0.25">
      <c r="A663" s="1" t="s">
        <v>1066</v>
      </c>
      <c r="B663" s="1" t="s">
        <v>651</v>
      </c>
      <c r="C663" s="1" t="s">
        <v>1147</v>
      </c>
      <c r="D663" s="4">
        <v>42940</v>
      </c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2"/>
      <c r="R663" s="1"/>
      <c r="S663" s="1"/>
      <c r="T663" s="1"/>
      <c r="U663" s="1" t="s">
        <v>1957</v>
      </c>
      <c r="V663" s="5">
        <v>42947.478022075709</v>
      </c>
      <c r="W663" s="1"/>
      <c r="X663" s="1"/>
      <c r="Y663" s="1"/>
      <c r="Z663" s="4">
        <v>42958</v>
      </c>
      <c r="AA663" s="1"/>
      <c r="AB663" s="1"/>
      <c r="AC663" s="1"/>
      <c r="AD663" s="1"/>
    </row>
    <row r="664" spans="1:30" hidden="1" x14ac:dyDescent="0.25">
      <c r="A664" s="1" t="s">
        <v>1407</v>
      </c>
      <c r="B664" s="1" t="s">
        <v>822</v>
      </c>
      <c r="C664" s="1" t="s">
        <v>1081</v>
      </c>
      <c r="D664" s="4">
        <v>42937</v>
      </c>
      <c r="E664" s="6">
        <v>2875480</v>
      </c>
      <c r="F664" s="6"/>
      <c r="G664" s="6">
        <v>2875480</v>
      </c>
      <c r="H664" s="1" t="s">
        <v>1656</v>
      </c>
      <c r="I664" s="6">
        <v>14450</v>
      </c>
      <c r="J664" s="6">
        <v>5.000121110199901E-3</v>
      </c>
      <c r="K664" s="1" t="s">
        <v>1656</v>
      </c>
      <c r="L664" s="1" t="s">
        <v>636</v>
      </c>
      <c r="M664" s="1" t="s">
        <v>947</v>
      </c>
      <c r="N664" s="1" t="s">
        <v>124</v>
      </c>
      <c r="O664" s="6">
        <v>14450</v>
      </c>
      <c r="P664" s="6">
        <v>5.000121110199901E-3</v>
      </c>
      <c r="Q664" s="2" t="str">
        <f>HYPERLINK("https://auction.openprocurement.org/tenders/35a9fc9446d94d4fa3473ee1c442f753")</f>
        <v>https://auction.openprocurement.org/tenders/35a9fc9446d94d4fa3473ee1c442f753</v>
      </c>
      <c r="R664" s="5">
        <v>42955.664814956806</v>
      </c>
      <c r="S664" s="4">
        <v>42966</v>
      </c>
      <c r="T664" s="4">
        <v>42976</v>
      </c>
      <c r="U664" s="1" t="s">
        <v>1956</v>
      </c>
      <c r="V664" s="5">
        <v>42982.587527249503</v>
      </c>
      <c r="W664" s="1" t="s">
        <v>1952</v>
      </c>
      <c r="X664" s="6">
        <v>2875480</v>
      </c>
      <c r="Y664" s="4">
        <v>42970</v>
      </c>
      <c r="Z664" s="4">
        <v>43100</v>
      </c>
      <c r="AA664" s="5">
        <v>43100</v>
      </c>
      <c r="AB664" s="1" t="s">
        <v>1971</v>
      </c>
      <c r="AC664" s="1"/>
      <c r="AD664" s="1" t="s">
        <v>1168</v>
      </c>
    </row>
    <row r="665" spans="1:30" hidden="1" x14ac:dyDescent="0.25">
      <c r="A665" s="1" t="s">
        <v>1974</v>
      </c>
      <c r="B665" s="1" t="s">
        <v>729</v>
      </c>
      <c r="C665" s="1" t="s">
        <v>1147</v>
      </c>
      <c r="D665" s="4">
        <v>42934</v>
      </c>
      <c r="E665" s="6">
        <v>9300</v>
      </c>
      <c r="F665" s="6"/>
      <c r="G665" s="6">
        <v>31</v>
      </c>
      <c r="H665" s="1" t="s">
        <v>1678</v>
      </c>
      <c r="I665" s="1"/>
      <c r="J665" s="1"/>
      <c r="K665" s="1" t="s">
        <v>1678</v>
      </c>
      <c r="L665" s="1" t="s">
        <v>698</v>
      </c>
      <c r="M665" s="1" t="s">
        <v>938</v>
      </c>
      <c r="N665" s="1" t="s">
        <v>148</v>
      </c>
      <c r="O665" s="1"/>
      <c r="P665" s="1"/>
      <c r="Q665" s="2"/>
      <c r="R665" s="5">
        <v>42941.672386710336</v>
      </c>
      <c r="S665" s="4">
        <v>42943</v>
      </c>
      <c r="T665" s="4">
        <v>42967</v>
      </c>
      <c r="U665" s="1" t="s">
        <v>1956</v>
      </c>
      <c r="V665" s="5">
        <v>42947.406767808949</v>
      </c>
      <c r="W665" s="1" t="s">
        <v>339</v>
      </c>
      <c r="X665" s="6">
        <v>9300</v>
      </c>
      <c r="Y665" s="1"/>
      <c r="Z665" s="4">
        <v>42958</v>
      </c>
      <c r="AA665" s="5">
        <v>43100</v>
      </c>
      <c r="AB665" s="1" t="s">
        <v>1971</v>
      </c>
      <c r="AC665" s="1"/>
      <c r="AD665" s="1" t="s">
        <v>1168</v>
      </c>
    </row>
    <row r="666" spans="1:30" hidden="1" x14ac:dyDescent="0.25">
      <c r="A666" s="1" t="s">
        <v>1954</v>
      </c>
      <c r="B666" s="1" t="s">
        <v>731</v>
      </c>
      <c r="C666" s="1" t="s">
        <v>1147</v>
      </c>
      <c r="D666" s="4">
        <v>42934</v>
      </c>
      <c r="E666" s="6">
        <v>6200</v>
      </c>
      <c r="F666" s="6"/>
      <c r="G666" s="6">
        <v>688.88888888888891</v>
      </c>
      <c r="H666" s="1" t="s">
        <v>1678</v>
      </c>
      <c r="I666" s="1"/>
      <c r="J666" s="1"/>
      <c r="K666" s="1" t="s">
        <v>1678</v>
      </c>
      <c r="L666" s="1" t="s">
        <v>698</v>
      </c>
      <c r="M666" s="1" t="s">
        <v>938</v>
      </c>
      <c r="N666" s="1" t="s">
        <v>148</v>
      </c>
      <c r="O666" s="1"/>
      <c r="P666" s="1"/>
      <c r="Q666" s="2"/>
      <c r="R666" s="5">
        <v>42941.673524998383</v>
      </c>
      <c r="S666" s="4">
        <v>42943</v>
      </c>
      <c r="T666" s="4">
        <v>42967</v>
      </c>
      <c r="U666" s="1" t="s">
        <v>1956</v>
      </c>
      <c r="V666" s="5">
        <v>42947.408507328888</v>
      </c>
      <c r="W666" s="1" t="s">
        <v>432</v>
      </c>
      <c r="X666" s="6">
        <v>6200</v>
      </c>
      <c r="Y666" s="1"/>
      <c r="Z666" s="4">
        <v>42954</v>
      </c>
      <c r="AA666" s="5">
        <v>43100</v>
      </c>
      <c r="AB666" s="1" t="s">
        <v>1971</v>
      </c>
      <c r="AC666" s="1"/>
      <c r="AD666" s="1" t="s">
        <v>1168</v>
      </c>
    </row>
    <row r="667" spans="1:30" hidden="1" x14ac:dyDescent="0.25">
      <c r="A667" s="1" t="s">
        <v>1067</v>
      </c>
      <c r="B667" s="1" t="s">
        <v>651</v>
      </c>
      <c r="C667" s="1" t="s">
        <v>1147</v>
      </c>
      <c r="D667" s="4">
        <v>42929</v>
      </c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2"/>
      <c r="R667" s="1"/>
      <c r="S667" s="1"/>
      <c r="T667" s="1"/>
      <c r="U667" s="1" t="s">
        <v>1957</v>
      </c>
      <c r="V667" s="5">
        <v>42937.460013596588</v>
      </c>
      <c r="W667" s="1"/>
      <c r="X667" s="1"/>
      <c r="Y667" s="1"/>
      <c r="Z667" s="4">
        <v>42957</v>
      </c>
      <c r="AA667" s="1"/>
      <c r="AB667" s="1"/>
      <c r="AC667" s="1"/>
      <c r="AD667" s="1"/>
    </row>
    <row r="668" spans="1:30" hidden="1" x14ac:dyDescent="0.25">
      <c r="A668" s="1" t="s">
        <v>1817</v>
      </c>
      <c r="B668" s="1" t="s">
        <v>609</v>
      </c>
      <c r="C668" s="1" t="s">
        <v>1081</v>
      </c>
      <c r="D668" s="4">
        <v>42923</v>
      </c>
      <c r="E668" s="6">
        <v>10.0018704</v>
      </c>
      <c r="F668" s="6"/>
      <c r="G668" s="6">
        <v>2.6459974603174601E-2</v>
      </c>
      <c r="H668" s="1" t="s">
        <v>1701</v>
      </c>
      <c r="I668" s="6">
        <v>1028989.9981296</v>
      </c>
      <c r="J668" s="6">
        <v>0.99999028000932944</v>
      </c>
      <c r="K668" s="1"/>
      <c r="L668" s="1"/>
      <c r="M668" s="1"/>
      <c r="N668" s="1"/>
      <c r="O668" s="1"/>
      <c r="P668" s="1"/>
      <c r="Q668" s="2" t="str">
        <f>HYPERLINK("https://auction.openprocurement.org/tenders/c5bf2007440b4e85b3e2d753b21991ae")</f>
        <v>https://auction.openprocurement.org/tenders/c5bf2007440b4e85b3e2d753b21991ae</v>
      </c>
      <c r="R668" s="5">
        <v>42943.461944328388</v>
      </c>
      <c r="S668" s="1"/>
      <c r="T668" s="1"/>
      <c r="U668" s="1" t="s">
        <v>1957</v>
      </c>
      <c r="V668" s="5">
        <v>42954.000411707442</v>
      </c>
      <c r="W668" s="1"/>
      <c r="X668" s="1"/>
      <c r="Y668" s="1"/>
      <c r="Z668" s="4">
        <v>43009</v>
      </c>
      <c r="AA668" s="1"/>
      <c r="AB668" s="1"/>
      <c r="AC668" s="1"/>
      <c r="AD668" s="1"/>
    </row>
    <row r="669" spans="1:30" hidden="1" x14ac:dyDescent="0.25">
      <c r="A669" s="1" t="s">
        <v>1344</v>
      </c>
      <c r="B669" s="1" t="s">
        <v>728</v>
      </c>
      <c r="C669" s="1" t="s">
        <v>1081</v>
      </c>
      <c r="D669" s="4">
        <v>42923</v>
      </c>
      <c r="E669" s="6">
        <v>3823987</v>
      </c>
      <c r="F669" s="6"/>
      <c r="G669" s="6">
        <v>1507.2869530942057</v>
      </c>
      <c r="H669" s="1" t="s">
        <v>1720</v>
      </c>
      <c r="I669" s="6">
        <v>13</v>
      </c>
      <c r="J669" s="6">
        <v>3.3995815899581591E-6</v>
      </c>
      <c r="K669" s="1"/>
      <c r="L669" s="1"/>
      <c r="M669" s="1"/>
      <c r="N669" s="1"/>
      <c r="O669" s="1"/>
      <c r="P669" s="1"/>
      <c r="Q669" s="2" t="str">
        <f>HYPERLINK("https://auction.openprocurement.org/tenders/eaa3a6d1de1e47d68e590f90f757c431")</f>
        <v>https://auction.openprocurement.org/tenders/eaa3a6d1de1e47d68e590f90f757c431</v>
      </c>
      <c r="R669" s="5">
        <v>42942.70953788035</v>
      </c>
      <c r="S669" s="1"/>
      <c r="T669" s="1"/>
      <c r="U669" s="1" t="s">
        <v>1957</v>
      </c>
      <c r="V669" s="5">
        <v>42953.0008476109</v>
      </c>
      <c r="W669" s="1"/>
      <c r="X669" s="1"/>
      <c r="Y669" s="1"/>
      <c r="Z669" s="4">
        <v>43009</v>
      </c>
      <c r="AA669" s="1"/>
      <c r="AB669" s="1"/>
      <c r="AC669" s="1"/>
      <c r="AD669" s="1"/>
    </row>
    <row r="670" spans="1:30" hidden="1" x14ac:dyDescent="0.25">
      <c r="A670" s="1" t="s">
        <v>1012</v>
      </c>
      <c r="B670" s="1" t="s">
        <v>639</v>
      </c>
      <c r="C670" s="1" t="s">
        <v>1081</v>
      </c>
      <c r="D670" s="4">
        <v>42923</v>
      </c>
      <c r="E670" s="6">
        <v>2613000</v>
      </c>
      <c r="F670" s="6"/>
      <c r="G670" s="6">
        <v>42836.065573770495</v>
      </c>
      <c r="H670" s="1" t="s">
        <v>1720</v>
      </c>
      <c r="I670" s="1"/>
      <c r="J670" s="1"/>
      <c r="K670" s="1"/>
      <c r="L670" s="1"/>
      <c r="M670" s="1"/>
      <c r="N670" s="1"/>
      <c r="O670" s="1"/>
      <c r="P670" s="1"/>
      <c r="Q670" s="2" t="str">
        <f>HYPERLINK("https://auction.openprocurement.org/tenders/9e70a6f5cc0b4247a477c05fd5ae30e6")</f>
        <v>https://auction.openprocurement.org/tenders/9e70a6f5cc0b4247a477c05fd5ae30e6</v>
      </c>
      <c r="R670" s="5">
        <v>42942.714010623822</v>
      </c>
      <c r="S670" s="1"/>
      <c r="T670" s="1"/>
      <c r="U670" s="1" t="s">
        <v>1957</v>
      </c>
      <c r="V670" s="5">
        <v>42953.00046938884</v>
      </c>
      <c r="W670" s="1"/>
      <c r="X670" s="1"/>
      <c r="Y670" s="1"/>
      <c r="Z670" s="4">
        <v>43009</v>
      </c>
      <c r="AA670" s="1"/>
      <c r="AB670" s="1"/>
      <c r="AC670" s="1"/>
      <c r="AD670" s="1"/>
    </row>
    <row r="671" spans="1:30" hidden="1" x14ac:dyDescent="0.25">
      <c r="A671" s="1" t="s">
        <v>1220</v>
      </c>
      <c r="B671" s="1" t="s">
        <v>660</v>
      </c>
      <c r="C671" s="1" t="s">
        <v>1147</v>
      </c>
      <c r="D671" s="4">
        <v>42922</v>
      </c>
      <c r="E671" s="6">
        <v>62325</v>
      </c>
      <c r="F671" s="6"/>
      <c r="G671" s="6">
        <v>2832.9545454545455</v>
      </c>
      <c r="H671" s="1" t="s">
        <v>1870</v>
      </c>
      <c r="I671" s="6">
        <v>35175</v>
      </c>
      <c r="J671" s="6">
        <v>0.36076923076923079</v>
      </c>
      <c r="K671" s="1" t="s">
        <v>1701</v>
      </c>
      <c r="L671" s="1" t="s">
        <v>559</v>
      </c>
      <c r="M671" s="1" t="s">
        <v>856</v>
      </c>
      <c r="N671" s="1" t="s">
        <v>76</v>
      </c>
      <c r="O671" s="6">
        <v>976</v>
      </c>
      <c r="P671" s="6">
        <v>1.0010256410256411E-2</v>
      </c>
      <c r="Q671" s="2" t="str">
        <f>HYPERLINK("https://auction.openprocurement.org/tenders/d6f6a7ed4b8945c4909fdb1338139e5a")</f>
        <v>https://auction.openprocurement.org/tenders/d6f6a7ed4b8945c4909fdb1338139e5a</v>
      </c>
      <c r="R671" s="5">
        <v>42937.699229712132</v>
      </c>
      <c r="S671" s="4">
        <v>42941</v>
      </c>
      <c r="T671" s="4">
        <v>42958</v>
      </c>
      <c r="U671" s="1" t="s">
        <v>1956</v>
      </c>
      <c r="V671" s="5">
        <v>42941.729781034701</v>
      </c>
      <c r="W671" s="1" t="s">
        <v>845</v>
      </c>
      <c r="X671" s="6">
        <v>96524</v>
      </c>
      <c r="Y671" s="1"/>
      <c r="Z671" s="4">
        <v>43009</v>
      </c>
      <c r="AA671" s="5">
        <v>43100</v>
      </c>
      <c r="AB671" s="1" t="s">
        <v>1971</v>
      </c>
      <c r="AC671" s="1"/>
      <c r="AD671" s="1" t="s">
        <v>1168</v>
      </c>
    </row>
    <row r="672" spans="1:30" hidden="1" x14ac:dyDescent="0.25">
      <c r="A672" s="1" t="s">
        <v>1109</v>
      </c>
      <c r="B672" s="1" t="s">
        <v>632</v>
      </c>
      <c r="C672" s="1" t="s">
        <v>1147</v>
      </c>
      <c r="D672" s="4">
        <v>42922</v>
      </c>
      <c r="E672" s="6">
        <v>198500</v>
      </c>
      <c r="F672" s="6"/>
      <c r="G672" s="6">
        <v>39700</v>
      </c>
      <c r="H672" s="1" t="s">
        <v>1701</v>
      </c>
      <c r="I672" s="1"/>
      <c r="J672" s="1"/>
      <c r="K672" s="1" t="s">
        <v>1701</v>
      </c>
      <c r="L672" s="1" t="s">
        <v>559</v>
      </c>
      <c r="M672" s="1" t="s">
        <v>856</v>
      </c>
      <c r="N672" s="1" t="s">
        <v>76</v>
      </c>
      <c r="O672" s="1"/>
      <c r="P672" s="1"/>
      <c r="Q672" s="2"/>
      <c r="R672" s="5">
        <v>42934.710095362905</v>
      </c>
      <c r="S672" s="4">
        <v>42936</v>
      </c>
      <c r="T672" s="4">
        <v>42958</v>
      </c>
      <c r="U672" s="1" t="s">
        <v>1956</v>
      </c>
      <c r="V672" s="5">
        <v>42940.688599336318</v>
      </c>
      <c r="W672" s="1" t="s">
        <v>846</v>
      </c>
      <c r="X672" s="6">
        <v>198500</v>
      </c>
      <c r="Y672" s="1"/>
      <c r="Z672" s="4">
        <v>43009</v>
      </c>
      <c r="AA672" s="5">
        <v>43100</v>
      </c>
      <c r="AB672" s="1" t="s">
        <v>1971</v>
      </c>
      <c r="AC672" s="1"/>
      <c r="AD672" s="1" t="s">
        <v>1168</v>
      </c>
    </row>
    <row r="673" spans="1:30" hidden="1" x14ac:dyDescent="0.25">
      <c r="A673" s="1" t="s">
        <v>1614</v>
      </c>
      <c r="B673" s="1" t="s">
        <v>635</v>
      </c>
      <c r="C673" s="1" t="s">
        <v>1147</v>
      </c>
      <c r="D673" s="4">
        <v>42922</v>
      </c>
      <c r="E673" s="6">
        <v>74400</v>
      </c>
      <c r="F673" s="6"/>
      <c r="G673" s="6">
        <v>6763.636363636364</v>
      </c>
      <c r="H673" s="1" t="s">
        <v>1894</v>
      </c>
      <c r="I673" s="6">
        <v>4600</v>
      </c>
      <c r="J673" s="6">
        <v>5.8227848101265821E-2</v>
      </c>
      <c r="K673" s="1" t="s">
        <v>1701</v>
      </c>
      <c r="L673" s="1" t="s">
        <v>559</v>
      </c>
      <c r="M673" s="1" t="s">
        <v>856</v>
      </c>
      <c r="N673" s="1" t="s">
        <v>76</v>
      </c>
      <c r="O673" s="6">
        <v>2000</v>
      </c>
      <c r="P673" s="6">
        <v>2.5316455696202531E-2</v>
      </c>
      <c r="Q673" s="2" t="str">
        <f>HYPERLINK("https://auction.openprocurement.org/tenders/11e2c579427e45448523a45145b5207e")</f>
        <v>https://auction.openprocurement.org/tenders/11e2c579427e45448523a45145b5207e</v>
      </c>
      <c r="R673" s="5">
        <v>42936.727195579886</v>
      </c>
      <c r="S673" s="4">
        <v>42940</v>
      </c>
      <c r="T673" s="4">
        <v>42958</v>
      </c>
      <c r="U673" s="1" t="s">
        <v>1956</v>
      </c>
      <c r="V673" s="5">
        <v>42944.607925370408</v>
      </c>
      <c r="W673" s="1" t="s">
        <v>848</v>
      </c>
      <c r="X673" s="6">
        <v>77000</v>
      </c>
      <c r="Y673" s="1"/>
      <c r="Z673" s="4">
        <v>43009</v>
      </c>
      <c r="AA673" s="5">
        <v>43100</v>
      </c>
      <c r="AB673" s="1" t="s">
        <v>1971</v>
      </c>
      <c r="AC673" s="1"/>
      <c r="AD673" s="1" t="s">
        <v>1168</v>
      </c>
    </row>
    <row r="674" spans="1:30" hidden="1" x14ac:dyDescent="0.25">
      <c r="A674" s="1" t="s">
        <v>1077</v>
      </c>
      <c r="B674" s="1" t="s">
        <v>733</v>
      </c>
      <c r="C674" s="1" t="s">
        <v>1147</v>
      </c>
      <c r="D674" s="4">
        <v>42922</v>
      </c>
      <c r="E674" s="6">
        <v>82899</v>
      </c>
      <c r="F674" s="6"/>
      <c r="G674" s="6">
        <v>10362.375</v>
      </c>
      <c r="H674" s="1" t="s">
        <v>1687</v>
      </c>
      <c r="I674" s="6">
        <v>3101</v>
      </c>
      <c r="J674" s="6">
        <v>3.6058139534883724E-2</v>
      </c>
      <c r="K674" s="1" t="s">
        <v>1701</v>
      </c>
      <c r="L674" s="1" t="s">
        <v>559</v>
      </c>
      <c r="M674" s="1" t="s">
        <v>856</v>
      </c>
      <c r="N674" s="1" t="s">
        <v>76</v>
      </c>
      <c r="O674" s="6">
        <v>3100</v>
      </c>
      <c r="P674" s="6">
        <v>3.604651162790698E-2</v>
      </c>
      <c r="Q674" s="2" t="str">
        <f>HYPERLINK("https://auction.openprocurement.org/tenders/59cc16b7c4874e20b9e2ec94173b6a0e")</f>
        <v>https://auction.openprocurement.org/tenders/59cc16b7c4874e20b9e2ec94173b6a0e</v>
      </c>
      <c r="R674" s="5">
        <v>42936.708884832849</v>
      </c>
      <c r="S674" s="4">
        <v>42940</v>
      </c>
      <c r="T674" s="4">
        <v>42958</v>
      </c>
      <c r="U674" s="1" t="s">
        <v>1956</v>
      </c>
      <c r="V674" s="5">
        <v>42941.439989015773</v>
      </c>
      <c r="W674" s="1" t="s">
        <v>847</v>
      </c>
      <c r="X674" s="6">
        <v>82900</v>
      </c>
      <c r="Y674" s="1"/>
      <c r="Z674" s="4">
        <v>43009</v>
      </c>
      <c r="AA674" s="5">
        <v>43100</v>
      </c>
      <c r="AB674" s="1" t="s">
        <v>1971</v>
      </c>
      <c r="AC674" s="1"/>
      <c r="AD674" s="1" t="s">
        <v>1168</v>
      </c>
    </row>
    <row r="675" spans="1:30" hidden="1" x14ac:dyDescent="0.25">
      <c r="A675" s="1" t="s">
        <v>1782</v>
      </c>
      <c r="B675" s="1" t="s">
        <v>634</v>
      </c>
      <c r="C675" s="1" t="s">
        <v>1081</v>
      </c>
      <c r="D675" s="4">
        <v>42922</v>
      </c>
      <c r="E675" s="6">
        <v>335190</v>
      </c>
      <c r="F675" s="6"/>
      <c r="G675" s="6">
        <v>12891.923076923076</v>
      </c>
      <c r="H675" s="1" t="s">
        <v>1894</v>
      </c>
      <c r="I675" s="6">
        <v>6310</v>
      </c>
      <c r="J675" s="6">
        <v>1.8477306002928257E-2</v>
      </c>
      <c r="K675" s="1"/>
      <c r="L675" s="1"/>
      <c r="M675" s="1"/>
      <c r="N675" s="1"/>
      <c r="O675" s="1"/>
      <c r="P675" s="1"/>
      <c r="Q675" s="2" t="str">
        <f>HYPERLINK("https://auction.openprocurement.org/tenders/8acad3c958ed4bfd8268f2602982e7aa")</f>
        <v>https://auction.openprocurement.org/tenders/8acad3c958ed4bfd8268f2602982e7aa</v>
      </c>
      <c r="R675" s="5">
        <v>42943.413534760373</v>
      </c>
      <c r="S675" s="1"/>
      <c r="T675" s="1"/>
      <c r="U675" s="1" t="s">
        <v>1957</v>
      </c>
      <c r="V675" s="5">
        <v>42954.003156198625</v>
      </c>
      <c r="W675" s="1"/>
      <c r="X675" s="1"/>
      <c r="Y675" s="1"/>
      <c r="Z675" s="4">
        <v>43009</v>
      </c>
      <c r="AA675" s="1"/>
      <c r="AB675" s="1"/>
      <c r="AC675" s="1"/>
      <c r="AD675" s="1"/>
    </row>
    <row r="676" spans="1:30" hidden="1" x14ac:dyDescent="0.25">
      <c r="A676" s="1" t="s">
        <v>1942</v>
      </c>
      <c r="B676" s="1" t="s">
        <v>667</v>
      </c>
      <c r="C676" s="1" t="s">
        <v>1081</v>
      </c>
      <c r="D676" s="4">
        <v>42922</v>
      </c>
      <c r="E676" s="6">
        <v>731500</v>
      </c>
      <c r="F676" s="6"/>
      <c r="G676" s="6">
        <v>1385.4166666666667</v>
      </c>
      <c r="H676" s="1" t="s">
        <v>1720</v>
      </c>
      <c r="I676" s="1"/>
      <c r="J676" s="1"/>
      <c r="K676" s="1"/>
      <c r="L676" s="1"/>
      <c r="M676" s="1"/>
      <c r="N676" s="1"/>
      <c r="O676" s="1"/>
      <c r="P676" s="1"/>
      <c r="Q676" s="2" t="str">
        <f>HYPERLINK("https://auction.openprocurement.org/tenders/e5b71c884a5e424c85deb898dae5d27b")</f>
        <v>https://auction.openprocurement.org/tenders/e5b71c884a5e424c85deb898dae5d27b</v>
      </c>
      <c r="R676" s="5">
        <v>42942.678915261204</v>
      </c>
      <c r="S676" s="1"/>
      <c r="T676" s="1"/>
      <c r="U676" s="1" t="s">
        <v>1957</v>
      </c>
      <c r="V676" s="5">
        <v>42953.00299032683</v>
      </c>
      <c r="W676" s="1"/>
      <c r="X676" s="1"/>
      <c r="Y676" s="1"/>
      <c r="Z676" s="4">
        <v>43009</v>
      </c>
      <c r="AA676" s="1"/>
      <c r="AB676" s="1"/>
      <c r="AC676" s="1"/>
      <c r="AD676" s="1"/>
    </row>
    <row r="677" spans="1:30" hidden="1" x14ac:dyDescent="0.25">
      <c r="A677" s="1" t="s">
        <v>16</v>
      </c>
      <c r="B677" s="1" t="s">
        <v>788</v>
      </c>
      <c r="C677" s="1" t="s">
        <v>1147</v>
      </c>
      <c r="D677" s="4">
        <v>42919</v>
      </c>
      <c r="E677" s="6">
        <v>198534.53</v>
      </c>
      <c r="F677" s="6"/>
      <c r="G677" s="6">
        <v>198534.53</v>
      </c>
      <c r="H677" s="1" t="s">
        <v>1683</v>
      </c>
      <c r="I677" s="6">
        <v>465.47000000000116</v>
      </c>
      <c r="J677" s="6">
        <v>2.339045226130659E-3</v>
      </c>
      <c r="K677" s="1" t="s">
        <v>1683</v>
      </c>
      <c r="L677" s="1" t="s">
        <v>595</v>
      </c>
      <c r="M677" s="1" t="s">
        <v>916</v>
      </c>
      <c r="N677" s="1" t="s">
        <v>310</v>
      </c>
      <c r="O677" s="6">
        <v>465.47000000000116</v>
      </c>
      <c r="P677" s="6">
        <v>2.339045226130659E-3</v>
      </c>
      <c r="Q677" s="2"/>
      <c r="R677" s="5">
        <v>42929.547013299132</v>
      </c>
      <c r="S677" s="4">
        <v>42933</v>
      </c>
      <c r="T677" s="4">
        <v>42952</v>
      </c>
      <c r="U677" s="1" t="s">
        <v>1956</v>
      </c>
      <c r="V677" s="5">
        <v>42937.650825689605</v>
      </c>
      <c r="W677" s="1" t="s">
        <v>1952</v>
      </c>
      <c r="X677" s="6">
        <v>198534.53</v>
      </c>
      <c r="Y677" s="1"/>
      <c r="Z677" s="4">
        <v>42957</v>
      </c>
      <c r="AA677" s="5">
        <v>43100</v>
      </c>
      <c r="AB677" s="1" t="s">
        <v>1971</v>
      </c>
      <c r="AC677" s="1"/>
      <c r="AD677" s="1" t="s">
        <v>1168</v>
      </c>
    </row>
    <row r="678" spans="1:30" hidden="1" x14ac:dyDescent="0.25">
      <c r="A678" s="1" t="s">
        <v>1094</v>
      </c>
      <c r="B678" s="1" t="s">
        <v>743</v>
      </c>
      <c r="C678" s="1" t="s">
        <v>1147</v>
      </c>
      <c r="D678" s="4">
        <v>42919</v>
      </c>
      <c r="E678" s="6">
        <v>8200</v>
      </c>
      <c r="F678" s="6"/>
      <c r="G678" s="6">
        <v>546.66666666666663</v>
      </c>
      <c r="H678" s="1" t="s">
        <v>1721</v>
      </c>
      <c r="I678" s="6">
        <v>24</v>
      </c>
      <c r="J678" s="6">
        <v>2.9182879377431907E-3</v>
      </c>
      <c r="K678" s="1"/>
      <c r="L678" s="1"/>
      <c r="M678" s="1"/>
      <c r="N678" s="1"/>
      <c r="O678" s="1"/>
      <c r="P678" s="1"/>
      <c r="Q678" s="2"/>
      <c r="R678" s="5">
        <v>42926.602475204607</v>
      </c>
      <c r="S678" s="1"/>
      <c r="T678" s="1"/>
      <c r="U678" s="1" t="s">
        <v>1957</v>
      </c>
      <c r="V678" s="5">
        <v>42928.605567053055</v>
      </c>
      <c r="W678" s="1"/>
      <c r="X678" s="1"/>
      <c r="Y678" s="4">
        <v>42933</v>
      </c>
      <c r="Z678" s="4">
        <v>42936</v>
      </c>
      <c r="AA678" s="1"/>
      <c r="AB678" s="1"/>
      <c r="AC678" s="1"/>
      <c r="AD678" s="1"/>
    </row>
    <row r="679" spans="1:30" hidden="1" x14ac:dyDescent="0.25">
      <c r="A679" s="1" t="s">
        <v>1623</v>
      </c>
      <c r="B679" s="1" t="s">
        <v>737</v>
      </c>
      <c r="C679" s="1" t="s">
        <v>1147</v>
      </c>
      <c r="D679" s="4">
        <v>42915</v>
      </c>
      <c r="E679" s="6">
        <v>4300</v>
      </c>
      <c r="F679" s="6"/>
      <c r="G679" s="6">
        <v>7.166666666666667</v>
      </c>
      <c r="H679" s="1" t="s">
        <v>1897</v>
      </c>
      <c r="I679" s="6">
        <v>3840</v>
      </c>
      <c r="J679" s="6">
        <v>0.47174447174447176</v>
      </c>
      <c r="K679" s="1" t="s">
        <v>1823</v>
      </c>
      <c r="L679" s="1" t="s">
        <v>569</v>
      </c>
      <c r="M679" s="1" t="s">
        <v>989</v>
      </c>
      <c r="N679" s="1" t="s">
        <v>96</v>
      </c>
      <c r="O679" s="6">
        <v>1569.6400000000003</v>
      </c>
      <c r="P679" s="6">
        <v>0.19283046683046687</v>
      </c>
      <c r="Q679" s="2" t="str">
        <f>HYPERLINK("https://auction.openprocurement.org/tenders/1886351d4b884ff8bc419857734c602d")</f>
        <v>https://auction.openprocurement.org/tenders/1886351d4b884ff8bc419857734c602d</v>
      </c>
      <c r="R679" s="5">
        <v>42927.607074182997</v>
      </c>
      <c r="S679" s="4">
        <v>42929</v>
      </c>
      <c r="T679" s="4">
        <v>42950</v>
      </c>
      <c r="U679" s="1" t="s">
        <v>1956</v>
      </c>
      <c r="V679" s="5">
        <v>42940.741176965406</v>
      </c>
      <c r="W679" s="1" t="s">
        <v>1952</v>
      </c>
      <c r="X679" s="6">
        <v>6570.36</v>
      </c>
      <c r="Y679" s="4">
        <v>42933</v>
      </c>
      <c r="Z679" s="4">
        <v>42937</v>
      </c>
      <c r="AA679" s="5">
        <v>43100</v>
      </c>
      <c r="AB679" s="1" t="s">
        <v>1971</v>
      </c>
      <c r="AC679" s="1"/>
      <c r="AD679" s="1" t="s">
        <v>1168</v>
      </c>
    </row>
    <row r="680" spans="1:30" hidden="1" x14ac:dyDescent="0.25">
      <c r="A680" s="1" t="s">
        <v>1366</v>
      </c>
      <c r="B680" s="1" t="s">
        <v>808</v>
      </c>
      <c r="C680" s="1" t="s">
        <v>1081</v>
      </c>
      <c r="D680" s="4">
        <v>42915</v>
      </c>
      <c r="E680" s="6">
        <v>850780.08</v>
      </c>
      <c r="F680" s="6"/>
      <c r="G680" s="6">
        <v>850780.08</v>
      </c>
      <c r="H680" s="1" t="s">
        <v>1662</v>
      </c>
      <c r="I680" s="6">
        <v>19219.920000000042</v>
      </c>
      <c r="J680" s="6">
        <v>2.2091862068965566E-2</v>
      </c>
      <c r="K680" s="1" t="s">
        <v>1662</v>
      </c>
      <c r="L680" s="1" t="s">
        <v>626</v>
      </c>
      <c r="M680" s="1" t="s">
        <v>962</v>
      </c>
      <c r="N680" s="1" t="s">
        <v>30</v>
      </c>
      <c r="O680" s="6">
        <v>19219.920000000042</v>
      </c>
      <c r="P680" s="6">
        <v>2.2091862068965566E-2</v>
      </c>
      <c r="Q680" s="2" t="str">
        <f>HYPERLINK("https://auction.openprocurement.org/tenders/70b1e9f4696e49d8a58cf1ab01091c22")</f>
        <v>https://auction.openprocurement.org/tenders/70b1e9f4696e49d8a58cf1ab01091c22</v>
      </c>
      <c r="R680" s="5">
        <v>42937.397627258702</v>
      </c>
      <c r="S680" s="4">
        <v>42948</v>
      </c>
      <c r="T680" s="4">
        <v>42958</v>
      </c>
      <c r="U680" s="1" t="s">
        <v>1956</v>
      </c>
      <c r="V680" s="5">
        <v>42951.553280041051</v>
      </c>
      <c r="W680" s="1" t="s">
        <v>1952</v>
      </c>
      <c r="X680" s="6">
        <v>850780.08</v>
      </c>
      <c r="Y680" s="1"/>
      <c r="Z680" s="4">
        <v>42978</v>
      </c>
      <c r="AA680" s="5">
        <v>43100</v>
      </c>
      <c r="AB680" s="1" t="s">
        <v>1971</v>
      </c>
      <c r="AC680" s="1"/>
      <c r="AD680" s="1"/>
    </row>
    <row r="681" spans="1:30" hidden="1" x14ac:dyDescent="0.25">
      <c r="A681" s="1" t="s">
        <v>1094</v>
      </c>
      <c r="B681" s="1" t="s">
        <v>743</v>
      </c>
      <c r="C681" s="1" t="s">
        <v>1147</v>
      </c>
      <c r="D681" s="4">
        <v>42912</v>
      </c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2"/>
      <c r="R681" s="1"/>
      <c r="S681" s="1"/>
      <c r="T681" s="1"/>
      <c r="U681" s="1" t="s">
        <v>1957</v>
      </c>
      <c r="V681" s="5">
        <v>42919.459006101875</v>
      </c>
      <c r="W681" s="1"/>
      <c r="X681" s="1"/>
      <c r="Y681" s="1"/>
      <c r="Z681" s="4">
        <v>42947</v>
      </c>
      <c r="AA681" s="1"/>
      <c r="AB681" s="1"/>
      <c r="AC681" s="1"/>
      <c r="AD681" s="1"/>
    </row>
    <row r="682" spans="1:30" hidden="1" x14ac:dyDescent="0.25">
      <c r="A682" s="1" t="s">
        <v>1278</v>
      </c>
      <c r="B682" s="1" t="s">
        <v>724</v>
      </c>
      <c r="C682" s="1" t="s">
        <v>1081</v>
      </c>
      <c r="D682" s="4">
        <v>42906</v>
      </c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2"/>
      <c r="R682" s="1"/>
      <c r="S682" s="1"/>
      <c r="T682" s="1"/>
      <c r="U682" s="1" t="s">
        <v>1972</v>
      </c>
      <c r="V682" s="5">
        <v>42906.702006402636</v>
      </c>
      <c r="W682" s="1"/>
      <c r="X682" s="1"/>
      <c r="Y682" s="1"/>
      <c r="Z682" s="4">
        <v>43009</v>
      </c>
      <c r="AA682" s="1"/>
      <c r="AB682" s="1"/>
      <c r="AC682" s="1"/>
      <c r="AD682" s="1"/>
    </row>
    <row r="683" spans="1:30" hidden="1" x14ac:dyDescent="0.25">
      <c r="A683" s="1" t="s">
        <v>1280</v>
      </c>
      <c r="B683" s="1" t="s">
        <v>724</v>
      </c>
      <c r="C683" s="1" t="s">
        <v>1081</v>
      </c>
      <c r="D683" s="4">
        <v>42906</v>
      </c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2"/>
      <c r="R683" s="1"/>
      <c r="S683" s="1"/>
      <c r="T683" s="1"/>
      <c r="U683" s="1" t="s">
        <v>1972</v>
      </c>
      <c r="V683" s="5">
        <v>42906.702006402636</v>
      </c>
      <c r="W683" s="1"/>
      <c r="X683" s="1"/>
      <c r="Y683" s="1"/>
      <c r="Z683" s="4">
        <v>43009</v>
      </c>
      <c r="AA683" s="1"/>
      <c r="AB683" s="1"/>
      <c r="AC683" s="1"/>
      <c r="AD683" s="1"/>
    </row>
    <row r="684" spans="1:30" hidden="1" x14ac:dyDescent="0.25">
      <c r="A684" s="1" t="s">
        <v>1279</v>
      </c>
      <c r="B684" s="1" t="s">
        <v>724</v>
      </c>
      <c r="C684" s="1" t="s">
        <v>1081</v>
      </c>
      <c r="D684" s="4">
        <v>42906</v>
      </c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2"/>
      <c r="R684" s="1"/>
      <c r="S684" s="1"/>
      <c r="T684" s="1"/>
      <c r="U684" s="1" t="s">
        <v>1972</v>
      </c>
      <c r="V684" s="5">
        <v>42906.702006402636</v>
      </c>
      <c r="W684" s="1"/>
      <c r="X684" s="1"/>
      <c r="Y684" s="1"/>
      <c r="Z684" s="4">
        <v>43009</v>
      </c>
      <c r="AA684" s="1"/>
      <c r="AB684" s="1"/>
      <c r="AC684" s="1"/>
      <c r="AD684" s="1"/>
    </row>
    <row r="685" spans="1:30" hidden="1" x14ac:dyDescent="0.25">
      <c r="A685" s="1" t="s">
        <v>1578</v>
      </c>
      <c r="B685" s="1" t="s">
        <v>665</v>
      </c>
      <c r="C685" s="1" t="s">
        <v>1147</v>
      </c>
      <c r="D685" s="4">
        <v>42902</v>
      </c>
      <c r="E685" s="6">
        <v>5450</v>
      </c>
      <c r="F685" s="6"/>
      <c r="G685" s="6">
        <v>302.77777777777777</v>
      </c>
      <c r="H685" s="1" t="s">
        <v>1721</v>
      </c>
      <c r="I685" s="6">
        <v>50</v>
      </c>
      <c r="J685" s="6">
        <v>9.0909090909090905E-3</v>
      </c>
      <c r="K685" s="1" t="s">
        <v>1721</v>
      </c>
      <c r="L685" s="1" t="s">
        <v>700</v>
      </c>
      <c r="M685" s="1" t="s">
        <v>955</v>
      </c>
      <c r="N685" s="1" t="s">
        <v>58</v>
      </c>
      <c r="O685" s="6">
        <v>50</v>
      </c>
      <c r="P685" s="6">
        <v>9.0909090909090905E-3</v>
      </c>
      <c r="Q685" s="2"/>
      <c r="R685" s="5">
        <v>42913.389066956457</v>
      </c>
      <c r="S685" s="4">
        <v>42916</v>
      </c>
      <c r="T685" s="4">
        <v>42937</v>
      </c>
      <c r="U685" s="1" t="s">
        <v>1956</v>
      </c>
      <c r="V685" s="5">
        <v>42921.374320484305</v>
      </c>
      <c r="W685" s="1" t="s">
        <v>1952</v>
      </c>
      <c r="X685" s="6">
        <v>5450</v>
      </c>
      <c r="Y685" s="4">
        <v>42919</v>
      </c>
      <c r="Z685" s="4">
        <v>42923</v>
      </c>
      <c r="AA685" s="5">
        <v>43100</v>
      </c>
      <c r="AB685" s="1" t="s">
        <v>1971</v>
      </c>
      <c r="AC685" s="1"/>
      <c r="AD685" s="1"/>
    </row>
    <row r="686" spans="1:30" hidden="1" x14ac:dyDescent="0.25">
      <c r="A686" s="1" t="s">
        <v>1937</v>
      </c>
      <c r="B686" s="1" t="s">
        <v>739</v>
      </c>
      <c r="C686" s="1" t="s">
        <v>1147</v>
      </c>
      <c r="D686" s="4">
        <v>42902</v>
      </c>
      <c r="E686" s="6">
        <v>18900</v>
      </c>
      <c r="F686" s="6"/>
      <c r="G686" s="6">
        <v>1050</v>
      </c>
      <c r="H686" s="1" t="s">
        <v>1634</v>
      </c>
      <c r="I686" s="6">
        <v>4860</v>
      </c>
      <c r="J686" s="6">
        <v>0.20454545454545456</v>
      </c>
      <c r="K686" s="1" t="s">
        <v>1634</v>
      </c>
      <c r="L686" s="1" t="s">
        <v>606</v>
      </c>
      <c r="M686" s="1" t="s">
        <v>984</v>
      </c>
      <c r="N686" s="1" t="s">
        <v>50</v>
      </c>
      <c r="O686" s="6">
        <v>4860</v>
      </c>
      <c r="P686" s="6">
        <v>0.20454545454545456</v>
      </c>
      <c r="Q686" s="2" t="str">
        <f>HYPERLINK("https://auction.openprocurement.org/tenders/d2633ddc5b264cadb602c5d20a49c4d6")</f>
        <v>https://auction.openprocurement.org/tenders/d2633ddc5b264cadb602c5d20a49c4d6</v>
      </c>
      <c r="R686" s="5">
        <v>42915.420969677049</v>
      </c>
      <c r="S686" s="4">
        <v>42919</v>
      </c>
      <c r="T686" s="4">
        <v>42938</v>
      </c>
      <c r="U686" s="1" t="s">
        <v>1956</v>
      </c>
      <c r="V686" s="5">
        <v>42919.716933503209</v>
      </c>
      <c r="W686" s="1" t="s">
        <v>522</v>
      </c>
      <c r="X686" s="6">
        <v>18900</v>
      </c>
      <c r="Y686" s="4">
        <v>42921</v>
      </c>
      <c r="Z686" s="4">
        <v>42931</v>
      </c>
      <c r="AA686" s="5">
        <v>43100</v>
      </c>
      <c r="AB686" s="1" t="s">
        <v>1971</v>
      </c>
      <c r="AC686" s="1"/>
      <c r="AD686" s="1" t="s">
        <v>1168</v>
      </c>
    </row>
    <row r="687" spans="1:30" hidden="1" x14ac:dyDescent="0.25">
      <c r="A687" s="1" t="s">
        <v>1094</v>
      </c>
      <c r="B687" s="1" t="s">
        <v>743</v>
      </c>
      <c r="C687" s="1" t="s">
        <v>1147</v>
      </c>
      <c r="D687" s="4">
        <v>42902</v>
      </c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2"/>
      <c r="R687" s="1"/>
      <c r="S687" s="1"/>
      <c r="T687" s="1"/>
      <c r="U687" s="1" t="s">
        <v>1957</v>
      </c>
      <c r="V687" s="5">
        <v>42909.670058886935</v>
      </c>
      <c r="W687" s="1"/>
      <c r="X687" s="1"/>
      <c r="Y687" s="4">
        <v>42921</v>
      </c>
      <c r="Z687" s="4">
        <v>42930</v>
      </c>
      <c r="AA687" s="1"/>
      <c r="AB687" s="1"/>
      <c r="AC687" s="1"/>
      <c r="AD687" s="1"/>
    </row>
    <row r="688" spans="1:30" hidden="1" x14ac:dyDescent="0.25">
      <c r="A688" s="1" t="s">
        <v>1190</v>
      </c>
      <c r="B688" s="1" t="s">
        <v>527</v>
      </c>
      <c r="C688" s="1" t="s">
        <v>1147</v>
      </c>
      <c r="D688" s="4">
        <v>42902</v>
      </c>
      <c r="E688" s="6">
        <v>2618.27</v>
      </c>
      <c r="F688" s="6"/>
      <c r="G688" s="6">
        <v>8.3918910256410264</v>
      </c>
      <c r="H688" s="1" t="s">
        <v>1632</v>
      </c>
      <c r="I688" s="6">
        <v>1999.73</v>
      </c>
      <c r="J688" s="6">
        <v>0.43302944997834558</v>
      </c>
      <c r="K688" s="1" t="s">
        <v>1773</v>
      </c>
      <c r="L688" s="1" t="s">
        <v>483</v>
      </c>
      <c r="M688" s="1" t="s">
        <v>868</v>
      </c>
      <c r="N688" s="1" t="s">
        <v>645</v>
      </c>
      <c r="O688" s="6">
        <v>1853.8000000000002</v>
      </c>
      <c r="P688" s="6">
        <v>0.40142919012559553</v>
      </c>
      <c r="Q688" s="2" t="str">
        <f>HYPERLINK("https://auction.openprocurement.org/tenders/9f5fd877308b420f8e41a610233e4fbe")</f>
        <v>https://auction.openprocurement.org/tenders/9f5fd877308b420f8e41a610233e4fbe</v>
      </c>
      <c r="R688" s="5">
        <v>42915.469666757977</v>
      </c>
      <c r="S688" s="4">
        <v>42919</v>
      </c>
      <c r="T688" s="4">
        <v>42937</v>
      </c>
      <c r="U688" s="1" t="s">
        <v>1956</v>
      </c>
      <c r="V688" s="5">
        <v>42921.609126921328</v>
      </c>
      <c r="W688" s="1" t="s">
        <v>1952</v>
      </c>
      <c r="X688" s="6">
        <v>2764.2</v>
      </c>
      <c r="Y688" s="4">
        <v>42921</v>
      </c>
      <c r="Z688" s="4">
        <v>42926</v>
      </c>
      <c r="AA688" s="5">
        <v>43100</v>
      </c>
      <c r="AB688" s="1" t="s">
        <v>1971</v>
      </c>
      <c r="AC688" s="1"/>
      <c r="AD688" s="1" t="s">
        <v>1168</v>
      </c>
    </row>
    <row r="689" spans="1:30" hidden="1" x14ac:dyDescent="0.25">
      <c r="A689" s="1" t="s">
        <v>1152</v>
      </c>
      <c r="B689" s="1" t="s">
        <v>727</v>
      </c>
      <c r="C689" s="1" t="s">
        <v>1147</v>
      </c>
      <c r="D689" s="4">
        <v>42902</v>
      </c>
      <c r="E689" s="6">
        <v>16489.240000000002</v>
      </c>
      <c r="F689" s="6"/>
      <c r="G689" s="6">
        <v>2355.6057142857144</v>
      </c>
      <c r="H689" s="1" t="s">
        <v>1028</v>
      </c>
      <c r="I689" s="6">
        <v>1243.7599999999984</v>
      </c>
      <c r="J689" s="6">
        <v>7.0138160491738474E-2</v>
      </c>
      <c r="K689" s="1" t="s">
        <v>1028</v>
      </c>
      <c r="L689" s="1" t="s">
        <v>644</v>
      </c>
      <c r="M689" s="1" t="s">
        <v>980</v>
      </c>
      <c r="N689" s="1" t="s">
        <v>46</v>
      </c>
      <c r="O689" s="6">
        <v>1243.7599999999984</v>
      </c>
      <c r="P689" s="6">
        <v>7.0138160491738474E-2</v>
      </c>
      <c r="Q689" s="2"/>
      <c r="R689" s="5">
        <v>42912.522252872892</v>
      </c>
      <c r="S689" s="4">
        <v>42915</v>
      </c>
      <c r="T689" s="4">
        <v>42937</v>
      </c>
      <c r="U689" s="1" t="s">
        <v>1956</v>
      </c>
      <c r="V689" s="5">
        <v>42916.57220421837</v>
      </c>
      <c r="W689" s="1" t="s">
        <v>1952</v>
      </c>
      <c r="X689" s="6">
        <v>16489.240000000002</v>
      </c>
      <c r="Y689" s="4">
        <v>42921</v>
      </c>
      <c r="Z689" s="4">
        <v>42926</v>
      </c>
      <c r="AA689" s="5">
        <v>43100</v>
      </c>
      <c r="AB689" s="1" t="s">
        <v>1971</v>
      </c>
      <c r="AC689" s="1"/>
      <c r="AD689" s="1" t="s">
        <v>1168</v>
      </c>
    </row>
    <row r="690" spans="1:30" hidden="1" x14ac:dyDescent="0.25">
      <c r="A690" s="1" t="s">
        <v>1525</v>
      </c>
      <c r="B690" s="1" t="s">
        <v>778</v>
      </c>
      <c r="C690" s="1" t="s">
        <v>1157</v>
      </c>
      <c r="D690" s="4">
        <v>42901</v>
      </c>
      <c r="E690" s="6">
        <v>114000</v>
      </c>
      <c r="F690" s="6"/>
      <c r="G690" s="6">
        <v>114000</v>
      </c>
      <c r="H690" s="1"/>
      <c r="I690" s="1"/>
      <c r="J690" s="1"/>
      <c r="K690" s="1" t="s">
        <v>1303</v>
      </c>
      <c r="L690" s="1" t="s">
        <v>465</v>
      </c>
      <c r="M690" s="1"/>
      <c r="N690" s="1" t="s">
        <v>72</v>
      </c>
      <c r="O690" s="1"/>
      <c r="P690" s="1"/>
      <c r="Q690" s="2"/>
      <c r="R690" s="1"/>
      <c r="S690" s="1"/>
      <c r="T690" s="1"/>
      <c r="U690" s="1" t="s">
        <v>1956</v>
      </c>
      <c r="V690" s="5">
        <v>42901.735172474793</v>
      </c>
      <c r="W690" s="1" t="s">
        <v>355</v>
      </c>
      <c r="X690" s="6">
        <v>114000</v>
      </c>
      <c r="Y690" s="4">
        <v>42888</v>
      </c>
      <c r="Z690" s="4">
        <v>44074</v>
      </c>
      <c r="AA690" s="5">
        <v>44074</v>
      </c>
      <c r="AB690" s="1" t="s">
        <v>1971</v>
      </c>
      <c r="AC690" s="1"/>
      <c r="AD690" s="1"/>
    </row>
    <row r="691" spans="1:30" hidden="1" x14ac:dyDescent="0.25">
      <c r="A691" s="1" t="s">
        <v>1574</v>
      </c>
      <c r="B691" s="1" t="s">
        <v>728</v>
      </c>
      <c r="C691" s="1" t="s">
        <v>1147</v>
      </c>
      <c r="D691" s="4">
        <v>42894</v>
      </c>
      <c r="E691" s="6">
        <v>17780</v>
      </c>
      <c r="F691" s="6"/>
      <c r="G691" s="6">
        <v>1045.8823529411766</v>
      </c>
      <c r="H691" s="1" t="s">
        <v>1861</v>
      </c>
      <c r="I691" s="6">
        <v>5</v>
      </c>
      <c r="J691" s="6">
        <v>2.8113578858588698E-4</v>
      </c>
      <c r="K691" s="1" t="s">
        <v>1861</v>
      </c>
      <c r="L691" s="1" t="s">
        <v>542</v>
      </c>
      <c r="M691" s="1" t="s">
        <v>904</v>
      </c>
      <c r="N691" s="1" t="s">
        <v>178</v>
      </c>
      <c r="O691" s="6">
        <v>5</v>
      </c>
      <c r="P691" s="6">
        <v>2.8113578858588698E-4</v>
      </c>
      <c r="Q691" s="2"/>
      <c r="R691" s="5">
        <v>42902.693413452049</v>
      </c>
      <c r="S691" s="4">
        <v>42906</v>
      </c>
      <c r="T691" s="4">
        <v>42929</v>
      </c>
      <c r="U691" s="1" t="s">
        <v>1956</v>
      </c>
      <c r="V691" s="5">
        <v>42906.706890932604</v>
      </c>
      <c r="W691" s="1" t="s">
        <v>1952</v>
      </c>
      <c r="X691" s="6">
        <v>17780</v>
      </c>
      <c r="Y691" s="4">
        <v>42912</v>
      </c>
      <c r="Z691" s="4">
        <v>42916</v>
      </c>
      <c r="AA691" s="5">
        <v>43100</v>
      </c>
      <c r="AB691" s="1" t="s">
        <v>1971</v>
      </c>
      <c r="AC691" s="1"/>
      <c r="AD691" s="1" t="s">
        <v>1168</v>
      </c>
    </row>
    <row r="692" spans="1:30" hidden="1" x14ac:dyDescent="0.25">
      <c r="A692" s="1" t="s">
        <v>1366</v>
      </c>
      <c r="B692" s="1" t="s">
        <v>808</v>
      </c>
      <c r="C692" s="1" t="s">
        <v>1081</v>
      </c>
      <c r="D692" s="4">
        <v>42880</v>
      </c>
      <c r="E692" s="6">
        <v>750</v>
      </c>
      <c r="F692" s="6"/>
      <c r="G692" s="6">
        <v>250</v>
      </c>
      <c r="H692" s="1" t="s">
        <v>1672</v>
      </c>
      <c r="I692" s="6">
        <v>799250</v>
      </c>
      <c r="J692" s="6">
        <v>0.99906249999999996</v>
      </c>
      <c r="K692" s="1"/>
      <c r="L692" s="1"/>
      <c r="M692" s="1"/>
      <c r="N692" s="1"/>
      <c r="O692" s="1"/>
      <c r="P692" s="1"/>
      <c r="Q692" s="2" t="str">
        <f>HYPERLINK("https://auction.openprocurement.org/tenders/26244d40a4c1401a8c25218ee8c6a960")</f>
        <v>https://auction.openprocurement.org/tenders/26244d40a4c1401a8c25218ee8c6a960</v>
      </c>
      <c r="R692" s="1"/>
      <c r="S692" s="1"/>
      <c r="T692" s="1"/>
      <c r="U692" s="1" t="s">
        <v>1972</v>
      </c>
      <c r="V692" s="5">
        <v>42900.478263733101</v>
      </c>
      <c r="W692" s="1"/>
      <c r="X692" s="1"/>
      <c r="Y692" s="4">
        <v>42909</v>
      </c>
      <c r="Z692" s="4">
        <v>42930</v>
      </c>
      <c r="AA692" s="1"/>
      <c r="AB692" s="1"/>
      <c r="AC692" s="1" t="s">
        <v>1167</v>
      </c>
      <c r="AD692" s="1"/>
    </row>
    <row r="693" spans="1:30" hidden="1" x14ac:dyDescent="0.25">
      <c r="A693" s="1" t="s">
        <v>1451</v>
      </c>
      <c r="B693" s="1" t="s">
        <v>833</v>
      </c>
      <c r="C693" s="1" t="s">
        <v>1147</v>
      </c>
      <c r="D693" s="4">
        <v>42879</v>
      </c>
      <c r="E693" s="6">
        <v>192420</v>
      </c>
      <c r="F693" s="6"/>
      <c r="G693" s="6">
        <v>96210</v>
      </c>
      <c r="H693" s="1" t="s">
        <v>1662</v>
      </c>
      <c r="I693" s="6">
        <v>5580</v>
      </c>
      <c r="J693" s="6">
        <v>2.8181818181818183E-2</v>
      </c>
      <c r="K693" s="1" t="s">
        <v>1662</v>
      </c>
      <c r="L693" s="1" t="s">
        <v>626</v>
      </c>
      <c r="M693" s="1" t="s">
        <v>962</v>
      </c>
      <c r="N693" s="1" t="s">
        <v>30</v>
      </c>
      <c r="O693" s="6">
        <v>5580</v>
      </c>
      <c r="P693" s="6">
        <v>2.8181818181818183E-2</v>
      </c>
      <c r="Q693" s="2"/>
      <c r="R693" s="5">
        <v>42887.460724098761</v>
      </c>
      <c r="S693" s="4">
        <v>42892</v>
      </c>
      <c r="T693" s="4">
        <v>42914</v>
      </c>
      <c r="U693" s="1" t="s">
        <v>1956</v>
      </c>
      <c r="V693" s="5">
        <v>42893.58785933016</v>
      </c>
      <c r="W693" s="1" t="s">
        <v>291</v>
      </c>
      <c r="X693" s="6">
        <v>192420</v>
      </c>
      <c r="Y693" s="4">
        <v>42891</v>
      </c>
      <c r="Z693" s="4">
        <v>42921</v>
      </c>
      <c r="AA693" s="5">
        <v>43100</v>
      </c>
      <c r="AB693" s="1" t="s">
        <v>1971</v>
      </c>
      <c r="AC693" s="1"/>
      <c r="AD693" s="1" t="s">
        <v>1168</v>
      </c>
    </row>
    <row r="694" spans="1:30" hidden="1" x14ac:dyDescent="0.25">
      <c r="A694" s="1" t="s">
        <v>1386</v>
      </c>
      <c r="B694" s="1" t="s">
        <v>808</v>
      </c>
      <c r="C694" s="1" t="s">
        <v>1147</v>
      </c>
      <c r="D694" s="4">
        <v>42865</v>
      </c>
      <c r="E694" s="6">
        <v>193128</v>
      </c>
      <c r="F694" s="6"/>
      <c r="G694" s="6">
        <v>193128</v>
      </c>
      <c r="H694" s="1" t="s">
        <v>1655</v>
      </c>
      <c r="I694" s="6">
        <v>5872</v>
      </c>
      <c r="J694" s="6">
        <v>2.950753768844221E-2</v>
      </c>
      <c r="K694" s="1" t="s">
        <v>1655</v>
      </c>
      <c r="L694" s="1" t="s">
        <v>695</v>
      </c>
      <c r="M694" s="1" t="s">
        <v>888</v>
      </c>
      <c r="N694" s="1" t="s">
        <v>141</v>
      </c>
      <c r="O694" s="6">
        <v>5872</v>
      </c>
      <c r="P694" s="6">
        <v>2.950753768844221E-2</v>
      </c>
      <c r="Q694" s="2"/>
      <c r="R694" s="5">
        <v>42873.597088783019</v>
      </c>
      <c r="S694" s="4">
        <v>42877</v>
      </c>
      <c r="T694" s="4">
        <v>42900</v>
      </c>
      <c r="U694" s="1" t="s">
        <v>1956</v>
      </c>
      <c r="V694" s="5">
        <v>42880.696467154332</v>
      </c>
      <c r="W694" s="1" t="s">
        <v>478</v>
      </c>
      <c r="X694" s="6">
        <v>193128</v>
      </c>
      <c r="Y694" s="4">
        <v>42881</v>
      </c>
      <c r="Z694" s="4">
        <v>42916</v>
      </c>
      <c r="AA694" s="5">
        <v>43100</v>
      </c>
      <c r="AB694" s="1" t="s">
        <v>1971</v>
      </c>
      <c r="AC694" s="1"/>
      <c r="AD694" s="1" t="s">
        <v>1168</v>
      </c>
    </row>
    <row r="695" spans="1:30" hidden="1" x14ac:dyDescent="0.25">
      <c r="A695" s="1" t="s">
        <v>1816</v>
      </c>
      <c r="B695" s="1" t="s">
        <v>609</v>
      </c>
      <c r="C695" s="1" t="s">
        <v>1147</v>
      </c>
      <c r="D695" s="4">
        <v>42852</v>
      </c>
      <c r="E695" s="6">
        <v>11993.98</v>
      </c>
      <c r="F695" s="6"/>
      <c r="G695" s="6">
        <v>1998.9966666666667</v>
      </c>
      <c r="H695" s="1" t="s">
        <v>1638</v>
      </c>
      <c r="I695" s="6">
        <v>2.0000000000436557E-2</v>
      </c>
      <c r="J695" s="6">
        <v>1.6675004169115023E-6</v>
      </c>
      <c r="K695" s="1" t="s">
        <v>1638</v>
      </c>
      <c r="L695" s="1" t="s">
        <v>622</v>
      </c>
      <c r="M695" s="1" t="s">
        <v>912</v>
      </c>
      <c r="N695" s="1" t="s">
        <v>94</v>
      </c>
      <c r="O695" s="6">
        <v>2.0000000000436557E-2</v>
      </c>
      <c r="P695" s="6">
        <v>1.6675004169115023E-6</v>
      </c>
      <c r="Q695" s="2"/>
      <c r="R695" s="5">
        <v>42865.505973507694</v>
      </c>
      <c r="S695" s="4">
        <v>42867</v>
      </c>
      <c r="T695" s="4">
        <v>42888</v>
      </c>
      <c r="U695" s="1" t="s">
        <v>1956</v>
      </c>
      <c r="V695" s="5">
        <v>42872.733010923068</v>
      </c>
      <c r="W695" s="1" t="s">
        <v>1952</v>
      </c>
      <c r="X695" s="6">
        <v>11993.98</v>
      </c>
      <c r="Y695" s="4">
        <v>42877</v>
      </c>
      <c r="Z695" s="4">
        <v>42886</v>
      </c>
      <c r="AA695" s="5">
        <v>43100</v>
      </c>
      <c r="AB695" s="1" t="s">
        <v>1971</v>
      </c>
      <c r="AC695" s="1"/>
      <c r="AD695" s="1" t="s">
        <v>1168</v>
      </c>
    </row>
    <row r="696" spans="1:30" hidden="1" x14ac:dyDescent="0.25">
      <c r="A696" s="1" t="s">
        <v>1816</v>
      </c>
      <c r="B696" s="1" t="s">
        <v>609</v>
      </c>
      <c r="C696" s="1" t="s">
        <v>1147</v>
      </c>
      <c r="D696" s="4">
        <v>42845</v>
      </c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2"/>
      <c r="R696" s="1"/>
      <c r="S696" s="1"/>
      <c r="T696" s="1"/>
      <c r="U696" s="1" t="s">
        <v>1957</v>
      </c>
      <c r="V696" s="5">
        <v>42851.711552870431</v>
      </c>
      <c r="W696" s="1"/>
      <c r="X696" s="1"/>
      <c r="Y696" s="4">
        <v>42870</v>
      </c>
      <c r="Z696" s="4">
        <v>42874</v>
      </c>
      <c r="AA696" s="1"/>
      <c r="AB696" s="1"/>
      <c r="AC696" s="1"/>
      <c r="AD696" s="1"/>
    </row>
    <row r="697" spans="1:30" hidden="1" x14ac:dyDescent="0.25">
      <c r="A697" s="1" t="s">
        <v>1933</v>
      </c>
      <c r="B697" s="1" t="s">
        <v>396</v>
      </c>
      <c r="C697" s="1" t="s">
        <v>1147</v>
      </c>
      <c r="D697" s="4">
        <v>42844</v>
      </c>
      <c r="E697" s="6">
        <v>21000</v>
      </c>
      <c r="F697" s="6"/>
      <c r="G697" s="6">
        <v>420</v>
      </c>
      <c r="H697" s="1" t="s">
        <v>1133</v>
      </c>
      <c r="I697" s="6">
        <v>26</v>
      </c>
      <c r="J697" s="6">
        <v>1.236564253781033E-3</v>
      </c>
      <c r="K697" s="1" t="s">
        <v>1133</v>
      </c>
      <c r="L697" s="1" t="s">
        <v>588</v>
      </c>
      <c r="M697" s="1" t="s">
        <v>960</v>
      </c>
      <c r="N697" s="1" t="s">
        <v>113</v>
      </c>
      <c r="O697" s="6">
        <v>26</v>
      </c>
      <c r="P697" s="6">
        <v>1.236564253781033E-3</v>
      </c>
      <c r="Q697" s="2"/>
      <c r="R697" s="5">
        <v>42851.631430032503</v>
      </c>
      <c r="S697" s="4">
        <v>42853</v>
      </c>
      <c r="T697" s="4">
        <v>42876</v>
      </c>
      <c r="U697" s="1" t="s">
        <v>1956</v>
      </c>
      <c r="V697" s="5">
        <v>42866.633400563667</v>
      </c>
      <c r="W697" s="1" t="s">
        <v>1952</v>
      </c>
      <c r="X697" s="6">
        <v>21000</v>
      </c>
      <c r="Y697" s="4">
        <v>42855</v>
      </c>
      <c r="Z697" s="4">
        <v>42863</v>
      </c>
      <c r="AA697" s="5">
        <v>43100</v>
      </c>
      <c r="AB697" s="1" t="s">
        <v>1971</v>
      </c>
      <c r="AC697" s="1"/>
      <c r="AD697" s="1" t="s">
        <v>1168</v>
      </c>
    </row>
    <row r="698" spans="1:30" hidden="1" x14ac:dyDescent="0.25">
      <c r="A698" s="1" t="s">
        <v>1186</v>
      </c>
      <c r="B698" s="1" t="s">
        <v>737</v>
      </c>
      <c r="C698" s="1" t="s">
        <v>1147</v>
      </c>
      <c r="D698" s="4">
        <v>42843</v>
      </c>
      <c r="E698" s="6">
        <v>45685</v>
      </c>
      <c r="F698" s="6"/>
      <c r="G698" s="6">
        <v>16.9895872071402</v>
      </c>
      <c r="H698" s="1" t="s">
        <v>1829</v>
      </c>
      <c r="I698" s="6">
        <v>415</v>
      </c>
      <c r="J698" s="6">
        <v>9.0021691973969625E-3</v>
      </c>
      <c r="K698" s="1" t="s">
        <v>1829</v>
      </c>
      <c r="L698" s="1" t="s">
        <v>488</v>
      </c>
      <c r="M698" s="1" t="s">
        <v>895</v>
      </c>
      <c r="N698" s="1" t="s">
        <v>43</v>
      </c>
      <c r="O698" s="6">
        <v>415</v>
      </c>
      <c r="P698" s="6">
        <v>9.0021691973969625E-3</v>
      </c>
      <c r="Q698" s="2"/>
      <c r="R698" s="5">
        <v>42850.514856935093</v>
      </c>
      <c r="S698" s="4">
        <v>42852</v>
      </c>
      <c r="T698" s="4">
        <v>42875</v>
      </c>
      <c r="U698" s="1" t="s">
        <v>1956</v>
      </c>
      <c r="V698" s="5">
        <v>42858.662086823264</v>
      </c>
      <c r="W698" s="1" t="s">
        <v>1952</v>
      </c>
      <c r="X698" s="6">
        <v>45685</v>
      </c>
      <c r="Y698" s="4">
        <v>42853</v>
      </c>
      <c r="Z698" s="4">
        <v>42860</v>
      </c>
      <c r="AA698" s="5">
        <v>43100</v>
      </c>
      <c r="AB698" s="1" t="s">
        <v>1971</v>
      </c>
      <c r="AC698" s="1"/>
      <c r="AD698" s="1" t="s">
        <v>1168</v>
      </c>
    </row>
    <row r="699" spans="1:30" hidden="1" x14ac:dyDescent="0.25">
      <c r="A699" s="1" t="s">
        <v>1423</v>
      </c>
      <c r="B699" s="1" t="s">
        <v>817</v>
      </c>
      <c r="C699" s="1" t="s">
        <v>1081</v>
      </c>
      <c r="D699" s="4">
        <v>42838</v>
      </c>
      <c r="E699" s="6">
        <v>760360.8</v>
      </c>
      <c r="F699" s="6"/>
      <c r="G699" s="6">
        <v>760360.8</v>
      </c>
      <c r="H699" s="1" t="s">
        <v>1715</v>
      </c>
      <c r="I699" s="6">
        <v>11589.199999999953</v>
      </c>
      <c r="J699" s="6">
        <v>1.501288943584423E-2</v>
      </c>
      <c r="K699" s="1" t="s">
        <v>1715</v>
      </c>
      <c r="L699" s="1" t="s">
        <v>623</v>
      </c>
      <c r="M699" s="1" t="s">
        <v>906</v>
      </c>
      <c r="N699" s="1" t="s">
        <v>52</v>
      </c>
      <c r="O699" s="6">
        <v>11589.199999999953</v>
      </c>
      <c r="P699" s="6">
        <v>1.501288943584423E-2</v>
      </c>
      <c r="Q699" s="2" t="str">
        <f>HYPERLINK("https://auction.openprocurement.org/tenders/086e021dd60b479dbb66c8b70147d2f3")</f>
        <v>https://auction.openprocurement.org/tenders/086e021dd60b479dbb66c8b70147d2f3</v>
      </c>
      <c r="R699" s="5">
        <v>42860.428312289907</v>
      </c>
      <c r="S699" s="4">
        <v>42871</v>
      </c>
      <c r="T699" s="4">
        <v>42881</v>
      </c>
      <c r="U699" s="1" t="s">
        <v>1956</v>
      </c>
      <c r="V699" s="5">
        <v>42871.690275498331</v>
      </c>
      <c r="W699" s="1" t="s">
        <v>366</v>
      </c>
      <c r="X699" s="6">
        <v>760360.8</v>
      </c>
      <c r="Y699" s="4">
        <v>42887</v>
      </c>
      <c r="Z699" s="4">
        <v>43100</v>
      </c>
      <c r="AA699" s="5">
        <v>43100</v>
      </c>
      <c r="AB699" s="1" t="s">
        <v>1971</v>
      </c>
      <c r="AC699" s="1"/>
      <c r="AD699" s="1"/>
    </row>
    <row r="700" spans="1:30" hidden="1" x14ac:dyDescent="0.25">
      <c r="A700" s="1" t="s">
        <v>1781</v>
      </c>
      <c r="B700" s="1" t="s">
        <v>774</v>
      </c>
      <c r="C700" s="1" t="s">
        <v>1147</v>
      </c>
      <c r="D700" s="4">
        <v>42835</v>
      </c>
      <c r="E700" s="6">
        <v>176006.22</v>
      </c>
      <c r="F700" s="6"/>
      <c r="G700" s="6">
        <v>176006.22</v>
      </c>
      <c r="H700" s="1" t="s">
        <v>1716</v>
      </c>
      <c r="I700" s="6">
        <v>2171.7799999999988</v>
      </c>
      <c r="J700" s="6">
        <v>1.2188822413541509E-2</v>
      </c>
      <c r="K700" s="1" t="s">
        <v>1716</v>
      </c>
      <c r="L700" s="1" t="s">
        <v>573</v>
      </c>
      <c r="M700" s="1" t="s">
        <v>574</v>
      </c>
      <c r="N700" s="1" t="s">
        <v>85</v>
      </c>
      <c r="O700" s="6">
        <v>2171.7799999999988</v>
      </c>
      <c r="P700" s="6">
        <v>1.2188822413541509E-2</v>
      </c>
      <c r="Q700" s="2"/>
      <c r="R700" s="5">
        <v>42844.610935042729</v>
      </c>
      <c r="S700" s="4">
        <v>42846</v>
      </c>
      <c r="T700" s="4">
        <v>42868</v>
      </c>
      <c r="U700" s="1" t="s">
        <v>1956</v>
      </c>
      <c r="V700" s="5">
        <v>42846.628173106692</v>
      </c>
      <c r="W700" s="1" t="s">
        <v>1952</v>
      </c>
      <c r="X700" s="6">
        <v>176006.22</v>
      </c>
      <c r="Y700" s="4">
        <v>42856</v>
      </c>
      <c r="Z700" s="4">
        <v>43008</v>
      </c>
      <c r="AA700" s="5">
        <v>43100</v>
      </c>
      <c r="AB700" s="1" t="s">
        <v>1971</v>
      </c>
      <c r="AC700" s="1"/>
      <c r="AD700" s="1" t="s">
        <v>1168</v>
      </c>
    </row>
    <row r="701" spans="1:30" hidden="1" x14ac:dyDescent="0.25">
      <c r="A701" s="1" t="s">
        <v>1578</v>
      </c>
      <c r="B701" s="1" t="s">
        <v>741</v>
      </c>
      <c r="C701" s="1" t="s">
        <v>1147</v>
      </c>
      <c r="D701" s="4">
        <v>42835</v>
      </c>
      <c r="E701" s="6">
        <v>14982</v>
      </c>
      <c r="F701" s="6"/>
      <c r="G701" s="6">
        <v>100.5503355704698</v>
      </c>
      <c r="H701" s="1" t="s">
        <v>1714</v>
      </c>
      <c r="I701" s="6">
        <v>229</v>
      </c>
      <c r="J701" s="6">
        <v>1.5054894484254816E-2</v>
      </c>
      <c r="K701" s="1" t="s">
        <v>1714</v>
      </c>
      <c r="L701" s="1" t="s">
        <v>712</v>
      </c>
      <c r="M701" s="1" t="s">
        <v>858</v>
      </c>
      <c r="N701" s="1" t="s">
        <v>177</v>
      </c>
      <c r="O701" s="6">
        <v>229</v>
      </c>
      <c r="P701" s="6">
        <v>1.5054894484254816E-2</v>
      </c>
      <c r="Q701" s="2"/>
      <c r="R701" s="5">
        <v>42844.487835477128</v>
      </c>
      <c r="S701" s="4">
        <v>42846</v>
      </c>
      <c r="T701" s="4">
        <v>42868</v>
      </c>
      <c r="U701" s="1" t="s">
        <v>1956</v>
      </c>
      <c r="V701" s="5">
        <v>42849.745238421863</v>
      </c>
      <c r="W701" s="1" t="s">
        <v>1952</v>
      </c>
      <c r="X701" s="6">
        <v>14982</v>
      </c>
      <c r="Y701" s="4">
        <v>42850</v>
      </c>
      <c r="Z701" s="4">
        <v>42853</v>
      </c>
      <c r="AA701" s="5">
        <v>43100</v>
      </c>
      <c r="AB701" s="1" t="s">
        <v>1971</v>
      </c>
      <c r="AC701" s="1"/>
      <c r="AD701" s="1" t="s">
        <v>1168</v>
      </c>
    </row>
    <row r="702" spans="1:30" hidden="1" x14ac:dyDescent="0.25">
      <c r="A702" s="1" t="s">
        <v>1186</v>
      </c>
      <c r="B702" s="1" t="s">
        <v>737</v>
      </c>
      <c r="C702" s="1" t="s">
        <v>1147</v>
      </c>
      <c r="D702" s="4">
        <v>42831</v>
      </c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2"/>
      <c r="R702" s="1"/>
      <c r="S702" s="1"/>
      <c r="T702" s="1"/>
      <c r="U702" s="1" t="s">
        <v>1957</v>
      </c>
      <c r="V702" s="5">
        <v>42839.7086015409</v>
      </c>
      <c r="W702" s="1"/>
      <c r="X702" s="1"/>
      <c r="Y702" s="4">
        <v>42846</v>
      </c>
      <c r="Z702" s="4">
        <v>42851</v>
      </c>
      <c r="AA702" s="1"/>
      <c r="AB702" s="1"/>
      <c r="AC702" s="1"/>
      <c r="AD702" s="1"/>
    </row>
    <row r="703" spans="1:30" hidden="1" x14ac:dyDescent="0.25">
      <c r="A703" s="1" t="s">
        <v>1387</v>
      </c>
      <c r="B703" s="1" t="s">
        <v>808</v>
      </c>
      <c r="C703" s="1" t="s">
        <v>1147</v>
      </c>
      <c r="D703" s="4">
        <v>42831</v>
      </c>
      <c r="E703" s="6">
        <v>5412</v>
      </c>
      <c r="F703" s="6"/>
      <c r="G703" s="6">
        <v>5412</v>
      </c>
      <c r="H703" s="1" t="s">
        <v>1655</v>
      </c>
      <c r="I703" s="6">
        <v>193588</v>
      </c>
      <c r="J703" s="6">
        <v>0.97280402010050249</v>
      </c>
      <c r="K703" s="1" t="s">
        <v>1662</v>
      </c>
      <c r="L703" s="1" t="s">
        <v>626</v>
      </c>
      <c r="M703" s="1" t="s">
        <v>962</v>
      </c>
      <c r="N703" s="1" t="s">
        <v>30</v>
      </c>
      <c r="O703" s="6">
        <v>1000</v>
      </c>
      <c r="P703" s="6">
        <v>5.0251256281407036E-3</v>
      </c>
      <c r="Q703" s="2" t="str">
        <f>HYPERLINK("https://auction.openprocurement.org/tenders/961e2c27f10a4bc9b432f9591cc4dc8a")</f>
        <v>https://auction.openprocurement.org/tenders/961e2c27f10a4bc9b432f9591cc4dc8a</v>
      </c>
      <c r="R703" s="5">
        <v>42844.465702053356</v>
      </c>
      <c r="S703" s="1"/>
      <c r="T703" s="1"/>
      <c r="U703" s="1" t="s">
        <v>1972</v>
      </c>
      <c r="V703" s="5">
        <v>42850.431458435858</v>
      </c>
      <c r="W703" s="1"/>
      <c r="X703" s="6">
        <v>198000</v>
      </c>
      <c r="Y703" s="4">
        <v>42849</v>
      </c>
      <c r="Z703" s="4">
        <v>42879</v>
      </c>
      <c r="AA703" s="1"/>
      <c r="AB703" s="1" t="s">
        <v>1961</v>
      </c>
      <c r="AC703" s="1" t="s">
        <v>1085</v>
      </c>
      <c r="AD703" s="1"/>
    </row>
    <row r="704" spans="1:30" hidden="1" x14ac:dyDescent="0.25">
      <c r="A704" s="1" t="s">
        <v>1047</v>
      </c>
      <c r="B704" s="1" t="s">
        <v>319</v>
      </c>
      <c r="C704" s="1" t="s">
        <v>1147</v>
      </c>
      <c r="D704" s="4">
        <v>42831</v>
      </c>
      <c r="E704" s="6">
        <v>32140.68</v>
      </c>
      <c r="F704" s="6"/>
      <c r="G704" s="6">
        <v>22.475999999999999</v>
      </c>
      <c r="H704" s="1" t="s">
        <v>1653</v>
      </c>
      <c r="I704" s="6">
        <v>34.319999999999709</v>
      </c>
      <c r="J704" s="6">
        <v>1.0666666666666576E-3</v>
      </c>
      <c r="K704" s="1" t="s">
        <v>1653</v>
      </c>
      <c r="L704" s="1" t="s">
        <v>707</v>
      </c>
      <c r="M704" s="1" t="s">
        <v>260</v>
      </c>
      <c r="N704" s="1" t="s">
        <v>60</v>
      </c>
      <c r="O704" s="6">
        <v>34.319999999999709</v>
      </c>
      <c r="P704" s="6">
        <v>1.0666666666666576E-3</v>
      </c>
      <c r="Q704" s="2"/>
      <c r="R704" s="5">
        <v>42838.443360208345</v>
      </c>
      <c r="S704" s="4">
        <v>42843</v>
      </c>
      <c r="T704" s="4">
        <v>42865</v>
      </c>
      <c r="U704" s="1" t="s">
        <v>1956</v>
      </c>
      <c r="V704" s="5">
        <v>42845.696505739848</v>
      </c>
      <c r="W704" s="1" t="s">
        <v>1952</v>
      </c>
      <c r="X704" s="6">
        <v>32140.68</v>
      </c>
      <c r="Y704" s="4">
        <v>42845</v>
      </c>
      <c r="Z704" s="4">
        <v>42853</v>
      </c>
      <c r="AA704" s="5">
        <v>43100</v>
      </c>
      <c r="AB704" s="1" t="s">
        <v>1971</v>
      </c>
      <c r="AC704" s="1"/>
      <c r="AD704" s="1" t="s">
        <v>1168</v>
      </c>
    </row>
    <row r="705" spans="1:30" hidden="1" x14ac:dyDescent="0.25">
      <c r="A705" s="1" t="s">
        <v>1408</v>
      </c>
      <c r="B705" s="1" t="s">
        <v>844</v>
      </c>
      <c r="C705" s="1" t="s">
        <v>1081</v>
      </c>
      <c r="D705" s="4">
        <v>42828</v>
      </c>
      <c r="E705" s="6">
        <v>1592000</v>
      </c>
      <c r="F705" s="6"/>
      <c r="G705" s="6">
        <v>1592000</v>
      </c>
      <c r="H705" s="1" t="s">
        <v>1656</v>
      </c>
      <c r="I705" s="6">
        <v>8000</v>
      </c>
      <c r="J705" s="6">
        <v>5.0000000000000001E-3</v>
      </c>
      <c r="K705" s="1" t="s">
        <v>1656</v>
      </c>
      <c r="L705" s="1" t="s">
        <v>636</v>
      </c>
      <c r="M705" s="1" t="s">
        <v>994</v>
      </c>
      <c r="N705" s="1" t="s">
        <v>124</v>
      </c>
      <c r="O705" s="6">
        <v>8000</v>
      </c>
      <c r="P705" s="6">
        <v>5.0000000000000001E-3</v>
      </c>
      <c r="Q705" s="2" t="str">
        <f>HYPERLINK("https://auction.openprocurement.org/tenders/2528bf6b1c3a4c06a4017495fbc428c4")</f>
        <v>https://auction.openprocurement.org/tenders/2528bf6b1c3a4c06a4017495fbc428c4</v>
      </c>
      <c r="R705" s="5">
        <v>42846.575022385427</v>
      </c>
      <c r="S705" s="4">
        <v>42857</v>
      </c>
      <c r="T705" s="4">
        <v>42867</v>
      </c>
      <c r="U705" s="1" t="s">
        <v>1956</v>
      </c>
      <c r="V705" s="5">
        <v>42865.749238371507</v>
      </c>
      <c r="W705" s="1" t="s">
        <v>1952</v>
      </c>
      <c r="X705" s="6">
        <v>1592000</v>
      </c>
      <c r="Y705" s="4">
        <v>42861</v>
      </c>
      <c r="Z705" s="4">
        <v>43092</v>
      </c>
      <c r="AA705" s="5">
        <v>43100</v>
      </c>
      <c r="AB705" s="1" t="s">
        <v>1971</v>
      </c>
      <c r="AC705" s="1"/>
      <c r="AD705" s="1"/>
    </row>
    <row r="706" spans="1:30" hidden="1" x14ac:dyDescent="0.25">
      <c r="A706" s="1" t="s">
        <v>1505</v>
      </c>
      <c r="B706" s="1" t="s">
        <v>762</v>
      </c>
      <c r="C706" s="1" t="s">
        <v>1147</v>
      </c>
      <c r="D706" s="4">
        <v>42825</v>
      </c>
      <c r="E706" s="6">
        <v>190000</v>
      </c>
      <c r="F706" s="6"/>
      <c r="G706" s="6">
        <v>190000</v>
      </c>
      <c r="H706" s="1" t="s">
        <v>1668</v>
      </c>
      <c r="I706" s="1"/>
      <c r="J706" s="1"/>
      <c r="K706" s="1" t="s">
        <v>1668</v>
      </c>
      <c r="L706" s="1" t="s">
        <v>617</v>
      </c>
      <c r="M706" s="1" t="s">
        <v>930</v>
      </c>
      <c r="N706" s="1" t="s">
        <v>95</v>
      </c>
      <c r="O706" s="1"/>
      <c r="P706" s="1"/>
      <c r="Q706" s="2"/>
      <c r="R706" s="5">
        <v>42836.731775942004</v>
      </c>
      <c r="S706" s="4">
        <v>42838</v>
      </c>
      <c r="T706" s="4">
        <v>42860</v>
      </c>
      <c r="U706" s="1" t="s">
        <v>1956</v>
      </c>
      <c r="V706" s="5">
        <v>42838.741426447858</v>
      </c>
      <c r="W706" s="1" t="s">
        <v>227</v>
      </c>
      <c r="X706" s="6">
        <v>190000</v>
      </c>
      <c r="Y706" s="4">
        <v>42839</v>
      </c>
      <c r="Z706" s="4">
        <v>42855</v>
      </c>
      <c r="AA706" s="5">
        <v>43100</v>
      </c>
      <c r="AB706" s="1" t="s">
        <v>1971</v>
      </c>
      <c r="AC706" s="1"/>
      <c r="AD706" s="1" t="s">
        <v>1168</v>
      </c>
    </row>
    <row r="707" spans="1:30" hidden="1" x14ac:dyDescent="0.25">
      <c r="A707" s="1" t="s">
        <v>1463</v>
      </c>
      <c r="B707" s="1" t="s">
        <v>770</v>
      </c>
      <c r="C707" s="1" t="s">
        <v>1147</v>
      </c>
      <c r="D707" s="4">
        <v>42825</v>
      </c>
      <c r="E707" s="6">
        <v>174899</v>
      </c>
      <c r="F707" s="6"/>
      <c r="G707" s="6">
        <v>174899</v>
      </c>
      <c r="H707" s="1" t="s">
        <v>1317</v>
      </c>
      <c r="I707" s="6">
        <v>22101</v>
      </c>
      <c r="J707" s="6">
        <v>0.11218781725888324</v>
      </c>
      <c r="K707" s="1" t="s">
        <v>1668</v>
      </c>
      <c r="L707" s="1" t="s">
        <v>617</v>
      </c>
      <c r="M707" s="1" t="s">
        <v>930</v>
      </c>
      <c r="N707" s="1" t="s">
        <v>95</v>
      </c>
      <c r="O707" s="6">
        <v>22100</v>
      </c>
      <c r="P707" s="6">
        <v>0.11218274111675126</v>
      </c>
      <c r="Q707" s="2" t="str">
        <f>HYPERLINK("https://auction.openprocurement.org/tenders/c8c5c3f906514b3397bfa07d6c65b34a")</f>
        <v>https://auction.openprocurement.org/tenders/c8c5c3f906514b3397bfa07d6c65b34a</v>
      </c>
      <c r="R707" s="5">
        <v>42838.700380176306</v>
      </c>
      <c r="S707" s="4">
        <v>42843</v>
      </c>
      <c r="T707" s="4">
        <v>42860</v>
      </c>
      <c r="U707" s="1" t="s">
        <v>1956</v>
      </c>
      <c r="V707" s="5">
        <v>42844.380445111077</v>
      </c>
      <c r="W707" s="1" t="s">
        <v>237</v>
      </c>
      <c r="X707" s="6">
        <v>174900</v>
      </c>
      <c r="Y707" s="4">
        <v>42839</v>
      </c>
      <c r="Z707" s="4">
        <v>42855</v>
      </c>
      <c r="AA707" s="5">
        <v>43100</v>
      </c>
      <c r="AB707" s="1" t="s">
        <v>1971</v>
      </c>
      <c r="AC707" s="1"/>
      <c r="AD707" s="1" t="s">
        <v>1168</v>
      </c>
    </row>
    <row r="708" spans="1:30" hidden="1" x14ac:dyDescent="0.25">
      <c r="A708" s="1" t="s">
        <v>1461</v>
      </c>
      <c r="B708" s="1" t="s">
        <v>768</v>
      </c>
      <c r="C708" s="1" t="s">
        <v>1147</v>
      </c>
      <c r="D708" s="4">
        <v>42825</v>
      </c>
      <c r="E708" s="6">
        <v>45000</v>
      </c>
      <c r="F708" s="6"/>
      <c r="G708" s="6">
        <v>45000</v>
      </c>
      <c r="H708" s="1" t="s">
        <v>1668</v>
      </c>
      <c r="I708" s="1"/>
      <c r="J708" s="1"/>
      <c r="K708" s="1" t="s">
        <v>1668</v>
      </c>
      <c r="L708" s="1" t="s">
        <v>617</v>
      </c>
      <c r="M708" s="1" t="s">
        <v>930</v>
      </c>
      <c r="N708" s="1" t="s">
        <v>95</v>
      </c>
      <c r="O708" s="1"/>
      <c r="P708" s="1"/>
      <c r="Q708" s="2"/>
      <c r="R708" s="5">
        <v>42836.515673982001</v>
      </c>
      <c r="S708" s="4">
        <v>42838</v>
      </c>
      <c r="T708" s="4">
        <v>42860</v>
      </c>
      <c r="U708" s="1" t="s">
        <v>1956</v>
      </c>
      <c r="V708" s="5">
        <v>42838.597212610301</v>
      </c>
      <c r="W708" s="1" t="s">
        <v>211</v>
      </c>
      <c r="X708" s="6">
        <v>45000</v>
      </c>
      <c r="Y708" s="4">
        <v>42839</v>
      </c>
      <c r="Z708" s="4">
        <v>42855</v>
      </c>
      <c r="AA708" s="5">
        <v>43100</v>
      </c>
      <c r="AB708" s="1" t="s">
        <v>1971</v>
      </c>
      <c r="AC708" s="1"/>
      <c r="AD708" s="1" t="s">
        <v>1168</v>
      </c>
    </row>
    <row r="709" spans="1:30" hidden="1" x14ac:dyDescent="0.25">
      <c r="A709" s="1" t="s">
        <v>1301</v>
      </c>
      <c r="B709" s="1" t="s">
        <v>547</v>
      </c>
      <c r="C709" s="1" t="s">
        <v>1147</v>
      </c>
      <c r="D709" s="4">
        <v>42822</v>
      </c>
      <c r="E709" s="6">
        <v>3018</v>
      </c>
      <c r="F709" s="6"/>
      <c r="G709" s="6">
        <v>116.07692307692308</v>
      </c>
      <c r="H709" s="1" t="s">
        <v>1823</v>
      </c>
      <c r="I709" s="6">
        <v>714</v>
      </c>
      <c r="J709" s="6">
        <v>0.19131832797427653</v>
      </c>
      <c r="K709" s="1" t="s">
        <v>1823</v>
      </c>
      <c r="L709" s="1" t="s">
        <v>569</v>
      </c>
      <c r="M709" s="1" t="s">
        <v>989</v>
      </c>
      <c r="N709" s="1" t="s">
        <v>96</v>
      </c>
      <c r="O709" s="6">
        <v>714</v>
      </c>
      <c r="P709" s="6">
        <v>0.19131832797427653</v>
      </c>
      <c r="Q709" s="2"/>
      <c r="R709" s="5">
        <v>42831.698340848809</v>
      </c>
      <c r="S709" s="4">
        <v>42835</v>
      </c>
      <c r="T709" s="4">
        <v>42855</v>
      </c>
      <c r="U709" s="1" t="s">
        <v>1956</v>
      </c>
      <c r="V709" s="5">
        <v>42837.66765457837</v>
      </c>
      <c r="W709" s="1" t="s">
        <v>1952</v>
      </c>
      <c r="X709" s="6">
        <v>3018</v>
      </c>
      <c r="Y709" s="4">
        <v>42842</v>
      </c>
      <c r="Z709" s="4">
        <v>42846</v>
      </c>
      <c r="AA709" s="5">
        <v>43100</v>
      </c>
      <c r="AB709" s="1" t="s">
        <v>1971</v>
      </c>
      <c r="AC709" s="1"/>
      <c r="AD709" s="1" t="s">
        <v>1168</v>
      </c>
    </row>
    <row r="710" spans="1:30" hidden="1" x14ac:dyDescent="0.25">
      <c r="A710" s="1" t="s">
        <v>1580</v>
      </c>
      <c r="B710" s="1" t="s">
        <v>741</v>
      </c>
      <c r="C710" s="1" t="s">
        <v>1147</v>
      </c>
      <c r="D710" s="4">
        <v>42822</v>
      </c>
      <c r="E710" s="6">
        <v>15200</v>
      </c>
      <c r="F710" s="6"/>
      <c r="G710" s="6">
        <v>102.01342281879195</v>
      </c>
      <c r="H710" s="1" t="s">
        <v>1856</v>
      </c>
      <c r="I710" s="6">
        <v>11</v>
      </c>
      <c r="J710" s="6">
        <v>7.2316087042272037E-4</v>
      </c>
      <c r="K710" s="1"/>
      <c r="L710" s="1"/>
      <c r="M710" s="1"/>
      <c r="N710" s="1"/>
      <c r="O710" s="1"/>
      <c r="P710" s="1"/>
      <c r="Q710" s="2"/>
      <c r="R710" s="5">
        <v>42835.459881315495</v>
      </c>
      <c r="S710" s="1"/>
      <c r="T710" s="1"/>
      <c r="U710" s="1" t="s">
        <v>1972</v>
      </c>
      <c r="V710" s="5">
        <v>42835.462729086132</v>
      </c>
      <c r="W710" s="1"/>
      <c r="X710" s="1"/>
      <c r="Y710" s="4">
        <v>42842</v>
      </c>
      <c r="Z710" s="4">
        <v>42846</v>
      </c>
      <c r="AA710" s="1"/>
      <c r="AB710" s="1"/>
      <c r="AC710" s="1" t="s">
        <v>1953</v>
      </c>
      <c r="AD710" s="1"/>
    </row>
    <row r="711" spans="1:30" hidden="1" x14ac:dyDescent="0.25">
      <c r="A711" s="1" t="s">
        <v>1155</v>
      </c>
      <c r="B711" s="1" t="s">
        <v>727</v>
      </c>
      <c r="C711" s="1" t="s">
        <v>1147</v>
      </c>
      <c r="D711" s="4">
        <v>42822</v>
      </c>
      <c r="E711" s="6">
        <v>12770.08</v>
      </c>
      <c r="F711" s="6"/>
      <c r="G711" s="6">
        <v>2554.0160000000001</v>
      </c>
      <c r="H711" s="1" t="s">
        <v>1519</v>
      </c>
      <c r="I711" s="6">
        <v>84.920000000000073</v>
      </c>
      <c r="J711" s="6">
        <v>6.6059898872034284E-3</v>
      </c>
      <c r="K711" s="1" t="s">
        <v>1519</v>
      </c>
      <c r="L711" s="1" t="s">
        <v>538</v>
      </c>
      <c r="M711" s="1" t="s">
        <v>992</v>
      </c>
      <c r="N711" s="1" t="s">
        <v>161</v>
      </c>
      <c r="O711" s="6">
        <v>84.920000000000073</v>
      </c>
      <c r="P711" s="6">
        <v>6.6059898872034284E-3</v>
      </c>
      <c r="Q711" s="2" t="str">
        <f>HYPERLINK("https://auction.openprocurement.org/tenders/f36afe4a759344acad66f55deaf090f1")</f>
        <v>https://auction.openprocurement.org/tenders/f36afe4a759344acad66f55deaf090f1</v>
      </c>
      <c r="R711" s="5">
        <v>42832.643078324407</v>
      </c>
      <c r="S711" s="4">
        <v>42836</v>
      </c>
      <c r="T711" s="4">
        <v>42855</v>
      </c>
      <c r="U711" s="1" t="s">
        <v>1956</v>
      </c>
      <c r="V711" s="5">
        <v>42838.544631526762</v>
      </c>
      <c r="W711" s="1" t="s">
        <v>253</v>
      </c>
      <c r="X711" s="6">
        <v>12770.08</v>
      </c>
      <c r="Y711" s="4">
        <v>42840</v>
      </c>
      <c r="Z711" s="4">
        <v>42845</v>
      </c>
      <c r="AA711" s="5">
        <v>43100</v>
      </c>
      <c r="AB711" s="1" t="s">
        <v>1971</v>
      </c>
      <c r="AC711" s="1"/>
      <c r="AD711" s="1" t="s">
        <v>1168</v>
      </c>
    </row>
    <row r="712" spans="1:30" hidden="1" x14ac:dyDescent="0.25">
      <c r="A712" s="1" t="s">
        <v>1624</v>
      </c>
      <c r="B712" s="1" t="s">
        <v>737</v>
      </c>
      <c r="C712" s="1" t="s">
        <v>1147</v>
      </c>
      <c r="D712" s="4">
        <v>42822</v>
      </c>
      <c r="E712" s="6">
        <v>8355</v>
      </c>
      <c r="F712" s="6"/>
      <c r="G712" s="6">
        <v>146.57894736842104</v>
      </c>
      <c r="H712" s="1" t="s">
        <v>1829</v>
      </c>
      <c r="I712" s="6">
        <v>145</v>
      </c>
      <c r="J712" s="6">
        <v>1.7058823529411765E-2</v>
      </c>
      <c r="K712" s="1" t="s">
        <v>1829</v>
      </c>
      <c r="L712" s="1" t="s">
        <v>488</v>
      </c>
      <c r="M712" s="1" t="s">
        <v>895</v>
      </c>
      <c r="N712" s="1" t="s">
        <v>43</v>
      </c>
      <c r="O712" s="6">
        <v>145</v>
      </c>
      <c r="P712" s="6">
        <v>1.7058823529411765E-2</v>
      </c>
      <c r="Q712" s="2"/>
      <c r="R712" s="5">
        <v>42830.589937298922</v>
      </c>
      <c r="S712" s="4">
        <v>42832</v>
      </c>
      <c r="T712" s="4">
        <v>42855</v>
      </c>
      <c r="U712" s="1" t="s">
        <v>1956</v>
      </c>
      <c r="V712" s="5">
        <v>42832.603038957372</v>
      </c>
      <c r="W712" s="1" t="s">
        <v>1952</v>
      </c>
      <c r="X712" s="6">
        <v>8355</v>
      </c>
      <c r="Y712" s="4">
        <v>42836</v>
      </c>
      <c r="Z712" s="4">
        <v>42840</v>
      </c>
      <c r="AA712" s="5">
        <v>43100</v>
      </c>
      <c r="AB712" s="1" t="s">
        <v>1971</v>
      </c>
      <c r="AC712" s="1"/>
      <c r="AD712" s="1" t="s">
        <v>1168</v>
      </c>
    </row>
    <row r="713" spans="1:30" hidden="1" x14ac:dyDescent="0.25">
      <c r="A713" s="1" t="s">
        <v>1472</v>
      </c>
      <c r="B713" s="1" t="s">
        <v>821</v>
      </c>
      <c r="C713" s="1" t="s">
        <v>1147</v>
      </c>
      <c r="D713" s="4">
        <v>42817</v>
      </c>
      <c r="E713" s="6">
        <v>1780</v>
      </c>
      <c r="F713" s="6"/>
      <c r="G713" s="6">
        <v>1780</v>
      </c>
      <c r="H713" s="1" t="s">
        <v>1767</v>
      </c>
      <c r="I713" s="6">
        <v>6220</v>
      </c>
      <c r="J713" s="6">
        <v>0.77749999999999997</v>
      </c>
      <c r="K713" s="1" t="s">
        <v>1833</v>
      </c>
      <c r="L713" s="1" t="s">
        <v>493</v>
      </c>
      <c r="M713" s="1" t="s">
        <v>886</v>
      </c>
      <c r="N713" s="1" t="s">
        <v>59</v>
      </c>
      <c r="O713" s="6">
        <v>6210</v>
      </c>
      <c r="P713" s="6">
        <v>0.77625</v>
      </c>
      <c r="Q713" s="2" t="str">
        <f>HYPERLINK("https://auction.openprocurement.org/tenders/64d439575bbb4a6a88cacf780e0c5fd7")</f>
        <v>https://auction.openprocurement.org/tenders/64d439575bbb4a6a88cacf780e0c5fd7</v>
      </c>
      <c r="R713" s="5">
        <v>42828.480966232637</v>
      </c>
      <c r="S713" s="4">
        <v>42830</v>
      </c>
      <c r="T713" s="4">
        <v>42851</v>
      </c>
      <c r="U713" s="1" t="s">
        <v>1956</v>
      </c>
      <c r="V713" s="5">
        <v>42859.358526410775</v>
      </c>
      <c r="W713" s="1" t="s">
        <v>1952</v>
      </c>
      <c r="X713" s="6">
        <v>1790</v>
      </c>
      <c r="Y713" s="4">
        <v>42830</v>
      </c>
      <c r="Z713" s="4">
        <v>42832</v>
      </c>
      <c r="AA713" s="5">
        <v>43100</v>
      </c>
      <c r="AB713" s="1" t="s">
        <v>1971</v>
      </c>
      <c r="AC713" s="1"/>
      <c r="AD713" s="1" t="s">
        <v>1168</v>
      </c>
    </row>
    <row r="714" spans="1:30" hidden="1" x14ac:dyDescent="0.25">
      <c r="A714" s="1" t="s">
        <v>1395</v>
      </c>
      <c r="B714" s="1" t="s">
        <v>809</v>
      </c>
      <c r="C714" s="1" t="s">
        <v>1147</v>
      </c>
      <c r="D714" s="4">
        <v>42815</v>
      </c>
      <c r="E714" s="6">
        <v>199888.01</v>
      </c>
      <c r="F714" s="6"/>
      <c r="G714" s="6">
        <v>99944.005000000005</v>
      </c>
      <c r="H714" s="1" t="s">
        <v>1657</v>
      </c>
      <c r="I714" s="6">
        <v>11.989999999990687</v>
      </c>
      <c r="J714" s="6">
        <v>5.9979989994950909E-5</v>
      </c>
      <c r="K714" s="1" t="s">
        <v>1657</v>
      </c>
      <c r="L714" s="1" t="s">
        <v>590</v>
      </c>
      <c r="M714" s="1" t="s">
        <v>891</v>
      </c>
      <c r="N714" s="1" t="s">
        <v>162</v>
      </c>
      <c r="O714" s="6">
        <v>11.989999999990687</v>
      </c>
      <c r="P714" s="6">
        <v>5.9979989994950909E-5</v>
      </c>
      <c r="Q714" s="2"/>
      <c r="R714" s="5">
        <v>42824.46150458906</v>
      </c>
      <c r="S714" s="4">
        <v>42828</v>
      </c>
      <c r="T714" s="4">
        <v>42848</v>
      </c>
      <c r="U714" s="1" t="s">
        <v>1956</v>
      </c>
      <c r="V714" s="5">
        <v>42828.656998082071</v>
      </c>
      <c r="W714" s="1" t="s">
        <v>1952</v>
      </c>
      <c r="X714" s="6">
        <v>199888.01</v>
      </c>
      <c r="Y714" s="4">
        <v>42826</v>
      </c>
      <c r="Z714" s="4">
        <v>42886</v>
      </c>
      <c r="AA714" s="5">
        <v>43100</v>
      </c>
      <c r="AB714" s="1" t="s">
        <v>1971</v>
      </c>
      <c r="AC714" s="1"/>
      <c r="AD714" s="1" t="s">
        <v>1168</v>
      </c>
    </row>
    <row r="715" spans="1:30" hidden="1" x14ac:dyDescent="0.25">
      <c r="A715" s="1" t="s">
        <v>1149</v>
      </c>
      <c r="B715" s="1" t="s">
        <v>740</v>
      </c>
      <c r="C715" s="1" t="s">
        <v>1147</v>
      </c>
      <c r="D715" s="4">
        <v>42811</v>
      </c>
      <c r="E715" s="6">
        <v>5789</v>
      </c>
      <c r="F715" s="6"/>
      <c r="G715" s="6">
        <v>2894.5</v>
      </c>
      <c r="H715" s="1" t="s">
        <v>1891</v>
      </c>
      <c r="I715" s="6">
        <v>1331</v>
      </c>
      <c r="J715" s="6">
        <v>0.18693820224719102</v>
      </c>
      <c r="K715" s="1" t="s">
        <v>1891</v>
      </c>
      <c r="L715" s="1" t="s">
        <v>586</v>
      </c>
      <c r="M715" s="1" t="s">
        <v>945</v>
      </c>
      <c r="N715" s="1" t="s">
        <v>177</v>
      </c>
      <c r="O715" s="6">
        <v>1331</v>
      </c>
      <c r="P715" s="6">
        <v>0.18693820224719102</v>
      </c>
      <c r="Q715" s="2" t="str">
        <f>HYPERLINK("https://auction.openprocurement.org/tenders/5cb73ebe2fbd4ff989ba2567546a4f47")</f>
        <v>https://auction.openprocurement.org/tenders/5cb73ebe2fbd4ff989ba2567546a4f47</v>
      </c>
      <c r="R715" s="5">
        <v>42822.459053185012</v>
      </c>
      <c r="S715" s="4">
        <v>42824</v>
      </c>
      <c r="T715" s="4">
        <v>42846</v>
      </c>
      <c r="U715" s="1" t="s">
        <v>1956</v>
      </c>
      <c r="V715" s="5">
        <v>42825.665890962548</v>
      </c>
      <c r="W715" s="1" t="s">
        <v>1952</v>
      </c>
      <c r="X715" s="6">
        <v>5789</v>
      </c>
      <c r="Y715" s="4">
        <v>42826</v>
      </c>
      <c r="Z715" s="4">
        <v>42831</v>
      </c>
      <c r="AA715" s="5">
        <v>43100</v>
      </c>
      <c r="AB715" s="1" t="s">
        <v>1971</v>
      </c>
      <c r="AC715" s="1"/>
      <c r="AD715" s="1" t="s">
        <v>1168</v>
      </c>
    </row>
    <row r="716" spans="1:30" hidden="1" x14ac:dyDescent="0.25">
      <c r="A716" s="1" t="s">
        <v>1079</v>
      </c>
      <c r="B716" s="1" t="s">
        <v>838</v>
      </c>
      <c r="C716" s="1" t="s">
        <v>1147</v>
      </c>
      <c r="D716" s="4">
        <v>42811</v>
      </c>
      <c r="E716" s="6">
        <v>25200</v>
      </c>
      <c r="F716" s="6"/>
      <c r="G716" s="6">
        <v>12600</v>
      </c>
      <c r="H716" s="1" t="s">
        <v>1844</v>
      </c>
      <c r="I716" s="1"/>
      <c r="J716" s="1"/>
      <c r="K716" s="1" t="s">
        <v>1844</v>
      </c>
      <c r="L716" s="1" t="s">
        <v>457</v>
      </c>
      <c r="M716" s="1" t="s">
        <v>909</v>
      </c>
      <c r="N716" s="1" t="s">
        <v>126</v>
      </c>
      <c r="O716" s="1"/>
      <c r="P716" s="1"/>
      <c r="Q716" s="2"/>
      <c r="R716" s="5">
        <v>42821.430028069153</v>
      </c>
      <c r="S716" s="4">
        <v>42823</v>
      </c>
      <c r="T716" s="4">
        <v>42846</v>
      </c>
      <c r="U716" s="1" t="s">
        <v>1956</v>
      </c>
      <c r="V716" s="5">
        <v>42823.713758709062</v>
      </c>
      <c r="W716" s="1" t="s">
        <v>1952</v>
      </c>
      <c r="X716" s="6">
        <v>25200</v>
      </c>
      <c r="Y716" s="4">
        <v>42826</v>
      </c>
      <c r="Z716" s="4">
        <v>43100</v>
      </c>
      <c r="AA716" s="5">
        <v>43100</v>
      </c>
      <c r="AB716" s="1" t="s">
        <v>1971</v>
      </c>
      <c r="AC716" s="1"/>
      <c r="AD716" s="1" t="s">
        <v>1168</v>
      </c>
    </row>
    <row r="717" spans="1:30" hidden="1" x14ac:dyDescent="0.25">
      <c r="A717" s="1" t="s">
        <v>1448</v>
      </c>
      <c r="B717" s="1" t="s">
        <v>841</v>
      </c>
      <c r="C717" s="1" t="s">
        <v>1147</v>
      </c>
      <c r="D717" s="4">
        <v>42810</v>
      </c>
      <c r="E717" s="6">
        <v>193200</v>
      </c>
      <c r="F717" s="6"/>
      <c r="G717" s="6">
        <v>193200</v>
      </c>
      <c r="H717" s="1" t="s">
        <v>1662</v>
      </c>
      <c r="I717" s="6">
        <v>1800</v>
      </c>
      <c r="J717" s="6">
        <v>9.2307692307692316E-3</v>
      </c>
      <c r="K717" s="1" t="s">
        <v>1662</v>
      </c>
      <c r="L717" s="1" t="s">
        <v>626</v>
      </c>
      <c r="M717" s="1" t="s">
        <v>962</v>
      </c>
      <c r="N717" s="1" t="s">
        <v>30</v>
      </c>
      <c r="O717" s="6">
        <v>1800</v>
      </c>
      <c r="P717" s="6">
        <v>9.2307692307692316E-3</v>
      </c>
      <c r="Q717" s="2"/>
      <c r="R717" s="5">
        <v>42818.391371321813</v>
      </c>
      <c r="S717" s="4">
        <v>42822</v>
      </c>
      <c r="T717" s="4">
        <v>42845</v>
      </c>
      <c r="U717" s="1" t="s">
        <v>1956</v>
      </c>
      <c r="V717" s="5">
        <v>42822.711177449688</v>
      </c>
      <c r="W717" s="1" t="s">
        <v>497</v>
      </c>
      <c r="X717" s="6">
        <v>193200</v>
      </c>
      <c r="Y717" s="4">
        <v>42824</v>
      </c>
      <c r="Z717" s="4">
        <v>42846</v>
      </c>
      <c r="AA717" s="5">
        <v>43100</v>
      </c>
      <c r="AB717" s="1" t="s">
        <v>1971</v>
      </c>
      <c r="AC717" s="1"/>
      <c r="AD717" s="1" t="s">
        <v>1168</v>
      </c>
    </row>
    <row r="718" spans="1:30" hidden="1" x14ac:dyDescent="0.25">
      <c r="A718" s="1" t="s">
        <v>1159</v>
      </c>
      <c r="B718" s="1" t="s">
        <v>764</v>
      </c>
      <c r="C718" s="1" t="s">
        <v>1147</v>
      </c>
      <c r="D718" s="4">
        <v>42803</v>
      </c>
      <c r="E718" s="6">
        <v>20990</v>
      </c>
      <c r="F718" s="6"/>
      <c r="G718" s="6">
        <v>79.20754716981132</v>
      </c>
      <c r="H718" s="1" t="s">
        <v>1855</v>
      </c>
      <c r="I718" s="6">
        <v>4010</v>
      </c>
      <c r="J718" s="6">
        <v>0.16039999999999999</v>
      </c>
      <c r="K718" s="1" t="s">
        <v>1855</v>
      </c>
      <c r="L718" s="1" t="s">
        <v>446</v>
      </c>
      <c r="M718" s="1" t="s">
        <v>918</v>
      </c>
      <c r="N718" s="1" t="s">
        <v>145</v>
      </c>
      <c r="O718" s="6">
        <v>4010</v>
      </c>
      <c r="P718" s="6">
        <v>0.16039999999999999</v>
      </c>
      <c r="Q718" s="2" t="str">
        <f>HYPERLINK("https://auction.openprocurement.org/tenders/2a3452a2370d45c49256dc4c26b09200")</f>
        <v>https://auction.openprocurement.org/tenders/2a3452a2370d45c49256dc4c26b09200</v>
      </c>
      <c r="R718" s="5">
        <v>42814.500154850473</v>
      </c>
      <c r="S718" s="4">
        <v>42816</v>
      </c>
      <c r="T718" s="4">
        <v>42838</v>
      </c>
      <c r="U718" s="1" t="s">
        <v>1956</v>
      </c>
      <c r="V718" s="5">
        <v>42818.547515298218</v>
      </c>
      <c r="W718" s="1" t="s">
        <v>1952</v>
      </c>
      <c r="X718" s="6">
        <v>20990</v>
      </c>
      <c r="Y718" s="4">
        <v>42815</v>
      </c>
      <c r="Z718" s="4">
        <v>43100</v>
      </c>
      <c r="AA718" s="5">
        <v>43100</v>
      </c>
      <c r="AB718" s="1" t="s">
        <v>1971</v>
      </c>
      <c r="AC718" s="1"/>
      <c r="AD718" s="1" t="s">
        <v>1168</v>
      </c>
    </row>
    <row r="719" spans="1:30" hidden="1" x14ac:dyDescent="0.25">
      <c r="A719" s="1" t="s">
        <v>1270</v>
      </c>
      <c r="B719" s="1" t="s">
        <v>795</v>
      </c>
      <c r="C719" s="1" t="s">
        <v>1147</v>
      </c>
      <c r="D719" s="4">
        <v>42796</v>
      </c>
      <c r="E719" s="6">
        <v>5100</v>
      </c>
      <c r="F719" s="6"/>
      <c r="G719" s="6">
        <v>5100</v>
      </c>
      <c r="H719" s="1" t="s">
        <v>1706</v>
      </c>
      <c r="I719" s="1"/>
      <c r="J719" s="1"/>
      <c r="K719" s="1" t="s">
        <v>1706</v>
      </c>
      <c r="L719" s="1" t="s">
        <v>630</v>
      </c>
      <c r="M719" s="1" t="s">
        <v>907</v>
      </c>
      <c r="N719" s="1" t="s">
        <v>90</v>
      </c>
      <c r="O719" s="1"/>
      <c r="P719" s="1"/>
      <c r="Q719" s="2"/>
      <c r="R719" s="5">
        <v>42804.629940470222</v>
      </c>
      <c r="S719" s="4">
        <v>42808</v>
      </c>
      <c r="T719" s="4">
        <v>42830</v>
      </c>
      <c r="U719" s="1" t="s">
        <v>1956</v>
      </c>
      <c r="V719" s="5">
        <v>42808.704021085927</v>
      </c>
      <c r="W719" s="1" t="s">
        <v>827</v>
      </c>
      <c r="X719" s="6">
        <v>5100</v>
      </c>
      <c r="Y719" s="4">
        <v>42814</v>
      </c>
      <c r="Z719" s="4">
        <v>42818</v>
      </c>
      <c r="AA719" s="5">
        <v>43100</v>
      </c>
      <c r="AB719" s="1" t="s">
        <v>1971</v>
      </c>
      <c r="AC719" s="1"/>
      <c r="AD719" s="1" t="s">
        <v>1168</v>
      </c>
    </row>
    <row r="720" spans="1:30" hidden="1" x14ac:dyDescent="0.25">
      <c r="A720" s="1" t="s">
        <v>1613</v>
      </c>
      <c r="B720" s="1" t="s">
        <v>411</v>
      </c>
      <c r="C720" s="1" t="s">
        <v>1147</v>
      </c>
      <c r="D720" s="4">
        <v>42787</v>
      </c>
      <c r="E720" s="6">
        <v>102689.2</v>
      </c>
      <c r="F720" s="6"/>
      <c r="G720" s="6">
        <v>110.89546436285097</v>
      </c>
      <c r="H720" s="1" t="s">
        <v>1666</v>
      </c>
      <c r="I720" s="6">
        <v>3179.8000000000029</v>
      </c>
      <c r="J720" s="6">
        <v>3.0035232220952335E-2</v>
      </c>
      <c r="K720" s="1" t="s">
        <v>1666</v>
      </c>
      <c r="L720" s="1" t="s">
        <v>607</v>
      </c>
      <c r="M720" s="1" t="s">
        <v>956</v>
      </c>
      <c r="N720" s="1" t="s">
        <v>53</v>
      </c>
      <c r="O720" s="6">
        <v>3179.8000000000029</v>
      </c>
      <c r="P720" s="6">
        <v>3.0035232220952335E-2</v>
      </c>
      <c r="Q720" s="2"/>
      <c r="R720" s="5">
        <v>42797.49683953655</v>
      </c>
      <c r="S720" s="4">
        <v>42801</v>
      </c>
      <c r="T720" s="4">
        <v>42823</v>
      </c>
      <c r="U720" s="1" t="s">
        <v>1956</v>
      </c>
      <c r="V720" s="5">
        <v>42801.504260443959</v>
      </c>
      <c r="W720" s="1" t="s">
        <v>1952</v>
      </c>
      <c r="X720" s="6">
        <v>102689.2</v>
      </c>
      <c r="Y720" s="4">
        <v>42804</v>
      </c>
      <c r="Z720" s="4">
        <v>42835</v>
      </c>
      <c r="AA720" s="5">
        <v>43100</v>
      </c>
      <c r="AB720" s="1" t="s">
        <v>1971</v>
      </c>
      <c r="AC720" s="1"/>
      <c r="AD720" s="1" t="s">
        <v>1168</v>
      </c>
    </row>
    <row r="721" spans="1:30" hidden="1" x14ac:dyDescent="0.25">
      <c r="A721" s="1" t="s">
        <v>1233</v>
      </c>
      <c r="B721" s="1" t="s">
        <v>321</v>
      </c>
      <c r="C721" s="1" t="s">
        <v>1147</v>
      </c>
      <c r="D721" s="4">
        <v>42786</v>
      </c>
      <c r="E721" s="6">
        <v>10898</v>
      </c>
      <c r="F721" s="6"/>
      <c r="G721" s="6">
        <v>64.485207100591722</v>
      </c>
      <c r="H721" s="1" t="s">
        <v>1712</v>
      </c>
      <c r="I721" s="6">
        <v>7597</v>
      </c>
      <c r="J721" s="6">
        <v>0.41075966477426329</v>
      </c>
      <c r="K721" s="1" t="s">
        <v>1133</v>
      </c>
      <c r="L721" s="1" t="s">
        <v>588</v>
      </c>
      <c r="M721" s="1" t="s">
        <v>960</v>
      </c>
      <c r="N721" s="1" t="s">
        <v>113</v>
      </c>
      <c r="O721" s="6">
        <v>91.799999999999272</v>
      </c>
      <c r="P721" s="6">
        <v>4.963503649634997E-3</v>
      </c>
      <c r="Q721" s="2" t="str">
        <f>HYPERLINK("https://auction.openprocurement.org/tenders/6c37da52cbca404db93d9fad190c2731")</f>
        <v>https://auction.openprocurement.org/tenders/6c37da52cbca404db93d9fad190c2731</v>
      </c>
      <c r="R721" s="5">
        <v>42803.534358929719</v>
      </c>
      <c r="S721" s="4">
        <v>42807</v>
      </c>
      <c r="T721" s="4">
        <v>42820</v>
      </c>
      <c r="U721" s="1" t="s">
        <v>1956</v>
      </c>
      <c r="V721" s="5">
        <v>42807.540349605246</v>
      </c>
      <c r="W721" s="1" t="s">
        <v>1952</v>
      </c>
      <c r="X721" s="6">
        <v>18403.2</v>
      </c>
      <c r="Y721" s="4">
        <v>42804</v>
      </c>
      <c r="Z721" s="4">
        <v>42810</v>
      </c>
      <c r="AA721" s="5">
        <v>43100</v>
      </c>
      <c r="AB721" s="1" t="s">
        <v>1971</v>
      </c>
      <c r="AC721" s="1"/>
      <c r="AD721" s="1" t="s">
        <v>1168</v>
      </c>
    </row>
    <row r="722" spans="1:30" hidden="1" x14ac:dyDescent="0.25">
      <c r="A722" s="1" t="s">
        <v>1062</v>
      </c>
      <c r="B722" s="1" t="s">
        <v>668</v>
      </c>
      <c r="C722" s="1" t="s">
        <v>1147</v>
      </c>
      <c r="D722" s="4">
        <v>42786</v>
      </c>
      <c r="E722" s="6">
        <v>190000</v>
      </c>
      <c r="F722" s="6"/>
      <c r="G722" s="6">
        <v>1979.1666666666667</v>
      </c>
      <c r="H722" s="1" t="s">
        <v>1678</v>
      </c>
      <c r="I722" s="1"/>
      <c r="J722" s="1"/>
      <c r="K722" s="1" t="s">
        <v>1678</v>
      </c>
      <c r="L722" s="1" t="s">
        <v>698</v>
      </c>
      <c r="M722" s="1" t="s">
        <v>938</v>
      </c>
      <c r="N722" s="1" t="s">
        <v>148</v>
      </c>
      <c r="O722" s="1"/>
      <c r="P722" s="1"/>
      <c r="Q722" s="2"/>
      <c r="R722" s="5">
        <v>42795.699754069516</v>
      </c>
      <c r="S722" s="4">
        <v>42797</v>
      </c>
      <c r="T722" s="4">
        <v>42819</v>
      </c>
      <c r="U722" s="1" t="s">
        <v>1956</v>
      </c>
      <c r="V722" s="5">
        <v>42800.598952443863</v>
      </c>
      <c r="W722" s="1" t="s">
        <v>1952</v>
      </c>
      <c r="X722" s="6">
        <v>190000</v>
      </c>
      <c r="Y722" s="4">
        <v>42804</v>
      </c>
      <c r="Z722" s="4">
        <v>42825</v>
      </c>
      <c r="AA722" s="5">
        <v>43100</v>
      </c>
      <c r="AB722" s="1" t="s">
        <v>1971</v>
      </c>
      <c r="AC722" s="1"/>
      <c r="AD722" s="1" t="s">
        <v>1168</v>
      </c>
    </row>
    <row r="723" spans="1:30" hidden="1" x14ac:dyDescent="0.25">
      <c r="A723" s="1" t="s">
        <v>1297</v>
      </c>
      <c r="B723" s="1" t="s">
        <v>810</v>
      </c>
      <c r="C723" s="1" t="s">
        <v>1147</v>
      </c>
      <c r="D723" s="4">
        <v>42786</v>
      </c>
      <c r="E723" s="6">
        <v>151915.39000000001</v>
      </c>
      <c r="F723" s="6"/>
      <c r="G723" s="6">
        <v>151915.39000000001</v>
      </c>
      <c r="H723" s="1" t="s">
        <v>1520</v>
      </c>
      <c r="I723" s="6">
        <v>43084.609999999986</v>
      </c>
      <c r="J723" s="6">
        <v>0.22094671794871787</v>
      </c>
      <c r="K723" s="1" t="s">
        <v>1662</v>
      </c>
      <c r="L723" s="1" t="s">
        <v>626</v>
      </c>
      <c r="M723" s="1" t="s">
        <v>962</v>
      </c>
      <c r="N723" s="1" t="s">
        <v>30</v>
      </c>
      <c r="O723" s="6">
        <v>5099.929999999993</v>
      </c>
      <c r="P723" s="6">
        <v>2.6153487179487143E-2</v>
      </c>
      <c r="Q723" s="2" t="str">
        <f>HYPERLINK("https://auction.openprocurement.org/tenders/6905a9d9eb7c4edcad2eb119272a12e2")</f>
        <v>https://auction.openprocurement.org/tenders/6905a9d9eb7c4edcad2eb119272a12e2</v>
      </c>
      <c r="R723" s="5">
        <v>42797.495138940714</v>
      </c>
      <c r="S723" s="4">
        <v>42801</v>
      </c>
      <c r="T723" s="4">
        <v>42819</v>
      </c>
      <c r="U723" s="1" t="s">
        <v>1956</v>
      </c>
      <c r="V723" s="5">
        <v>42801.510222542202</v>
      </c>
      <c r="W723" s="1" t="s">
        <v>1952</v>
      </c>
      <c r="X723" s="6">
        <v>189900.07</v>
      </c>
      <c r="Y723" s="4">
        <v>42800</v>
      </c>
      <c r="Z723" s="4">
        <v>42824</v>
      </c>
      <c r="AA723" s="5">
        <v>43100</v>
      </c>
      <c r="AB723" s="1" t="s">
        <v>1971</v>
      </c>
      <c r="AC723" s="1"/>
      <c r="AD723" s="1" t="s">
        <v>1168</v>
      </c>
    </row>
    <row r="724" spans="1:30" hidden="1" x14ac:dyDescent="0.25">
      <c r="A724" s="1" t="s">
        <v>1146</v>
      </c>
      <c r="B724" s="1" t="s">
        <v>472</v>
      </c>
      <c r="C724" s="1" t="s">
        <v>1147</v>
      </c>
      <c r="D724" s="4">
        <v>42786</v>
      </c>
      <c r="E724" s="6">
        <v>13914.96</v>
      </c>
      <c r="F724" s="6"/>
      <c r="G724" s="6">
        <v>252.99927272727271</v>
      </c>
      <c r="H724" s="1" t="s">
        <v>1660</v>
      </c>
      <c r="I724" s="6">
        <v>11289.04</v>
      </c>
      <c r="J724" s="6">
        <v>0.44790668147913032</v>
      </c>
      <c r="K724" s="1" t="s">
        <v>1740</v>
      </c>
      <c r="L724" s="1" t="s">
        <v>546</v>
      </c>
      <c r="M724" s="1" t="s">
        <v>990</v>
      </c>
      <c r="N724" s="1" t="s">
        <v>42</v>
      </c>
      <c r="O724" s="1"/>
      <c r="P724" s="1"/>
      <c r="Q724" s="2" t="str">
        <f>HYPERLINK("https://auction.openprocurement.org/tenders/97d86c6b1a0a43ad9d89827fb382c6bf")</f>
        <v>https://auction.openprocurement.org/tenders/97d86c6b1a0a43ad9d89827fb382c6bf</v>
      </c>
      <c r="R724" s="5">
        <v>42796.422563724896</v>
      </c>
      <c r="S724" s="4">
        <v>42800</v>
      </c>
      <c r="T724" s="4">
        <v>42819</v>
      </c>
      <c r="U724" s="1" t="s">
        <v>1956</v>
      </c>
      <c r="V724" s="5">
        <v>42800.427695160397</v>
      </c>
      <c r="W724" s="1" t="s">
        <v>1952</v>
      </c>
      <c r="X724" s="6">
        <v>25204</v>
      </c>
      <c r="Y724" s="4">
        <v>42845</v>
      </c>
      <c r="Z724" s="4">
        <v>42850</v>
      </c>
      <c r="AA724" s="5">
        <v>43100</v>
      </c>
      <c r="AB724" s="1" t="s">
        <v>1971</v>
      </c>
      <c r="AC724" s="1"/>
      <c r="AD724" s="1" t="s">
        <v>1168</v>
      </c>
    </row>
    <row r="725" spans="1:30" hidden="1" x14ac:dyDescent="0.25">
      <c r="A725" s="1" t="s">
        <v>1573</v>
      </c>
      <c r="B725" s="1" t="s">
        <v>235</v>
      </c>
      <c r="C725" s="1" t="s">
        <v>1147</v>
      </c>
      <c r="D725" s="4">
        <v>42786</v>
      </c>
      <c r="E725" s="6">
        <v>169200</v>
      </c>
      <c r="F725" s="6"/>
      <c r="G725" s="6">
        <v>12.645739910313901</v>
      </c>
      <c r="H725" s="1" t="s">
        <v>1740</v>
      </c>
      <c r="I725" s="1"/>
      <c r="J725" s="1"/>
      <c r="K725" s="1" t="s">
        <v>1740</v>
      </c>
      <c r="L725" s="1" t="s">
        <v>546</v>
      </c>
      <c r="M725" s="1" t="s">
        <v>990</v>
      </c>
      <c r="N725" s="1" t="s">
        <v>42</v>
      </c>
      <c r="O725" s="1"/>
      <c r="P725" s="1"/>
      <c r="Q725" s="2"/>
      <c r="R725" s="5">
        <v>42794.666025626968</v>
      </c>
      <c r="S725" s="4">
        <v>42796</v>
      </c>
      <c r="T725" s="4">
        <v>42819</v>
      </c>
      <c r="U725" s="1" t="s">
        <v>1956</v>
      </c>
      <c r="V725" s="5">
        <v>42797.409508866032</v>
      </c>
      <c r="W725" s="1" t="s">
        <v>1952</v>
      </c>
      <c r="X725" s="6">
        <v>169200</v>
      </c>
      <c r="Y725" s="4">
        <v>42845</v>
      </c>
      <c r="Z725" s="4">
        <v>42850</v>
      </c>
      <c r="AA725" s="5">
        <v>43100</v>
      </c>
      <c r="AB725" s="1" t="s">
        <v>1971</v>
      </c>
      <c r="AC725" s="1"/>
      <c r="AD725" s="1" t="s">
        <v>1168</v>
      </c>
    </row>
    <row r="726" spans="1:30" hidden="1" x14ac:dyDescent="0.25">
      <c r="A726" s="1" t="s">
        <v>1180</v>
      </c>
      <c r="B726" s="1" t="s">
        <v>737</v>
      </c>
      <c r="C726" s="1" t="s">
        <v>1147</v>
      </c>
      <c r="D726" s="4">
        <v>42782</v>
      </c>
      <c r="E726" s="6">
        <v>15200</v>
      </c>
      <c r="F726" s="6"/>
      <c r="G726" s="6">
        <v>60.8</v>
      </c>
      <c r="H726" s="1" t="s">
        <v>1746</v>
      </c>
      <c r="I726" s="6">
        <v>6050</v>
      </c>
      <c r="J726" s="6">
        <v>0.2847058823529412</v>
      </c>
      <c r="K726" s="1" t="s">
        <v>1678</v>
      </c>
      <c r="L726" s="1" t="s">
        <v>698</v>
      </c>
      <c r="M726" s="1" t="s">
        <v>938</v>
      </c>
      <c r="N726" s="1" t="s">
        <v>148</v>
      </c>
      <c r="O726" s="6">
        <v>321</v>
      </c>
      <c r="P726" s="6">
        <v>1.5105882352941177E-2</v>
      </c>
      <c r="Q726" s="2" t="str">
        <f>HYPERLINK("https://auction.openprocurement.org/tenders/8b328a4eecd0463682baec538ae0f5eb")</f>
        <v>https://auction.openprocurement.org/tenders/8b328a4eecd0463682baec538ae0f5eb</v>
      </c>
      <c r="R726" s="5">
        <v>42797.498377666721</v>
      </c>
      <c r="S726" s="4">
        <v>42801</v>
      </c>
      <c r="T726" s="4">
        <v>42817</v>
      </c>
      <c r="U726" s="1" t="s">
        <v>1956</v>
      </c>
      <c r="V726" s="5">
        <v>42801.506703879051</v>
      </c>
      <c r="W726" s="1" t="s">
        <v>1952</v>
      </c>
      <c r="X726" s="6">
        <v>20929</v>
      </c>
      <c r="Y726" s="4">
        <v>42800</v>
      </c>
      <c r="Z726" s="4">
        <v>42804</v>
      </c>
      <c r="AA726" s="5">
        <v>43100</v>
      </c>
      <c r="AB726" s="1" t="s">
        <v>1971</v>
      </c>
      <c r="AC726" s="1"/>
      <c r="AD726" s="1" t="s">
        <v>1168</v>
      </c>
    </row>
    <row r="727" spans="1:30" hidden="1" x14ac:dyDescent="0.25">
      <c r="A727" s="1" t="s">
        <v>1524</v>
      </c>
      <c r="B727" s="1" t="s">
        <v>779</v>
      </c>
      <c r="C727" s="1" t="s">
        <v>1157</v>
      </c>
      <c r="D727" s="4">
        <v>42774</v>
      </c>
      <c r="E727" s="6">
        <v>22320</v>
      </c>
      <c r="F727" s="6"/>
      <c r="G727" s="6">
        <v>22320</v>
      </c>
      <c r="H727" s="1"/>
      <c r="I727" s="1"/>
      <c r="J727" s="1"/>
      <c r="K727" s="1" t="s">
        <v>1302</v>
      </c>
      <c r="L727" s="1" t="s">
        <v>465</v>
      </c>
      <c r="M727" s="1"/>
      <c r="N727" s="1" t="s">
        <v>32</v>
      </c>
      <c r="O727" s="1"/>
      <c r="P727" s="1"/>
      <c r="Q727" s="2"/>
      <c r="R727" s="1"/>
      <c r="S727" s="1"/>
      <c r="T727" s="1"/>
      <c r="U727" s="1" t="s">
        <v>1956</v>
      </c>
      <c r="V727" s="5">
        <v>42774.588516990552</v>
      </c>
      <c r="W727" s="1" t="s">
        <v>194</v>
      </c>
      <c r="X727" s="6">
        <v>22320</v>
      </c>
      <c r="Y727" s="4">
        <v>42773</v>
      </c>
      <c r="Z727" s="4">
        <v>43100</v>
      </c>
      <c r="AA727" s="5">
        <v>43100</v>
      </c>
      <c r="AB727" s="1" t="s">
        <v>1971</v>
      </c>
      <c r="AC727" s="1"/>
      <c r="AD727" s="1" t="s">
        <v>1168</v>
      </c>
    </row>
    <row r="728" spans="1:30" hidden="1" x14ac:dyDescent="0.25">
      <c r="A728" s="1" t="s">
        <v>1221</v>
      </c>
      <c r="B728" s="1" t="s">
        <v>736</v>
      </c>
      <c r="C728" s="1" t="s">
        <v>1147</v>
      </c>
      <c r="D728" s="4">
        <v>42769</v>
      </c>
      <c r="E728" s="6">
        <v>52500</v>
      </c>
      <c r="F728" s="6"/>
      <c r="G728" s="6">
        <v>1500</v>
      </c>
      <c r="H728" s="1" t="s">
        <v>1244</v>
      </c>
      <c r="I728" s="6">
        <v>33420</v>
      </c>
      <c r="J728" s="6">
        <v>0.38896648044692739</v>
      </c>
      <c r="K728" s="1" t="s">
        <v>1774</v>
      </c>
      <c r="L728" s="1" t="s">
        <v>377</v>
      </c>
      <c r="M728" s="1" t="s">
        <v>923</v>
      </c>
      <c r="N728" s="1" t="s">
        <v>55</v>
      </c>
      <c r="O728" s="6">
        <v>1440</v>
      </c>
      <c r="P728" s="6">
        <v>1.6759776536312849E-2</v>
      </c>
      <c r="Q728" s="2" t="str">
        <f>HYPERLINK("https://auction.openprocurement.org/tenders/3ce26a009a12486fb4968bb224bdb562")</f>
        <v>https://auction.openprocurement.org/tenders/3ce26a009a12486fb4968bb224bdb562</v>
      </c>
      <c r="R728" s="5">
        <v>42787.405554707409</v>
      </c>
      <c r="S728" s="4">
        <v>42789</v>
      </c>
      <c r="T728" s="4">
        <v>42804</v>
      </c>
      <c r="U728" s="1" t="s">
        <v>1956</v>
      </c>
      <c r="V728" s="5">
        <v>42790.662143172463</v>
      </c>
      <c r="W728" s="1" t="s">
        <v>1952</v>
      </c>
      <c r="X728" s="6">
        <v>84480</v>
      </c>
      <c r="Y728" s="4">
        <v>42795</v>
      </c>
      <c r="Z728" s="4">
        <v>42825</v>
      </c>
      <c r="AA728" s="5">
        <v>43100</v>
      </c>
      <c r="AB728" s="1" t="s">
        <v>1971</v>
      </c>
      <c r="AC728" s="1"/>
      <c r="AD728" s="1" t="s">
        <v>1168</v>
      </c>
    </row>
    <row r="729" spans="1:30" hidden="1" x14ac:dyDescent="0.25">
      <c r="A729" s="1" t="s">
        <v>1813</v>
      </c>
      <c r="B729" s="1" t="s">
        <v>611</v>
      </c>
      <c r="C729" s="1" t="s">
        <v>1147</v>
      </c>
      <c r="D729" s="4">
        <v>42769</v>
      </c>
      <c r="E729" s="6">
        <v>58559</v>
      </c>
      <c r="F729" s="6"/>
      <c r="G729" s="6">
        <v>975.98333333333335</v>
      </c>
      <c r="H729" s="1" t="s">
        <v>1835</v>
      </c>
      <c r="I729" s="6">
        <v>3541</v>
      </c>
      <c r="J729" s="6">
        <v>5.7020933977455716E-2</v>
      </c>
      <c r="K729" s="1" t="s">
        <v>1774</v>
      </c>
      <c r="L729" s="1" t="s">
        <v>377</v>
      </c>
      <c r="M729" s="1" t="s">
        <v>923</v>
      </c>
      <c r="N729" s="1" t="s">
        <v>55</v>
      </c>
      <c r="O729" s="6">
        <v>3540</v>
      </c>
      <c r="P729" s="6">
        <v>5.7004830917874394E-2</v>
      </c>
      <c r="Q729" s="2" t="str">
        <f>HYPERLINK("https://auction.openprocurement.org/tenders/8e7d1830d7cc43b59516423a5cd06d42")</f>
        <v>https://auction.openprocurement.org/tenders/8e7d1830d7cc43b59516423a5cd06d42</v>
      </c>
      <c r="R729" s="5">
        <v>42782.432402029386</v>
      </c>
      <c r="S729" s="4">
        <v>42786</v>
      </c>
      <c r="T729" s="4">
        <v>42804</v>
      </c>
      <c r="U729" s="1" t="s">
        <v>1956</v>
      </c>
      <c r="V729" s="5">
        <v>42801.427409050368</v>
      </c>
      <c r="W729" s="1" t="s">
        <v>1952</v>
      </c>
      <c r="X729" s="6">
        <v>58560</v>
      </c>
      <c r="Y729" s="4">
        <v>42795</v>
      </c>
      <c r="Z729" s="4">
        <v>42825</v>
      </c>
      <c r="AA729" s="5">
        <v>43100</v>
      </c>
      <c r="AB729" s="1" t="s">
        <v>1971</v>
      </c>
      <c r="AC729" s="1"/>
      <c r="AD729" s="1" t="s">
        <v>1168</v>
      </c>
    </row>
    <row r="730" spans="1:30" hidden="1" x14ac:dyDescent="0.25">
      <c r="A730" s="1" t="s">
        <v>1489</v>
      </c>
      <c r="B730" s="1" t="s">
        <v>823</v>
      </c>
      <c r="C730" s="1" t="s">
        <v>1147</v>
      </c>
      <c r="D730" s="4">
        <v>42769</v>
      </c>
      <c r="E730" s="6">
        <v>38500</v>
      </c>
      <c r="F730" s="6"/>
      <c r="G730" s="6">
        <v>38500</v>
      </c>
      <c r="H730" s="1" t="s">
        <v>1310</v>
      </c>
      <c r="I730" s="6">
        <v>11350</v>
      </c>
      <c r="J730" s="6">
        <v>0.22768304914744233</v>
      </c>
      <c r="K730" s="1" t="s">
        <v>1656</v>
      </c>
      <c r="L730" s="1" t="s">
        <v>636</v>
      </c>
      <c r="M730" s="1" t="s">
        <v>994</v>
      </c>
      <c r="N730" s="1" t="s">
        <v>124</v>
      </c>
      <c r="O730" s="6">
        <v>1000</v>
      </c>
      <c r="P730" s="6">
        <v>2.0060180541624874E-2</v>
      </c>
      <c r="Q730" s="2" t="str">
        <f>HYPERLINK("https://auction.openprocurement.org/tenders/46d741882dd64070a63ef5afaa967e05")</f>
        <v>https://auction.openprocurement.org/tenders/46d741882dd64070a63ef5afaa967e05</v>
      </c>
      <c r="R730" s="5">
        <v>42782.405393019282</v>
      </c>
      <c r="S730" s="4">
        <v>42786</v>
      </c>
      <c r="T730" s="4">
        <v>42804</v>
      </c>
      <c r="U730" s="1" t="s">
        <v>1956</v>
      </c>
      <c r="V730" s="5">
        <v>42788.638324429041</v>
      </c>
      <c r="W730" s="1" t="s">
        <v>380</v>
      </c>
      <c r="X730" s="6">
        <v>48850</v>
      </c>
      <c r="Y730" s="4">
        <v>42795</v>
      </c>
      <c r="Z730" s="4">
        <v>43100</v>
      </c>
      <c r="AA730" s="5">
        <v>43100</v>
      </c>
      <c r="AB730" s="1" t="s">
        <v>1971</v>
      </c>
      <c r="AC730" s="1"/>
      <c r="AD730" s="1" t="s">
        <v>1168</v>
      </c>
    </row>
    <row r="731" spans="1:30" hidden="1" x14ac:dyDescent="0.25">
      <c r="A731" s="1" t="s">
        <v>1363</v>
      </c>
      <c r="B731" s="1" t="s">
        <v>819</v>
      </c>
      <c r="C731" s="1" t="s">
        <v>1147</v>
      </c>
      <c r="D731" s="4">
        <v>42769</v>
      </c>
      <c r="E731" s="6">
        <v>5400</v>
      </c>
      <c r="F731" s="6"/>
      <c r="G731" s="6">
        <v>771.42857142857144</v>
      </c>
      <c r="H731" s="1" t="s">
        <v>1921</v>
      </c>
      <c r="I731" s="6">
        <v>4370</v>
      </c>
      <c r="J731" s="6">
        <v>0.44728761514841353</v>
      </c>
      <c r="K731" s="1" t="s">
        <v>1921</v>
      </c>
      <c r="L731" s="1" t="s">
        <v>493</v>
      </c>
      <c r="M731" s="1" t="s">
        <v>887</v>
      </c>
      <c r="N731" s="1" t="s">
        <v>59</v>
      </c>
      <c r="O731" s="6">
        <v>4370</v>
      </c>
      <c r="P731" s="6">
        <v>0.44728761514841353</v>
      </c>
      <c r="Q731" s="2" t="str">
        <f>HYPERLINK("https://auction.openprocurement.org/tenders/4e804b5307484bde9b7c762e52768272")</f>
        <v>https://auction.openprocurement.org/tenders/4e804b5307484bde9b7c762e52768272</v>
      </c>
      <c r="R731" s="5">
        <v>42779.497195805292</v>
      </c>
      <c r="S731" s="4">
        <v>42781</v>
      </c>
      <c r="T731" s="4">
        <v>42803</v>
      </c>
      <c r="U731" s="1" t="s">
        <v>1956</v>
      </c>
      <c r="V731" s="5">
        <v>42783.449417358053</v>
      </c>
      <c r="W731" s="1" t="s">
        <v>1952</v>
      </c>
      <c r="X731" s="6">
        <v>5400</v>
      </c>
      <c r="Y731" s="4">
        <v>42781</v>
      </c>
      <c r="Z731" s="4">
        <v>42782</v>
      </c>
      <c r="AA731" s="5">
        <v>43100</v>
      </c>
      <c r="AB731" s="1" t="s">
        <v>1971</v>
      </c>
      <c r="AC731" s="1"/>
      <c r="AD731" s="1" t="s">
        <v>1168</v>
      </c>
    </row>
    <row r="732" spans="1:30" hidden="1" x14ac:dyDescent="0.25">
      <c r="A732" s="1" t="s">
        <v>1359</v>
      </c>
      <c r="B732" s="1" t="s">
        <v>852</v>
      </c>
      <c r="C732" s="1" t="s">
        <v>1147</v>
      </c>
      <c r="D732" s="4">
        <v>42767</v>
      </c>
      <c r="E732" s="6">
        <v>174000</v>
      </c>
      <c r="F732" s="6"/>
      <c r="G732" s="6">
        <v>19333.333333333332</v>
      </c>
      <c r="H732" s="1" t="s">
        <v>1310</v>
      </c>
      <c r="I732" s="6">
        <v>25997</v>
      </c>
      <c r="J732" s="6">
        <v>0.12998694980424708</v>
      </c>
      <c r="K732" s="1" t="s">
        <v>1656</v>
      </c>
      <c r="L732" s="1" t="s">
        <v>636</v>
      </c>
      <c r="M732" s="1" t="s">
        <v>994</v>
      </c>
      <c r="N732" s="1" t="s">
        <v>124</v>
      </c>
      <c r="O732" s="6">
        <v>1000</v>
      </c>
      <c r="P732" s="6">
        <v>5.0000750011250173E-3</v>
      </c>
      <c r="Q732" s="2" t="str">
        <f>HYPERLINK("https://auction.openprocurement.org/tenders/b17496beaf8745e1ac0db30fcb6678da")</f>
        <v>https://auction.openprocurement.org/tenders/b17496beaf8745e1ac0db30fcb6678da</v>
      </c>
      <c r="R732" s="5">
        <v>42780.409108539607</v>
      </c>
      <c r="S732" s="4">
        <v>42782</v>
      </c>
      <c r="T732" s="4">
        <v>42802</v>
      </c>
      <c r="U732" s="1" t="s">
        <v>1956</v>
      </c>
      <c r="V732" s="5">
        <v>42782.428690502289</v>
      </c>
      <c r="W732" s="1" t="s">
        <v>374</v>
      </c>
      <c r="X732" s="6">
        <v>198997</v>
      </c>
      <c r="Y732" s="4">
        <v>42786</v>
      </c>
      <c r="Z732" s="4">
        <v>42792</v>
      </c>
      <c r="AA732" s="5">
        <v>43100</v>
      </c>
      <c r="AB732" s="1" t="s">
        <v>1971</v>
      </c>
      <c r="AC732" s="1"/>
      <c r="AD732" s="1" t="s">
        <v>1168</v>
      </c>
    </row>
    <row r="733" spans="1:30" hidden="1" x14ac:dyDescent="0.25">
      <c r="A733" s="1" t="s">
        <v>1779</v>
      </c>
      <c r="B733" s="1" t="s">
        <v>395</v>
      </c>
      <c r="C733" s="1" t="s">
        <v>1081</v>
      </c>
      <c r="D733" s="4">
        <v>42762</v>
      </c>
      <c r="E733" s="6">
        <v>380282</v>
      </c>
      <c r="F733" s="6"/>
      <c r="G733" s="6">
        <v>190141</v>
      </c>
      <c r="H733" s="1" t="s">
        <v>1762</v>
      </c>
      <c r="I733" s="6">
        <v>113534</v>
      </c>
      <c r="J733" s="6">
        <v>0.22991154600093963</v>
      </c>
      <c r="K733" s="1" t="s">
        <v>1133</v>
      </c>
      <c r="L733" s="1" t="s">
        <v>588</v>
      </c>
      <c r="M733" s="1" t="s">
        <v>960</v>
      </c>
      <c r="N733" s="1" t="s">
        <v>113</v>
      </c>
      <c r="O733" s="6">
        <v>7048</v>
      </c>
      <c r="P733" s="6">
        <v>1.4272522559009834E-2</v>
      </c>
      <c r="Q733" s="2" t="str">
        <f>HYPERLINK("https://auction.openprocurement.org/tenders/77fc431a775046c38e5ad1dcb581d557")</f>
        <v>https://auction.openprocurement.org/tenders/77fc431a775046c38e5ad1dcb581d557</v>
      </c>
      <c r="R733" s="5">
        <v>42786.441501257221</v>
      </c>
      <c r="S733" s="4">
        <v>42797</v>
      </c>
      <c r="T733" s="4">
        <v>42807</v>
      </c>
      <c r="U733" s="1" t="s">
        <v>1956</v>
      </c>
      <c r="V733" s="5">
        <v>42797.431190502917</v>
      </c>
      <c r="W733" s="1" t="s">
        <v>1952</v>
      </c>
      <c r="X733" s="6">
        <v>486768</v>
      </c>
      <c r="Y733" s="4">
        <v>42795</v>
      </c>
      <c r="Z733" s="4">
        <v>42809</v>
      </c>
      <c r="AA733" s="5">
        <v>43100</v>
      </c>
      <c r="AB733" s="1" t="s">
        <v>1971</v>
      </c>
      <c r="AC733" s="1"/>
      <c r="AD733" s="1" t="s">
        <v>1168</v>
      </c>
    </row>
    <row r="734" spans="1:30" hidden="1" x14ac:dyDescent="0.25">
      <c r="A734" s="1" t="s">
        <v>13</v>
      </c>
      <c r="B734" s="1" t="s">
        <v>825</v>
      </c>
      <c r="C734" s="1" t="s">
        <v>1147</v>
      </c>
      <c r="D734" s="4">
        <v>42761</v>
      </c>
      <c r="E734" s="6">
        <v>6990</v>
      </c>
      <c r="F734" s="6"/>
      <c r="G734" s="6">
        <v>6990</v>
      </c>
      <c r="H734" s="1" t="s">
        <v>1176</v>
      </c>
      <c r="I734" s="6">
        <v>10</v>
      </c>
      <c r="J734" s="6">
        <v>1.4285714285714286E-3</v>
      </c>
      <c r="K734" s="1" t="s">
        <v>1176</v>
      </c>
      <c r="L734" s="1" t="s">
        <v>233</v>
      </c>
      <c r="M734" s="1" t="s">
        <v>973</v>
      </c>
      <c r="N734" s="1" t="s">
        <v>68</v>
      </c>
      <c r="O734" s="6">
        <v>10</v>
      </c>
      <c r="P734" s="6">
        <v>1.4285714285714286E-3</v>
      </c>
      <c r="Q734" s="2"/>
      <c r="R734" s="5">
        <v>42773.583698474293</v>
      </c>
      <c r="S734" s="4">
        <v>42775</v>
      </c>
      <c r="T734" s="4">
        <v>42796</v>
      </c>
      <c r="U734" s="1" t="s">
        <v>1956</v>
      </c>
      <c r="V734" s="5">
        <v>42779.468447737301</v>
      </c>
      <c r="W734" s="1" t="s">
        <v>193</v>
      </c>
      <c r="X734" s="6">
        <v>6990</v>
      </c>
      <c r="Y734" s="4">
        <v>42788</v>
      </c>
      <c r="Z734" s="4">
        <v>42795</v>
      </c>
      <c r="AA734" s="5">
        <v>43100</v>
      </c>
      <c r="AB734" s="1" t="s">
        <v>1971</v>
      </c>
      <c r="AC734" s="1"/>
      <c r="AD734" s="1" t="s">
        <v>1168</v>
      </c>
    </row>
    <row r="735" spans="1:30" hidden="1" x14ac:dyDescent="0.25">
      <c r="A735" s="1" t="s">
        <v>1222</v>
      </c>
      <c r="B735" s="1" t="s">
        <v>551</v>
      </c>
      <c r="C735" s="1" t="s">
        <v>1147</v>
      </c>
      <c r="D735" s="4">
        <v>42761</v>
      </c>
      <c r="E735" s="6">
        <v>2040</v>
      </c>
      <c r="F735" s="6"/>
      <c r="G735" s="6">
        <v>136</v>
      </c>
      <c r="H735" s="1" t="s">
        <v>1771</v>
      </c>
      <c r="I735" s="6">
        <v>1091</v>
      </c>
      <c r="J735" s="6">
        <v>0.34845097412967102</v>
      </c>
      <c r="K735" s="1" t="s">
        <v>1771</v>
      </c>
      <c r="L735" s="1" t="s">
        <v>674</v>
      </c>
      <c r="M735" s="1" t="s">
        <v>943</v>
      </c>
      <c r="N735" s="1" t="s">
        <v>129</v>
      </c>
      <c r="O735" s="6">
        <v>1091</v>
      </c>
      <c r="P735" s="6">
        <v>0.34845097412967102</v>
      </c>
      <c r="Q735" s="2" t="str">
        <f>HYPERLINK("https://auction.openprocurement.org/tenders/f18487b31d644b99aefbcae8f659ebbf")</f>
        <v>https://auction.openprocurement.org/tenders/f18487b31d644b99aefbcae8f659ebbf</v>
      </c>
      <c r="R735" s="5">
        <v>42773.64987787338</v>
      </c>
      <c r="S735" s="4">
        <v>42775</v>
      </c>
      <c r="T735" s="4">
        <v>42796</v>
      </c>
      <c r="U735" s="1" t="s">
        <v>1956</v>
      </c>
      <c r="V735" s="5">
        <v>42781.588113508078</v>
      </c>
      <c r="W735" s="1" t="s">
        <v>1952</v>
      </c>
      <c r="X735" s="6">
        <v>2040</v>
      </c>
      <c r="Y735" s="4">
        <v>42781</v>
      </c>
      <c r="Z735" s="4">
        <v>42783</v>
      </c>
      <c r="AA735" s="5">
        <v>43100</v>
      </c>
      <c r="AB735" s="1" t="s">
        <v>1971</v>
      </c>
      <c r="AC735" s="1"/>
      <c r="AD735" s="1" t="s">
        <v>1168</v>
      </c>
    </row>
    <row r="736" spans="1:30" hidden="1" x14ac:dyDescent="0.25">
      <c r="A736" s="1" t="s">
        <v>1924</v>
      </c>
      <c r="B736" s="1" t="s">
        <v>534</v>
      </c>
      <c r="C736" s="1" t="s">
        <v>1147</v>
      </c>
      <c r="D736" s="4">
        <v>42761</v>
      </c>
      <c r="E736" s="6">
        <v>2398</v>
      </c>
      <c r="F736" s="6"/>
      <c r="G736" s="6">
        <v>479.6</v>
      </c>
      <c r="H736" s="1" t="s">
        <v>1899</v>
      </c>
      <c r="I736" s="6">
        <v>867</v>
      </c>
      <c r="J736" s="6">
        <v>0.26554364471669217</v>
      </c>
      <c r="K736" s="1" t="s">
        <v>1840</v>
      </c>
      <c r="L736" s="1" t="s">
        <v>587</v>
      </c>
      <c r="M736" s="1" t="s">
        <v>970</v>
      </c>
      <c r="N736" s="1" t="s">
        <v>67</v>
      </c>
      <c r="O736" s="6">
        <v>556</v>
      </c>
      <c r="P736" s="6">
        <v>0.17029096477794795</v>
      </c>
      <c r="Q736" s="2" t="str">
        <f>HYPERLINK("https://auction.openprocurement.org/tenders/3569772e7c2845b68ef36757d0b3fcfd")</f>
        <v>https://auction.openprocurement.org/tenders/3569772e7c2845b68ef36757d0b3fcfd</v>
      </c>
      <c r="R736" s="5">
        <v>42779.501516088145</v>
      </c>
      <c r="S736" s="4">
        <v>42781</v>
      </c>
      <c r="T736" s="4">
        <v>42796</v>
      </c>
      <c r="U736" s="1" t="s">
        <v>1956</v>
      </c>
      <c r="V736" s="5">
        <v>42781.550760405924</v>
      </c>
      <c r="W736" s="1" t="s">
        <v>1952</v>
      </c>
      <c r="X736" s="6">
        <v>2709</v>
      </c>
      <c r="Y736" s="4">
        <v>42780</v>
      </c>
      <c r="Z736" s="4">
        <v>42783</v>
      </c>
      <c r="AA736" s="5">
        <v>43100</v>
      </c>
      <c r="AB736" s="1" t="s">
        <v>1971</v>
      </c>
      <c r="AC736" s="1"/>
      <c r="AD736" s="1" t="s">
        <v>1168</v>
      </c>
    </row>
    <row r="737" spans="1:30" hidden="1" x14ac:dyDescent="0.25">
      <c r="A737" s="1" t="s">
        <v>1763</v>
      </c>
      <c r="B737" s="1" t="s">
        <v>461</v>
      </c>
      <c r="C737" s="1" t="s">
        <v>1147</v>
      </c>
      <c r="D737" s="4">
        <v>42761</v>
      </c>
      <c r="E737" s="6">
        <v>1548</v>
      </c>
      <c r="F737" s="6"/>
      <c r="G737" s="6">
        <v>6.1920000000000002</v>
      </c>
      <c r="H737" s="1" t="s">
        <v>1632</v>
      </c>
      <c r="I737" s="6">
        <v>1849</v>
      </c>
      <c r="J737" s="6">
        <v>0.54430379746835444</v>
      </c>
      <c r="K737" s="1" t="s">
        <v>1632</v>
      </c>
      <c r="L737" s="1" t="s">
        <v>673</v>
      </c>
      <c r="M737" s="1" t="s">
        <v>876</v>
      </c>
      <c r="N737" s="1" t="s">
        <v>108</v>
      </c>
      <c r="O737" s="6">
        <v>1849</v>
      </c>
      <c r="P737" s="6">
        <v>0.54430379746835444</v>
      </c>
      <c r="Q737" s="2" t="str">
        <f>HYPERLINK("https://auction.openprocurement.org/tenders/562490c5905d4308b38c17a77d0aecc8")</f>
        <v>https://auction.openprocurement.org/tenders/562490c5905d4308b38c17a77d0aecc8</v>
      </c>
      <c r="R737" s="5">
        <v>42774.616777660034</v>
      </c>
      <c r="S737" s="4">
        <v>42776</v>
      </c>
      <c r="T737" s="4">
        <v>42796</v>
      </c>
      <c r="U737" s="1" t="s">
        <v>1956</v>
      </c>
      <c r="V737" s="5">
        <v>42781.586986307986</v>
      </c>
      <c r="W737" s="1" t="s">
        <v>1952</v>
      </c>
      <c r="X737" s="6">
        <v>1548</v>
      </c>
      <c r="Y737" s="4">
        <v>42781</v>
      </c>
      <c r="Z737" s="4">
        <v>42783</v>
      </c>
      <c r="AA737" s="5">
        <v>43100</v>
      </c>
      <c r="AB737" s="1" t="s">
        <v>1971</v>
      </c>
      <c r="AC737" s="1"/>
      <c r="AD737" s="1" t="s">
        <v>1168</v>
      </c>
    </row>
    <row r="738" spans="1:30" hidden="1" x14ac:dyDescent="0.25">
      <c r="A738" s="1" t="s">
        <v>1</v>
      </c>
      <c r="B738" s="1" t="s">
        <v>460</v>
      </c>
      <c r="C738" s="1" t="s">
        <v>1147</v>
      </c>
      <c r="D738" s="4">
        <v>42761</v>
      </c>
      <c r="E738" s="6">
        <v>2649</v>
      </c>
      <c r="F738" s="6"/>
      <c r="G738" s="6">
        <v>20.376923076923077</v>
      </c>
      <c r="H738" s="1" t="s">
        <v>1632</v>
      </c>
      <c r="I738" s="6">
        <v>447</v>
      </c>
      <c r="J738" s="6">
        <v>0.14437984496124032</v>
      </c>
      <c r="K738" s="1" t="s">
        <v>1840</v>
      </c>
      <c r="L738" s="1" t="s">
        <v>587</v>
      </c>
      <c r="M738" s="1" t="s">
        <v>970</v>
      </c>
      <c r="N738" s="1" t="s">
        <v>67</v>
      </c>
      <c r="O738" s="6">
        <v>436</v>
      </c>
      <c r="P738" s="6">
        <v>0.14082687338501293</v>
      </c>
      <c r="Q738" s="2" t="str">
        <f>HYPERLINK("https://auction.openprocurement.org/tenders/f9d654ea488d4de690f6f0436d6e1ded")</f>
        <v>https://auction.openprocurement.org/tenders/f9d654ea488d4de690f6f0436d6e1ded</v>
      </c>
      <c r="R738" s="5">
        <v>42774.713553788992</v>
      </c>
      <c r="S738" s="4">
        <v>42776</v>
      </c>
      <c r="T738" s="4">
        <v>42796</v>
      </c>
      <c r="U738" s="1" t="s">
        <v>1956</v>
      </c>
      <c r="V738" s="5">
        <v>42779.715687134129</v>
      </c>
      <c r="W738" s="1" t="s">
        <v>1952</v>
      </c>
      <c r="X738" s="6">
        <v>2660</v>
      </c>
      <c r="Y738" s="4">
        <v>42781</v>
      </c>
      <c r="Z738" s="4">
        <v>42783</v>
      </c>
      <c r="AA738" s="5">
        <v>43100</v>
      </c>
      <c r="AB738" s="1" t="s">
        <v>1971</v>
      </c>
      <c r="AC738" s="1"/>
      <c r="AD738" s="1" t="s">
        <v>1168</v>
      </c>
    </row>
    <row r="739" spans="1:30" hidden="1" x14ac:dyDescent="0.25">
      <c r="A739" s="1" t="s">
        <v>1189</v>
      </c>
      <c r="B739" s="1" t="s">
        <v>666</v>
      </c>
      <c r="C739" s="1" t="s">
        <v>1147</v>
      </c>
      <c r="D739" s="4">
        <v>42761</v>
      </c>
      <c r="E739" s="6">
        <v>2796</v>
      </c>
      <c r="F739" s="6"/>
      <c r="G739" s="6">
        <v>10.964705882352941</v>
      </c>
      <c r="H739" s="1" t="s">
        <v>1060</v>
      </c>
      <c r="I739" s="6">
        <v>910</v>
      </c>
      <c r="J739" s="6">
        <v>0.24554776038855911</v>
      </c>
      <c r="K739" s="1" t="s">
        <v>1840</v>
      </c>
      <c r="L739" s="1" t="s">
        <v>587</v>
      </c>
      <c r="M739" s="1" t="s">
        <v>970</v>
      </c>
      <c r="N739" s="1" t="s">
        <v>67</v>
      </c>
      <c r="O739" s="6">
        <v>896</v>
      </c>
      <c r="P739" s="6">
        <v>0.24177010253642742</v>
      </c>
      <c r="Q739" s="2" t="str">
        <f>HYPERLINK("https://auction.openprocurement.org/tenders/86a9be6e14bd47cf8f435d58924a84e8")</f>
        <v>https://auction.openprocurement.org/tenders/86a9be6e14bd47cf8f435d58924a84e8</v>
      </c>
      <c r="R739" s="5">
        <v>42776.446111744284</v>
      </c>
      <c r="S739" s="4">
        <v>42780</v>
      </c>
      <c r="T739" s="4">
        <v>42796</v>
      </c>
      <c r="U739" s="1" t="s">
        <v>1956</v>
      </c>
      <c r="V739" s="5">
        <v>42780.461730477196</v>
      </c>
      <c r="W739" s="1" t="s">
        <v>1952</v>
      </c>
      <c r="X739" s="6">
        <v>2810</v>
      </c>
      <c r="Y739" s="4">
        <v>42781</v>
      </c>
      <c r="Z739" s="4">
        <v>42783</v>
      </c>
      <c r="AA739" s="5">
        <v>43100</v>
      </c>
      <c r="AB739" s="1" t="s">
        <v>1971</v>
      </c>
      <c r="AC739" s="1"/>
      <c r="AD739" s="1" t="s">
        <v>1168</v>
      </c>
    </row>
    <row r="740" spans="1:30" hidden="1" x14ac:dyDescent="0.25">
      <c r="A740" s="1" t="s">
        <v>1192</v>
      </c>
      <c r="B740" s="1" t="s">
        <v>527</v>
      </c>
      <c r="C740" s="1" t="s">
        <v>1147</v>
      </c>
      <c r="D740" s="4">
        <v>42761</v>
      </c>
      <c r="E740" s="6">
        <v>28178.63</v>
      </c>
      <c r="F740" s="6"/>
      <c r="G740" s="6">
        <v>15.733461753210497</v>
      </c>
      <c r="H740" s="1" t="s">
        <v>1723</v>
      </c>
      <c r="I740" s="6">
        <v>8425.369999999999</v>
      </c>
      <c r="J740" s="6">
        <v>0.23017621025024584</v>
      </c>
      <c r="K740" s="1" t="s">
        <v>1840</v>
      </c>
      <c r="L740" s="1" t="s">
        <v>587</v>
      </c>
      <c r="M740" s="1" t="s">
        <v>970</v>
      </c>
      <c r="N740" s="1" t="s">
        <v>67</v>
      </c>
      <c r="O740" s="6">
        <v>2204</v>
      </c>
      <c r="P740" s="6">
        <v>6.0211998688667903E-2</v>
      </c>
      <c r="Q740" s="2" t="str">
        <f>HYPERLINK("https://auction.openprocurement.org/tenders/a2c66a78e6074222bd5bb02827c0950f")</f>
        <v>https://auction.openprocurement.org/tenders/a2c66a78e6074222bd5bb02827c0950f</v>
      </c>
      <c r="R740" s="5">
        <v>42775.652047142234</v>
      </c>
      <c r="S740" s="4">
        <v>42779</v>
      </c>
      <c r="T740" s="4">
        <v>42796</v>
      </c>
      <c r="U740" s="1" t="s">
        <v>1956</v>
      </c>
      <c r="V740" s="5">
        <v>42780.422597716759</v>
      </c>
      <c r="W740" s="1" t="s">
        <v>1952</v>
      </c>
      <c r="X740" s="6">
        <v>34400</v>
      </c>
      <c r="Y740" s="4">
        <v>42781</v>
      </c>
      <c r="Z740" s="4">
        <v>42783</v>
      </c>
      <c r="AA740" s="5">
        <v>43100</v>
      </c>
      <c r="AB740" s="1" t="s">
        <v>1971</v>
      </c>
      <c r="AC740" s="1"/>
      <c r="AD740" s="1" t="s">
        <v>1168</v>
      </c>
    </row>
    <row r="741" spans="1:30" hidden="1" x14ac:dyDescent="0.25">
      <c r="A741" s="1" t="s">
        <v>1089</v>
      </c>
      <c r="B741" s="1" t="s">
        <v>392</v>
      </c>
      <c r="C741" s="1" t="s">
        <v>1147</v>
      </c>
      <c r="D741" s="4">
        <v>42760</v>
      </c>
      <c r="E741" s="6">
        <v>31896</v>
      </c>
      <c r="F741" s="6"/>
      <c r="G741" s="6">
        <v>10632</v>
      </c>
      <c r="H741" s="1" t="s">
        <v>1521</v>
      </c>
      <c r="I741" s="6">
        <v>10101</v>
      </c>
      <c r="J741" s="6">
        <v>0.24051717979855705</v>
      </c>
      <c r="K741" s="1" t="s">
        <v>1133</v>
      </c>
      <c r="L741" s="1" t="s">
        <v>588</v>
      </c>
      <c r="M741" s="1" t="s">
        <v>960</v>
      </c>
      <c r="N741" s="1" t="s">
        <v>113</v>
      </c>
      <c r="O741" s="6">
        <v>210</v>
      </c>
      <c r="P741" s="6">
        <v>5.0003571683691688E-3</v>
      </c>
      <c r="Q741" s="2" t="str">
        <f>HYPERLINK("https://auction.openprocurement.org/tenders/9cffce64919d40fb900bbb337da797f7")</f>
        <v>https://auction.openprocurement.org/tenders/9cffce64919d40fb900bbb337da797f7</v>
      </c>
      <c r="R741" s="5">
        <v>42786.437025354084</v>
      </c>
      <c r="S741" s="4">
        <v>42788</v>
      </c>
      <c r="T741" s="4">
        <v>42795</v>
      </c>
      <c r="U741" s="1" t="s">
        <v>1956</v>
      </c>
      <c r="V741" s="5">
        <v>42809.621749354883</v>
      </c>
      <c r="W741" s="1" t="s">
        <v>1952</v>
      </c>
      <c r="X741" s="6">
        <v>41787</v>
      </c>
      <c r="Y741" s="4">
        <v>42780</v>
      </c>
      <c r="Z741" s="4">
        <v>42783</v>
      </c>
      <c r="AA741" s="5">
        <v>43100</v>
      </c>
      <c r="AB741" s="1" t="s">
        <v>1971</v>
      </c>
      <c r="AC741" s="1"/>
      <c r="AD741" s="1" t="s">
        <v>1168</v>
      </c>
    </row>
    <row r="742" spans="1:30" hidden="1" x14ac:dyDescent="0.25">
      <c r="A742" s="1" t="s">
        <v>1268</v>
      </c>
      <c r="B742" s="1" t="s">
        <v>393</v>
      </c>
      <c r="C742" s="1" t="s">
        <v>1147</v>
      </c>
      <c r="D742" s="4">
        <v>42760</v>
      </c>
      <c r="E742" s="6">
        <v>16800</v>
      </c>
      <c r="F742" s="6"/>
      <c r="G742" s="6">
        <v>5600</v>
      </c>
      <c r="H742" s="1" t="s">
        <v>1822</v>
      </c>
      <c r="I742" s="6">
        <v>25240</v>
      </c>
      <c r="J742" s="6">
        <v>0.60038058991436727</v>
      </c>
      <c r="K742" s="1" t="s">
        <v>1133</v>
      </c>
      <c r="L742" s="1" t="s">
        <v>588</v>
      </c>
      <c r="M742" s="1" t="s">
        <v>960</v>
      </c>
      <c r="N742" s="1" t="s">
        <v>113</v>
      </c>
      <c r="O742" s="6">
        <v>1</v>
      </c>
      <c r="P742" s="6">
        <v>2.3786869647954329E-5</v>
      </c>
      <c r="Q742" s="2" t="str">
        <f>HYPERLINK("https://auction.openprocurement.org/tenders/60e8cc9220e04c23a73225a23a2822a4")</f>
        <v>https://auction.openprocurement.org/tenders/60e8cc9220e04c23a73225a23a2822a4</v>
      </c>
      <c r="R742" s="5">
        <v>42775.708801215304</v>
      </c>
      <c r="S742" s="4">
        <v>42779</v>
      </c>
      <c r="T742" s="4">
        <v>42795</v>
      </c>
      <c r="U742" s="1" t="s">
        <v>1956</v>
      </c>
      <c r="V742" s="5">
        <v>42779.710361803205</v>
      </c>
      <c r="W742" s="1" t="s">
        <v>1952</v>
      </c>
      <c r="X742" s="6">
        <v>42039</v>
      </c>
      <c r="Y742" s="4">
        <v>42780</v>
      </c>
      <c r="Z742" s="4">
        <v>42783</v>
      </c>
      <c r="AA742" s="5">
        <v>43100</v>
      </c>
      <c r="AB742" s="1" t="s">
        <v>1971</v>
      </c>
      <c r="AC742" s="1"/>
      <c r="AD742" s="1" t="s">
        <v>1168</v>
      </c>
    </row>
    <row r="743" spans="1:30" hidden="1" x14ac:dyDescent="0.25">
      <c r="A743" s="1" t="s">
        <v>1068</v>
      </c>
      <c r="B743" s="1" t="s">
        <v>600</v>
      </c>
      <c r="C743" s="1" t="s">
        <v>1147</v>
      </c>
      <c r="D743" s="4">
        <v>42760</v>
      </c>
      <c r="E743" s="6">
        <v>93920.4</v>
      </c>
      <c r="F743" s="6"/>
      <c r="G743" s="6">
        <v>31306.799999999999</v>
      </c>
      <c r="H743" s="1" t="s">
        <v>1133</v>
      </c>
      <c r="I743" s="6">
        <v>0.60000000000582077</v>
      </c>
      <c r="J743" s="6">
        <v>6.3883476539412995E-6</v>
      </c>
      <c r="K743" s="1" t="s">
        <v>1133</v>
      </c>
      <c r="L743" s="1" t="s">
        <v>588</v>
      </c>
      <c r="M743" s="1" t="s">
        <v>960</v>
      </c>
      <c r="N743" s="1" t="s">
        <v>113</v>
      </c>
      <c r="O743" s="6">
        <v>0.60000000000582077</v>
      </c>
      <c r="P743" s="6">
        <v>6.3883476539412995E-6</v>
      </c>
      <c r="Q743" s="2"/>
      <c r="R743" s="5">
        <v>42772.441623825231</v>
      </c>
      <c r="S743" s="4">
        <v>42774</v>
      </c>
      <c r="T743" s="4">
        <v>42795</v>
      </c>
      <c r="U743" s="1" t="s">
        <v>1956</v>
      </c>
      <c r="V743" s="5">
        <v>42776.677632127561</v>
      </c>
      <c r="W743" s="1" t="s">
        <v>1952</v>
      </c>
      <c r="X743" s="6">
        <v>93920.4</v>
      </c>
      <c r="Y743" s="4">
        <v>42780</v>
      </c>
      <c r="Z743" s="4">
        <v>42783</v>
      </c>
      <c r="AA743" s="5">
        <v>43100</v>
      </c>
      <c r="AB743" s="1" t="s">
        <v>1971</v>
      </c>
      <c r="AC743" s="1"/>
      <c r="AD743" s="1" t="s">
        <v>1168</v>
      </c>
    </row>
    <row r="744" spans="1:30" hidden="1" x14ac:dyDescent="0.25">
      <c r="A744" s="1" t="s">
        <v>1049</v>
      </c>
      <c r="B744" s="1" t="s">
        <v>726</v>
      </c>
      <c r="C744" s="1" t="s">
        <v>1147</v>
      </c>
      <c r="D744" s="4">
        <v>42760</v>
      </c>
      <c r="E744" s="6">
        <v>70729.8</v>
      </c>
      <c r="F744" s="6"/>
      <c r="G744" s="6">
        <v>14145.960000000001</v>
      </c>
      <c r="H744" s="1" t="s">
        <v>1521</v>
      </c>
      <c r="I744" s="6">
        <v>18465.199999999997</v>
      </c>
      <c r="J744" s="6">
        <v>0.20702057290206846</v>
      </c>
      <c r="K744" s="1" t="s">
        <v>1133</v>
      </c>
      <c r="L744" s="1" t="s">
        <v>588</v>
      </c>
      <c r="M744" s="1" t="s">
        <v>960</v>
      </c>
      <c r="N744" s="1" t="s">
        <v>113</v>
      </c>
      <c r="O744" s="6">
        <v>5395</v>
      </c>
      <c r="P744" s="6">
        <v>6.0485453220471996E-2</v>
      </c>
      <c r="Q744" s="2" t="str">
        <f>HYPERLINK("https://auction.openprocurement.org/tenders/b6c299fb7463435ba88502f02eacf066")</f>
        <v>https://auction.openprocurement.org/tenders/b6c299fb7463435ba88502f02eacf066</v>
      </c>
      <c r="R744" s="5">
        <v>42774.711979276275</v>
      </c>
      <c r="S744" s="4">
        <v>42776</v>
      </c>
      <c r="T744" s="4">
        <v>42795</v>
      </c>
      <c r="U744" s="1" t="s">
        <v>1956</v>
      </c>
      <c r="V744" s="5">
        <v>42779.390146447549</v>
      </c>
      <c r="W744" s="1" t="s">
        <v>1952</v>
      </c>
      <c r="X744" s="6">
        <v>83800</v>
      </c>
      <c r="Y744" s="4">
        <v>42780</v>
      </c>
      <c r="Z744" s="4">
        <v>42783</v>
      </c>
      <c r="AA744" s="5">
        <v>43100</v>
      </c>
      <c r="AB744" s="1" t="s">
        <v>1971</v>
      </c>
      <c r="AC744" s="1"/>
      <c r="AD744" s="1" t="s">
        <v>1168</v>
      </c>
    </row>
    <row r="745" spans="1:30" hidden="1" x14ac:dyDescent="0.25">
      <c r="A745" s="1" t="s">
        <v>1064</v>
      </c>
      <c r="B745" s="1" t="s">
        <v>787</v>
      </c>
      <c r="C745" s="1" t="s">
        <v>1147</v>
      </c>
      <c r="D745" s="4">
        <v>42747</v>
      </c>
      <c r="E745" s="6">
        <v>399000</v>
      </c>
      <c r="F745" s="6"/>
      <c r="G745" s="6">
        <v>399000</v>
      </c>
      <c r="H745" s="1" t="s">
        <v>1113</v>
      </c>
      <c r="I745" s="6">
        <v>851000</v>
      </c>
      <c r="J745" s="6">
        <v>0.68079999999999996</v>
      </c>
      <c r="K745" s="1"/>
      <c r="L745" s="1"/>
      <c r="M745" s="1"/>
      <c r="N745" s="1"/>
      <c r="O745" s="1"/>
      <c r="P745" s="1"/>
      <c r="Q745" s="2" t="str">
        <f>HYPERLINK("https://auction.openprocurement.org/tenders/3a6f35332aed4368bf5e3e0a4c6262bd")</f>
        <v>https://auction.openprocurement.org/tenders/3a6f35332aed4368bf5e3e0a4c6262bd</v>
      </c>
      <c r="R745" s="1"/>
      <c r="S745" s="1"/>
      <c r="T745" s="1"/>
      <c r="U745" s="1" t="s">
        <v>1972</v>
      </c>
      <c r="V745" s="5">
        <v>42758.559373480915</v>
      </c>
      <c r="W745" s="1"/>
      <c r="X745" s="1"/>
      <c r="Y745" s="4">
        <v>42761</v>
      </c>
      <c r="Z745" s="4">
        <v>42901</v>
      </c>
      <c r="AA745" s="1"/>
      <c r="AB745" s="1"/>
      <c r="AC745" s="1" t="s">
        <v>1792</v>
      </c>
      <c r="AD745" s="1"/>
    </row>
    <row r="746" spans="1:30" hidden="1" x14ac:dyDescent="0.25">
      <c r="A746" s="1" t="s">
        <v>2</v>
      </c>
      <c r="B746" s="1" t="s">
        <v>787</v>
      </c>
      <c r="C746" s="1" t="s">
        <v>1147</v>
      </c>
      <c r="D746" s="4">
        <v>42741</v>
      </c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2"/>
      <c r="R746" s="1"/>
      <c r="S746" s="1"/>
      <c r="T746" s="1"/>
      <c r="U746" s="1" t="s">
        <v>1972</v>
      </c>
      <c r="V746" s="5">
        <v>42747.445361670369</v>
      </c>
      <c r="W746" s="1"/>
      <c r="X746" s="1"/>
      <c r="Y746" s="4">
        <v>42755</v>
      </c>
      <c r="Z746" s="4">
        <v>42901</v>
      </c>
      <c r="AA746" s="1"/>
      <c r="AB746" s="1"/>
      <c r="AC746" s="1" t="s">
        <v>1797</v>
      </c>
      <c r="AD746" s="1"/>
    </row>
    <row r="747" spans="1:30" hidden="1" x14ac:dyDescent="0.25">
      <c r="A747" s="1" t="s">
        <v>1048</v>
      </c>
      <c r="B747" s="1" t="s">
        <v>319</v>
      </c>
      <c r="C747" s="1" t="s">
        <v>1147</v>
      </c>
      <c r="D747" s="4">
        <v>42740</v>
      </c>
      <c r="E747" s="6">
        <v>10740</v>
      </c>
      <c r="F747" s="6"/>
      <c r="G747" s="6">
        <v>21.48</v>
      </c>
      <c r="H747" s="1" t="s">
        <v>1653</v>
      </c>
      <c r="I747" s="6">
        <v>260</v>
      </c>
      <c r="J747" s="6">
        <v>2.3636363636363636E-2</v>
      </c>
      <c r="K747" s="1" t="s">
        <v>1653</v>
      </c>
      <c r="L747" s="1" t="s">
        <v>707</v>
      </c>
      <c r="M747" s="1" t="s">
        <v>260</v>
      </c>
      <c r="N747" s="1" t="s">
        <v>60</v>
      </c>
      <c r="O747" s="6">
        <v>260</v>
      </c>
      <c r="P747" s="6">
        <v>2.3636363636363636E-2</v>
      </c>
      <c r="Q747" s="2" t="str">
        <f>HYPERLINK("https://auction.openprocurement.org/tenders/d35e882324eb4f65816c899180c74608")</f>
        <v>https://auction.openprocurement.org/tenders/d35e882324eb4f65816c899180c74608</v>
      </c>
      <c r="R747" s="5">
        <v>42751.676401982913</v>
      </c>
      <c r="S747" s="4">
        <v>42753</v>
      </c>
      <c r="T747" s="4">
        <v>42775</v>
      </c>
      <c r="U747" s="1" t="s">
        <v>1956</v>
      </c>
      <c r="V747" s="5">
        <v>42759.686742119055</v>
      </c>
      <c r="W747" s="1" t="s">
        <v>1979</v>
      </c>
      <c r="X747" s="6">
        <v>10740</v>
      </c>
      <c r="Y747" s="4">
        <v>42754</v>
      </c>
      <c r="Z747" s="4">
        <v>42761</v>
      </c>
      <c r="AA747" s="5">
        <v>43100</v>
      </c>
      <c r="AB747" s="1" t="s">
        <v>1971</v>
      </c>
      <c r="AC747" s="1"/>
      <c r="AD747" s="1" t="s">
        <v>1168</v>
      </c>
    </row>
    <row r="748" spans="1:30" hidden="1" x14ac:dyDescent="0.25">
      <c r="A748" s="1" t="s">
        <v>1490</v>
      </c>
      <c r="B748" s="1" t="s">
        <v>818</v>
      </c>
      <c r="C748" s="1" t="s">
        <v>1081</v>
      </c>
      <c r="D748" s="4">
        <v>42740</v>
      </c>
      <c r="E748" s="6">
        <v>536088</v>
      </c>
      <c r="F748" s="6"/>
      <c r="G748" s="6">
        <v>268044</v>
      </c>
      <c r="H748" s="1" t="s">
        <v>1715</v>
      </c>
      <c r="I748" s="6">
        <v>63912</v>
      </c>
      <c r="J748" s="6">
        <v>0.10652</v>
      </c>
      <c r="K748" s="1" t="s">
        <v>1715</v>
      </c>
      <c r="L748" s="1" t="s">
        <v>623</v>
      </c>
      <c r="M748" s="1" t="s">
        <v>906</v>
      </c>
      <c r="N748" s="1" t="s">
        <v>52</v>
      </c>
      <c r="O748" s="6">
        <v>63912</v>
      </c>
      <c r="P748" s="6">
        <v>0.10652</v>
      </c>
      <c r="Q748" s="2" t="str">
        <f>HYPERLINK("https://auction.openprocurement.org/tenders/987e0aeb31d14f33add7c9fbb0540bf4")</f>
        <v>https://auction.openprocurement.org/tenders/987e0aeb31d14f33add7c9fbb0540bf4</v>
      </c>
      <c r="R748" s="5">
        <v>42758.716741054639</v>
      </c>
      <c r="S748" s="4">
        <v>42769</v>
      </c>
      <c r="T748" s="4">
        <v>42779</v>
      </c>
      <c r="U748" s="1" t="s">
        <v>1956</v>
      </c>
      <c r="V748" s="5">
        <v>42769.710830542856</v>
      </c>
      <c r="W748" s="1" t="s">
        <v>359</v>
      </c>
      <c r="X748" s="6">
        <v>536088</v>
      </c>
      <c r="Y748" s="4">
        <v>42767</v>
      </c>
      <c r="Z748" s="4">
        <v>43100</v>
      </c>
      <c r="AA748" s="5">
        <v>43100</v>
      </c>
      <c r="AB748" s="1" t="s">
        <v>1971</v>
      </c>
      <c r="AC748" s="1"/>
      <c r="AD748" s="1"/>
    </row>
    <row r="749" spans="1:30" hidden="1" x14ac:dyDescent="0.25">
      <c r="A749" s="1" t="s">
        <v>1156</v>
      </c>
      <c r="B749" s="1" t="s">
        <v>321</v>
      </c>
      <c r="C749" s="1" t="s">
        <v>1147</v>
      </c>
      <c r="D749" s="4">
        <v>42732</v>
      </c>
      <c r="E749" s="6">
        <v>12846</v>
      </c>
      <c r="F749" s="6"/>
      <c r="G749" s="6">
        <v>53.082644628099175</v>
      </c>
      <c r="H749" s="1" t="s">
        <v>1704</v>
      </c>
      <c r="I749" s="6">
        <v>2484</v>
      </c>
      <c r="J749" s="6">
        <v>0.16203522504892368</v>
      </c>
      <c r="K749" s="1"/>
      <c r="L749" s="1"/>
      <c r="M749" s="1"/>
      <c r="N749" s="1"/>
      <c r="O749" s="1"/>
      <c r="P749" s="1"/>
      <c r="Q749" s="2" t="str">
        <f>HYPERLINK("https://auction.openprocurement.org/tenders/df56aea68e824af2a4327d17839f819a")</f>
        <v>https://auction.openprocurement.org/tenders/df56aea68e824af2a4327d17839f819a</v>
      </c>
      <c r="R749" s="1"/>
      <c r="S749" s="1"/>
      <c r="T749" s="1"/>
      <c r="U749" s="1" t="s">
        <v>1972</v>
      </c>
      <c r="V749" s="5">
        <v>42747.51901703675</v>
      </c>
      <c r="W749" s="1"/>
      <c r="X749" s="1"/>
      <c r="Y749" s="4">
        <v>42752</v>
      </c>
      <c r="Z749" s="4">
        <v>42755</v>
      </c>
      <c r="AA749" s="1"/>
      <c r="AB749" s="1"/>
      <c r="AC749" s="1" t="s">
        <v>1804</v>
      </c>
      <c r="AD749" s="1"/>
    </row>
    <row r="750" spans="1:30" hidden="1" x14ac:dyDescent="0.25">
      <c r="A750" s="1" t="s">
        <v>1048</v>
      </c>
      <c r="B750" s="1" t="s">
        <v>319</v>
      </c>
      <c r="C750" s="1" t="s">
        <v>1147</v>
      </c>
      <c r="D750" s="4">
        <v>42732</v>
      </c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2"/>
      <c r="R750" s="1"/>
      <c r="S750" s="1"/>
      <c r="T750" s="1"/>
      <c r="U750" s="1" t="s">
        <v>1957</v>
      </c>
      <c r="V750" s="5">
        <v>42740.665753727822</v>
      </c>
      <c r="W750" s="1"/>
      <c r="X750" s="1"/>
      <c r="Y750" s="4">
        <v>42746</v>
      </c>
      <c r="Z750" s="4">
        <v>42753</v>
      </c>
      <c r="AA750" s="1"/>
      <c r="AB750" s="1"/>
      <c r="AC750" s="1"/>
      <c r="AD750" s="1"/>
    </row>
    <row r="751" spans="1:30" hidden="1" x14ac:dyDescent="0.25">
      <c r="A751" s="1" t="s">
        <v>1342</v>
      </c>
      <c r="B751" s="1" t="s">
        <v>682</v>
      </c>
      <c r="C751" s="1" t="s">
        <v>1147</v>
      </c>
      <c r="D751" s="4">
        <v>42730</v>
      </c>
      <c r="E751" s="6">
        <v>4998</v>
      </c>
      <c r="F751" s="6"/>
      <c r="G751" s="6">
        <v>4998</v>
      </c>
      <c r="H751" s="1" t="s">
        <v>1642</v>
      </c>
      <c r="I751" s="6">
        <v>2</v>
      </c>
      <c r="J751" s="6">
        <v>4.0000000000000002E-4</v>
      </c>
      <c r="K751" s="1" t="s">
        <v>1642</v>
      </c>
      <c r="L751" s="1" t="s">
        <v>702</v>
      </c>
      <c r="M751" s="1" t="s">
        <v>878</v>
      </c>
      <c r="N751" s="1" t="s">
        <v>187</v>
      </c>
      <c r="O751" s="6">
        <v>2</v>
      </c>
      <c r="P751" s="6">
        <v>4.0000000000000002E-4</v>
      </c>
      <c r="Q751" s="2"/>
      <c r="R751" s="5">
        <v>42740.41938910829</v>
      </c>
      <c r="S751" s="4">
        <v>42745</v>
      </c>
      <c r="T751" s="4">
        <v>42763</v>
      </c>
      <c r="U751" s="1" t="s">
        <v>1956</v>
      </c>
      <c r="V751" s="5">
        <v>42748.439718497095</v>
      </c>
      <c r="W751" s="1" t="s">
        <v>1952</v>
      </c>
      <c r="X751" s="6">
        <v>4998</v>
      </c>
      <c r="Y751" s="4">
        <v>42746</v>
      </c>
      <c r="Z751" s="4">
        <v>42755</v>
      </c>
      <c r="AA751" s="5">
        <v>43100</v>
      </c>
      <c r="AB751" s="1" t="s">
        <v>1971</v>
      </c>
      <c r="AC751" s="1"/>
      <c r="AD751" s="1" t="s">
        <v>1168</v>
      </c>
    </row>
    <row r="752" spans="1:30" hidden="1" x14ac:dyDescent="0.25">
      <c r="A752" s="1" t="s">
        <v>1490</v>
      </c>
      <c r="B752" s="1" t="s">
        <v>818</v>
      </c>
      <c r="C752" s="1" t="s">
        <v>1081</v>
      </c>
      <c r="D752" s="4">
        <v>42725</v>
      </c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2"/>
      <c r="R752" s="1"/>
      <c r="S752" s="1"/>
      <c r="T752" s="1"/>
      <c r="U752" s="1" t="s">
        <v>1957</v>
      </c>
      <c r="V752" s="5">
        <v>42740.604285927329</v>
      </c>
      <c r="W752" s="1"/>
      <c r="X752" s="1"/>
      <c r="Y752" s="4">
        <v>42767</v>
      </c>
      <c r="Z752" s="4">
        <v>43100</v>
      </c>
      <c r="AA752" s="1"/>
      <c r="AB752" s="1"/>
      <c r="AC752" s="1"/>
      <c r="AD752" s="1"/>
    </row>
    <row r="753" spans="1:30" hidden="1" x14ac:dyDescent="0.25">
      <c r="A753" s="1" t="s">
        <v>1342</v>
      </c>
      <c r="B753" s="1" t="s">
        <v>682</v>
      </c>
      <c r="C753" s="1" t="s">
        <v>1147</v>
      </c>
      <c r="D753" s="4">
        <v>42719</v>
      </c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2"/>
      <c r="R753" s="1"/>
      <c r="S753" s="1"/>
      <c r="T753" s="1"/>
      <c r="U753" s="1" t="s">
        <v>1957</v>
      </c>
      <c r="V753" s="5">
        <v>42726.544248628656</v>
      </c>
      <c r="W753" s="1"/>
      <c r="X753" s="1"/>
      <c r="Y753" s="4">
        <v>42732</v>
      </c>
      <c r="Z753" s="4">
        <v>42734</v>
      </c>
      <c r="AA753" s="1"/>
      <c r="AB753" s="1"/>
      <c r="AC753" s="1"/>
      <c r="AD753" s="1"/>
    </row>
    <row r="754" spans="1:30" hidden="1" x14ac:dyDescent="0.25">
      <c r="A754" s="1" t="s">
        <v>1063</v>
      </c>
      <c r="B754" s="1" t="s">
        <v>787</v>
      </c>
      <c r="C754" s="1" t="s">
        <v>1147</v>
      </c>
      <c r="D754" s="4">
        <v>42719</v>
      </c>
      <c r="E754" s="6">
        <v>160000</v>
      </c>
      <c r="F754" s="6"/>
      <c r="G754" s="6">
        <v>160000</v>
      </c>
      <c r="H754" s="1" t="s">
        <v>1711</v>
      </c>
      <c r="I754" s="6">
        <v>690000</v>
      </c>
      <c r="J754" s="6">
        <v>0.81176470588235294</v>
      </c>
      <c r="K754" s="1" t="s">
        <v>1912</v>
      </c>
      <c r="L754" s="1" t="s">
        <v>491</v>
      </c>
      <c r="M754" s="1" t="s">
        <v>954</v>
      </c>
      <c r="N754" s="1" t="s">
        <v>83</v>
      </c>
      <c r="O754" s="6">
        <v>140500</v>
      </c>
      <c r="P754" s="6">
        <v>0.16529411764705881</v>
      </c>
      <c r="Q754" s="2" t="str">
        <f>HYPERLINK("https://auction.openprocurement.org/tenders/ee18839e4c1743e7b7032e99207ccbf5")</f>
        <v>https://auction.openprocurement.org/tenders/ee18839e4c1743e7b7032e99207ccbf5</v>
      </c>
      <c r="R754" s="5">
        <v>42733.59344407318</v>
      </c>
      <c r="S754" s="4">
        <v>42738</v>
      </c>
      <c r="T754" s="4">
        <v>42754</v>
      </c>
      <c r="U754" s="1" t="s">
        <v>1956</v>
      </c>
      <c r="V754" s="5">
        <v>42755.572258757224</v>
      </c>
      <c r="W754" s="1" t="s">
        <v>1952</v>
      </c>
      <c r="X754" s="6">
        <v>709500</v>
      </c>
      <c r="Y754" s="4">
        <v>42732</v>
      </c>
      <c r="Z754" s="4">
        <v>42856</v>
      </c>
      <c r="AA754" s="5">
        <v>42856</v>
      </c>
      <c r="AB754" s="1" t="s">
        <v>1971</v>
      </c>
      <c r="AC754" s="1"/>
      <c r="AD754" s="1" t="s">
        <v>1168</v>
      </c>
    </row>
    <row r="755" spans="1:30" hidden="1" x14ac:dyDescent="0.25">
      <c r="A755" s="1" t="s">
        <v>19</v>
      </c>
      <c r="B755" s="1" t="s">
        <v>676</v>
      </c>
      <c r="C755" s="1" t="s">
        <v>1147</v>
      </c>
      <c r="D755" s="4">
        <v>42716</v>
      </c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2"/>
      <c r="R755" s="1"/>
      <c r="S755" s="1"/>
      <c r="T755" s="1"/>
      <c r="U755" s="1" t="s">
        <v>1957</v>
      </c>
      <c r="V755" s="5">
        <v>42723.584191442271</v>
      </c>
      <c r="W755" s="1"/>
      <c r="X755" s="1"/>
      <c r="Y755" s="4">
        <v>42730</v>
      </c>
      <c r="Z755" s="4">
        <v>42735</v>
      </c>
      <c r="AA755" s="1"/>
      <c r="AB755" s="1"/>
      <c r="AC755" s="1"/>
      <c r="AD755" s="1"/>
    </row>
    <row r="756" spans="1:30" hidden="1" x14ac:dyDescent="0.25">
      <c r="A756" s="1" t="s">
        <v>1339</v>
      </c>
      <c r="B756" s="1" t="s">
        <v>682</v>
      </c>
      <c r="C756" s="1" t="s">
        <v>1147</v>
      </c>
      <c r="D756" s="4">
        <v>42711</v>
      </c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2"/>
      <c r="R756" s="1"/>
      <c r="S756" s="1"/>
      <c r="T756" s="1"/>
      <c r="U756" s="1" t="s">
        <v>1957</v>
      </c>
      <c r="V756" s="5">
        <v>42719.589318197905</v>
      </c>
      <c r="W756" s="1"/>
      <c r="X756" s="1"/>
      <c r="Y756" s="4">
        <v>42727</v>
      </c>
      <c r="Z756" s="4">
        <v>42735</v>
      </c>
      <c r="AA756" s="1"/>
      <c r="AB756" s="1"/>
      <c r="AC756" s="1"/>
      <c r="AD756" s="1"/>
    </row>
    <row r="757" spans="1:30" hidden="1" x14ac:dyDescent="0.25">
      <c r="A757" s="1" t="s">
        <v>1608</v>
      </c>
      <c r="B757" s="1" t="s">
        <v>394</v>
      </c>
      <c r="C757" s="1" t="s">
        <v>1147</v>
      </c>
      <c r="D757" s="4">
        <v>42711</v>
      </c>
      <c r="E757" s="6">
        <v>72499</v>
      </c>
      <c r="F757" s="6"/>
      <c r="G757" s="6">
        <v>36249.5</v>
      </c>
      <c r="H757" s="1" t="s">
        <v>1830</v>
      </c>
      <c r="I757" s="6">
        <v>44101</v>
      </c>
      <c r="J757" s="6">
        <v>0.3782246998284734</v>
      </c>
      <c r="K757" s="1" t="s">
        <v>1133</v>
      </c>
      <c r="L757" s="1" t="s">
        <v>588</v>
      </c>
      <c r="M757" s="1" t="s">
        <v>960</v>
      </c>
      <c r="N757" s="1" t="s">
        <v>113</v>
      </c>
      <c r="O757" s="6">
        <v>2</v>
      </c>
      <c r="P757" s="6">
        <v>1.7152658662092625E-5</v>
      </c>
      <c r="Q757" s="2" t="str">
        <f>HYPERLINK("https://auction.openprocurement.org/tenders/58bb48d58ae846d09078b87c2a1a728f")</f>
        <v>https://auction.openprocurement.org/tenders/58bb48d58ae846d09078b87c2a1a728f</v>
      </c>
      <c r="R757" s="5">
        <v>42723.584076119783</v>
      </c>
      <c r="S757" s="4">
        <v>42725</v>
      </c>
      <c r="T757" s="4">
        <v>42746</v>
      </c>
      <c r="U757" s="1" t="s">
        <v>1956</v>
      </c>
      <c r="V757" s="5">
        <v>42726.484914481727</v>
      </c>
      <c r="W757" s="1" t="s">
        <v>390</v>
      </c>
      <c r="X757" s="6">
        <v>116598</v>
      </c>
      <c r="Y757" s="4">
        <v>42726</v>
      </c>
      <c r="Z757" s="4">
        <v>42735</v>
      </c>
      <c r="AA757" s="5">
        <v>42735</v>
      </c>
      <c r="AB757" s="1" t="s">
        <v>1971</v>
      </c>
      <c r="AC757" s="1"/>
      <c r="AD757" s="1" t="s">
        <v>1168</v>
      </c>
    </row>
    <row r="758" spans="1:30" hidden="1" x14ac:dyDescent="0.25">
      <c r="A758" s="1" t="s">
        <v>1354</v>
      </c>
      <c r="B758" s="1" t="s">
        <v>837</v>
      </c>
      <c r="C758" s="1" t="s">
        <v>1147</v>
      </c>
      <c r="D758" s="4">
        <v>42711</v>
      </c>
      <c r="E758" s="6">
        <v>72072</v>
      </c>
      <c r="F758" s="6"/>
      <c r="G758" s="6">
        <v>115.5</v>
      </c>
      <c r="H758" s="1" t="s">
        <v>1627</v>
      </c>
      <c r="I758" s="6">
        <v>361</v>
      </c>
      <c r="J758" s="6">
        <v>4.9839161708061241E-3</v>
      </c>
      <c r="K758" s="1" t="s">
        <v>1627</v>
      </c>
      <c r="L758" s="1" t="s">
        <v>219</v>
      </c>
      <c r="M758" s="1" t="s">
        <v>890</v>
      </c>
      <c r="N758" s="1" t="s">
        <v>82</v>
      </c>
      <c r="O758" s="6">
        <v>361</v>
      </c>
      <c r="P758" s="6">
        <v>4.9839161708061241E-3</v>
      </c>
      <c r="Q758" s="2"/>
      <c r="R758" s="5">
        <v>42719.69151091441</v>
      </c>
      <c r="S758" s="4">
        <v>42723</v>
      </c>
      <c r="T758" s="4">
        <v>42746</v>
      </c>
      <c r="U758" s="1" t="s">
        <v>1956</v>
      </c>
      <c r="V758" s="5">
        <v>42725.491386563648</v>
      </c>
      <c r="W758" s="1" t="s">
        <v>511</v>
      </c>
      <c r="X758" s="6">
        <v>72072</v>
      </c>
      <c r="Y758" s="4">
        <v>42736</v>
      </c>
      <c r="Z758" s="4">
        <v>43100</v>
      </c>
      <c r="AA758" s="5">
        <v>43100</v>
      </c>
      <c r="AB758" s="1" t="s">
        <v>1971</v>
      </c>
      <c r="AC758" s="1"/>
      <c r="AD758" s="1" t="s">
        <v>1168</v>
      </c>
    </row>
    <row r="759" spans="1:30" hidden="1" x14ac:dyDescent="0.25">
      <c r="A759" s="1" t="s">
        <v>1185</v>
      </c>
      <c r="B759" s="1" t="s">
        <v>737</v>
      </c>
      <c r="C759" s="1" t="s">
        <v>1147</v>
      </c>
      <c r="D759" s="4">
        <v>42710</v>
      </c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2"/>
      <c r="R759" s="1"/>
      <c r="S759" s="1"/>
      <c r="T759" s="1"/>
      <c r="U759" s="1" t="s">
        <v>1972</v>
      </c>
      <c r="V759" s="5">
        <v>42713.717457188133</v>
      </c>
      <c r="W759" s="1"/>
      <c r="X759" s="1"/>
      <c r="Y759" s="4">
        <v>42723</v>
      </c>
      <c r="Z759" s="4">
        <v>42727</v>
      </c>
      <c r="AA759" s="1"/>
      <c r="AB759" s="1"/>
      <c r="AC759" s="1" t="s">
        <v>1795</v>
      </c>
      <c r="AD759" s="1"/>
    </row>
    <row r="760" spans="1:30" hidden="1" x14ac:dyDescent="0.25">
      <c r="A760" s="1" t="s">
        <v>1033</v>
      </c>
      <c r="B760" s="1" t="s">
        <v>567</v>
      </c>
      <c r="C760" s="1" t="s">
        <v>1147</v>
      </c>
      <c r="D760" s="4">
        <v>42710</v>
      </c>
      <c r="E760" s="6">
        <v>11000</v>
      </c>
      <c r="F760" s="6"/>
      <c r="G760" s="6">
        <v>5500</v>
      </c>
      <c r="H760" s="1" t="s">
        <v>1920</v>
      </c>
      <c r="I760" s="6">
        <v>960</v>
      </c>
      <c r="J760" s="6">
        <v>8.0267558528428096E-2</v>
      </c>
      <c r="K760" s="1" t="s">
        <v>1832</v>
      </c>
      <c r="L760" s="1" t="s">
        <v>603</v>
      </c>
      <c r="M760" s="1" t="s">
        <v>933</v>
      </c>
      <c r="N760" s="1" t="s">
        <v>44</v>
      </c>
      <c r="O760" s="6">
        <v>470</v>
      </c>
      <c r="P760" s="6">
        <v>3.9297658862876256E-2</v>
      </c>
      <c r="Q760" s="2" t="str">
        <f>HYPERLINK("https://auction.openprocurement.org/tenders/bf6c908cf2f841d08b27ba2e73eaaf83")</f>
        <v>https://auction.openprocurement.org/tenders/bf6c908cf2f841d08b27ba2e73eaaf83</v>
      </c>
      <c r="R760" s="5">
        <v>42718.549342980186</v>
      </c>
      <c r="S760" s="4">
        <v>42720</v>
      </c>
      <c r="T760" s="4">
        <v>42742</v>
      </c>
      <c r="U760" s="1" t="s">
        <v>1956</v>
      </c>
      <c r="V760" s="5">
        <v>42720.655186178425</v>
      </c>
      <c r="W760" s="1" t="s">
        <v>1952</v>
      </c>
      <c r="X760" s="6">
        <v>11490</v>
      </c>
      <c r="Y760" s="4">
        <v>42723</v>
      </c>
      <c r="Z760" s="4">
        <v>42727</v>
      </c>
      <c r="AA760" s="5">
        <v>42735</v>
      </c>
      <c r="AB760" s="1" t="s">
        <v>1971</v>
      </c>
      <c r="AC760" s="1"/>
      <c r="AD760" s="1" t="s">
        <v>1168</v>
      </c>
    </row>
    <row r="761" spans="1:30" hidden="1" x14ac:dyDescent="0.25">
      <c r="A761" s="1" t="s">
        <v>1936</v>
      </c>
      <c r="B761" s="1" t="s">
        <v>676</v>
      </c>
      <c r="C761" s="1" t="s">
        <v>1147</v>
      </c>
      <c r="D761" s="4">
        <v>42709</v>
      </c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2"/>
      <c r="R761" s="1"/>
      <c r="S761" s="1"/>
      <c r="T761" s="1"/>
      <c r="U761" s="1" t="s">
        <v>1957</v>
      </c>
      <c r="V761" s="5">
        <v>42716.707188818342</v>
      </c>
      <c r="W761" s="1"/>
      <c r="X761" s="1"/>
      <c r="Y761" s="4">
        <v>42720</v>
      </c>
      <c r="Z761" s="4">
        <v>42725</v>
      </c>
      <c r="AA761" s="1"/>
      <c r="AB761" s="1"/>
      <c r="AC761" s="1"/>
      <c r="AD761" s="1"/>
    </row>
    <row r="762" spans="1:30" hidden="1" x14ac:dyDescent="0.25">
      <c r="A762" s="1" t="s">
        <v>15</v>
      </c>
      <c r="B762" s="1" t="s">
        <v>547</v>
      </c>
      <c r="C762" s="1" t="s">
        <v>1147</v>
      </c>
      <c r="D762" s="4">
        <v>42709</v>
      </c>
      <c r="E762" s="6">
        <v>11500</v>
      </c>
      <c r="F762" s="6"/>
      <c r="G762" s="6">
        <v>718.75</v>
      </c>
      <c r="H762" s="1" t="s">
        <v>1927</v>
      </c>
      <c r="I762" s="6">
        <v>228</v>
      </c>
      <c r="J762" s="6">
        <v>1.9440654843110503E-2</v>
      </c>
      <c r="K762" s="1"/>
      <c r="L762" s="1"/>
      <c r="M762" s="1"/>
      <c r="N762" s="1"/>
      <c r="O762" s="1"/>
      <c r="P762" s="1"/>
      <c r="Q762" s="2"/>
      <c r="R762" s="5">
        <v>42716.435413424304</v>
      </c>
      <c r="S762" s="1"/>
      <c r="T762" s="1"/>
      <c r="U762" s="1" t="s">
        <v>1972</v>
      </c>
      <c r="V762" s="5">
        <v>42716.437509308111</v>
      </c>
      <c r="W762" s="1"/>
      <c r="X762" s="1"/>
      <c r="Y762" s="4">
        <v>42720</v>
      </c>
      <c r="Z762" s="4">
        <v>42725</v>
      </c>
      <c r="AA762" s="1"/>
      <c r="AB762" s="1"/>
      <c r="AC762" s="1" t="s">
        <v>1788</v>
      </c>
      <c r="AD762" s="1"/>
    </row>
    <row r="763" spans="1:30" hidden="1" x14ac:dyDescent="0.25">
      <c r="A763" s="1" t="s">
        <v>1092</v>
      </c>
      <c r="B763" s="1" t="s">
        <v>545</v>
      </c>
      <c r="C763" s="1" t="s">
        <v>1147</v>
      </c>
      <c r="D763" s="4">
        <v>42705</v>
      </c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2"/>
      <c r="R763" s="1"/>
      <c r="S763" s="1"/>
      <c r="T763" s="1"/>
      <c r="U763" s="1" t="s">
        <v>1972</v>
      </c>
      <c r="V763" s="5">
        <v>42709.495911035199</v>
      </c>
      <c r="W763" s="1"/>
      <c r="X763" s="1"/>
      <c r="Y763" s="4">
        <v>42718</v>
      </c>
      <c r="Z763" s="4">
        <v>42724</v>
      </c>
      <c r="AA763" s="1"/>
      <c r="AB763" s="1"/>
      <c r="AC763" s="1" t="s">
        <v>1790</v>
      </c>
      <c r="AD763" s="1"/>
    </row>
    <row r="764" spans="1:30" hidden="1" x14ac:dyDescent="0.25">
      <c r="A764" s="1" t="s">
        <v>3</v>
      </c>
      <c r="B764" s="1" t="s">
        <v>721</v>
      </c>
      <c r="C764" s="1" t="s">
        <v>1147</v>
      </c>
      <c r="D764" s="4">
        <v>42705</v>
      </c>
      <c r="E764" s="6">
        <v>6710</v>
      </c>
      <c r="F764" s="6"/>
      <c r="G764" s="6">
        <v>1677.5</v>
      </c>
      <c r="H764" s="1" t="s">
        <v>1314</v>
      </c>
      <c r="I764" s="6">
        <v>6600</v>
      </c>
      <c r="J764" s="6">
        <v>0.49586776859504134</v>
      </c>
      <c r="K764" s="1" t="s">
        <v>1891</v>
      </c>
      <c r="L764" s="1" t="s">
        <v>586</v>
      </c>
      <c r="M764" s="1" t="s">
        <v>945</v>
      </c>
      <c r="N764" s="1" t="s">
        <v>177</v>
      </c>
      <c r="O764" s="6">
        <v>2710</v>
      </c>
      <c r="P764" s="6">
        <v>0.20360631104432758</v>
      </c>
      <c r="Q764" s="2" t="str">
        <f>HYPERLINK("https://auction.openprocurement.org/tenders/fb3f466077ae49baa325b090cec136b3")</f>
        <v>https://auction.openprocurement.org/tenders/fb3f466077ae49baa325b090cec136b3</v>
      </c>
      <c r="R764" s="5">
        <v>42716.42168783833</v>
      </c>
      <c r="S764" s="4">
        <v>42718</v>
      </c>
      <c r="T764" s="4">
        <v>42739</v>
      </c>
      <c r="U764" s="1" t="s">
        <v>1956</v>
      </c>
      <c r="V764" s="5">
        <v>42723.596493467521</v>
      </c>
      <c r="W764" s="1" t="s">
        <v>1952</v>
      </c>
      <c r="X764" s="6">
        <v>10600</v>
      </c>
      <c r="Y764" s="4">
        <v>42717</v>
      </c>
      <c r="Z764" s="4">
        <v>42720</v>
      </c>
      <c r="AA764" s="5">
        <v>42735</v>
      </c>
      <c r="AB764" s="1" t="s">
        <v>1971</v>
      </c>
      <c r="AC764" s="1"/>
      <c r="AD764" s="1" t="s">
        <v>1168</v>
      </c>
    </row>
    <row r="765" spans="1:30" hidden="1" x14ac:dyDescent="0.25">
      <c r="A765" s="1" t="s">
        <v>4</v>
      </c>
      <c r="B765" s="1" t="s">
        <v>737</v>
      </c>
      <c r="C765" s="1" t="s">
        <v>1147</v>
      </c>
      <c r="D765" s="4">
        <v>42703</v>
      </c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2"/>
      <c r="R765" s="1"/>
      <c r="S765" s="1"/>
      <c r="T765" s="1"/>
      <c r="U765" s="1" t="s">
        <v>1957</v>
      </c>
      <c r="V765" s="5">
        <v>42710.527481527861</v>
      </c>
      <c r="W765" s="1"/>
      <c r="X765" s="1"/>
      <c r="Y765" s="4">
        <v>42716</v>
      </c>
      <c r="Z765" s="4">
        <v>42719</v>
      </c>
      <c r="AA765" s="1"/>
      <c r="AB765" s="1"/>
      <c r="AC765" s="1"/>
      <c r="AD765" s="1"/>
    </row>
    <row r="766" spans="1:30" hidden="1" x14ac:dyDescent="0.25">
      <c r="A766" s="1" t="s">
        <v>12</v>
      </c>
      <c r="B766" s="1" t="s">
        <v>837</v>
      </c>
      <c r="C766" s="1" t="s">
        <v>1147</v>
      </c>
      <c r="D766" s="4">
        <v>42703</v>
      </c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2"/>
      <c r="R766" s="1"/>
      <c r="S766" s="1"/>
      <c r="T766" s="1"/>
      <c r="U766" s="1" t="s">
        <v>1957</v>
      </c>
      <c r="V766" s="5">
        <v>42711.419388650407</v>
      </c>
      <c r="W766" s="1"/>
      <c r="X766" s="1"/>
      <c r="Y766" s="4">
        <v>43070</v>
      </c>
      <c r="Z766" s="4">
        <v>43100</v>
      </c>
      <c r="AA766" s="1"/>
      <c r="AB766" s="1"/>
      <c r="AC766" s="1"/>
      <c r="AD766" s="1"/>
    </row>
    <row r="767" spans="1:30" hidden="1" x14ac:dyDescent="0.25">
      <c r="A767" s="1" t="s">
        <v>1530</v>
      </c>
      <c r="B767" s="1" t="s">
        <v>547</v>
      </c>
      <c r="C767" s="1" t="s">
        <v>1147</v>
      </c>
      <c r="D767" s="4">
        <v>42702</v>
      </c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2"/>
      <c r="R767" s="1"/>
      <c r="S767" s="1"/>
      <c r="T767" s="1"/>
      <c r="U767" s="1" t="s">
        <v>1957</v>
      </c>
      <c r="V767" s="5">
        <v>42709.644008631942</v>
      </c>
      <c r="W767" s="1"/>
      <c r="X767" s="1"/>
      <c r="Y767" s="4">
        <v>42711</v>
      </c>
      <c r="Z767" s="4">
        <v>42718</v>
      </c>
      <c r="AA767" s="1"/>
      <c r="AB767" s="1"/>
      <c r="AC767" s="1"/>
      <c r="AD767" s="1"/>
    </row>
    <row r="768" spans="1:30" hidden="1" x14ac:dyDescent="0.25">
      <c r="A768" s="1" t="s">
        <v>1936</v>
      </c>
      <c r="B768" s="1" t="s">
        <v>676</v>
      </c>
      <c r="C768" s="1" t="s">
        <v>1147</v>
      </c>
      <c r="D768" s="4">
        <v>42699</v>
      </c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2"/>
      <c r="R768" s="1"/>
      <c r="S768" s="1"/>
      <c r="T768" s="1"/>
      <c r="U768" s="1" t="s">
        <v>1957</v>
      </c>
      <c r="V768" s="5">
        <v>42709.683184549198</v>
      </c>
      <c r="W768" s="1"/>
      <c r="X768" s="1"/>
      <c r="Y768" s="4">
        <v>42716</v>
      </c>
      <c r="Z768" s="4">
        <v>42719</v>
      </c>
      <c r="AA768" s="1"/>
      <c r="AB768" s="1"/>
      <c r="AC768" s="1"/>
      <c r="AD768" s="1"/>
    </row>
    <row r="769" spans="1:30" hidden="1" x14ac:dyDescent="0.25">
      <c r="A769" s="1" t="s">
        <v>1033</v>
      </c>
      <c r="B769" s="1" t="s">
        <v>567</v>
      </c>
      <c r="C769" s="1" t="s">
        <v>1147</v>
      </c>
      <c r="D769" s="4">
        <v>42699</v>
      </c>
      <c r="E769" s="6">
        <v>7960</v>
      </c>
      <c r="F769" s="6"/>
      <c r="G769" s="6">
        <v>3980</v>
      </c>
      <c r="H769" s="1" t="s">
        <v>1871</v>
      </c>
      <c r="I769" s="6">
        <v>1840</v>
      </c>
      <c r="J769" s="6">
        <v>0.18775510204081633</v>
      </c>
      <c r="K769" s="1"/>
      <c r="L769" s="1"/>
      <c r="M769" s="1"/>
      <c r="N769" s="1"/>
      <c r="O769" s="1"/>
      <c r="P769" s="1"/>
      <c r="Q769" s="2"/>
      <c r="R769" s="5">
        <v>42710.571879195893</v>
      </c>
      <c r="S769" s="1"/>
      <c r="T769" s="1"/>
      <c r="U769" s="1" t="s">
        <v>1957</v>
      </c>
      <c r="V769" s="5">
        <v>42712.575237916528</v>
      </c>
      <c r="W769" s="1"/>
      <c r="X769" s="1"/>
      <c r="Y769" s="4">
        <v>42716</v>
      </c>
      <c r="Z769" s="4">
        <v>42719</v>
      </c>
      <c r="AA769" s="1"/>
      <c r="AB769" s="1"/>
      <c r="AC769" s="1"/>
      <c r="AD769" s="1"/>
    </row>
    <row r="770" spans="1:30" hidden="1" x14ac:dyDescent="0.25">
      <c r="A770" s="1" t="s">
        <v>14</v>
      </c>
      <c r="B770" s="1" t="s">
        <v>852</v>
      </c>
      <c r="C770" s="1" t="s">
        <v>1147</v>
      </c>
      <c r="D770" s="4">
        <v>42699</v>
      </c>
      <c r="E770" s="6">
        <v>1</v>
      </c>
      <c r="F770" s="6"/>
      <c r="G770" s="6">
        <v>0.16666666666666666</v>
      </c>
      <c r="H770" s="1" t="s">
        <v>1234</v>
      </c>
      <c r="I770" s="6">
        <v>198945</v>
      </c>
      <c r="J770" s="6">
        <v>0.99999497351039979</v>
      </c>
      <c r="K770" s="1" t="s">
        <v>1656</v>
      </c>
      <c r="L770" s="1" t="s">
        <v>636</v>
      </c>
      <c r="M770" s="1" t="s">
        <v>994</v>
      </c>
      <c r="N770" s="1" t="s">
        <v>125</v>
      </c>
      <c r="O770" s="6">
        <v>947</v>
      </c>
      <c r="P770" s="6">
        <v>4.760085651382787E-3</v>
      </c>
      <c r="Q770" s="2" t="str">
        <f>HYPERLINK("https://auction.openprocurement.org/tenders/89d9675777d4413d9c19dcdad81c3d84")</f>
        <v>https://auction.openprocurement.org/tenders/89d9675777d4413d9c19dcdad81c3d84</v>
      </c>
      <c r="R770" s="5">
        <v>42712.479601854684</v>
      </c>
      <c r="S770" s="4">
        <v>42716</v>
      </c>
      <c r="T770" s="4">
        <v>42734</v>
      </c>
      <c r="U770" s="1" t="s">
        <v>1956</v>
      </c>
      <c r="V770" s="5">
        <v>42716.682959251782</v>
      </c>
      <c r="W770" s="1" t="s">
        <v>1952</v>
      </c>
      <c r="X770" s="6">
        <v>197999</v>
      </c>
      <c r="Y770" s="4">
        <v>42723</v>
      </c>
      <c r="Z770" s="4">
        <v>42754</v>
      </c>
      <c r="AA770" s="5">
        <v>42755</v>
      </c>
      <c r="AB770" s="1" t="s">
        <v>1971</v>
      </c>
      <c r="AC770" s="1"/>
      <c r="AD770" s="1" t="s">
        <v>1168</v>
      </c>
    </row>
    <row r="771" spans="1:30" hidden="1" x14ac:dyDescent="0.25">
      <c r="A771" s="1" t="s">
        <v>1491</v>
      </c>
      <c r="B771" s="1" t="s">
        <v>818</v>
      </c>
      <c r="C771" s="1" t="s">
        <v>1147</v>
      </c>
      <c r="D771" s="4">
        <v>42698</v>
      </c>
      <c r="E771" s="6">
        <v>99828</v>
      </c>
      <c r="F771" s="6"/>
      <c r="G771" s="6">
        <v>49914</v>
      </c>
      <c r="H771" s="1" t="s">
        <v>1715</v>
      </c>
      <c r="I771" s="6">
        <v>12972</v>
      </c>
      <c r="J771" s="6">
        <v>0.115</v>
      </c>
      <c r="K771" s="1" t="s">
        <v>1715</v>
      </c>
      <c r="L771" s="1" t="s">
        <v>623</v>
      </c>
      <c r="M771" s="1" t="s">
        <v>906</v>
      </c>
      <c r="N771" s="1" t="s">
        <v>52</v>
      </c>
      <c r="O771" s="6">
        <v>12972</v>
      </c>
      <c r="P771" s="6">
        <v>0.115</v>
      </c>
      <c r="Q771" s="2" t="str">
        <f>HYPERLINK("https://auction.openprocurement.org/tenders/b18431c2ba4d4f0aa6ae7a04dc4f725d")</f>
        <v>https://auction.openprocurement.org/tenders/b18431c2ba4d4f0aa6ae7a04dc4f725d</v>
      </c>
      <c r="R771" s="5">
        <v>42706.670941948389</v>
      </c>
      <c r="S771" s="4">
        <v>42710</v>
      </c>
      <c r="T771" s="4">
        <v>42733</v>
      </c>
      <c r="U771" s="1" t="s">
        <v>1956</v>
      </c>
      <c r="V771" s="5">
        <v>42711.397654290507</v>
      </c>
      <c r="W771" s="1" t="s">
        <v>1980</v>
      </c>
      <c r="X771" s="6">
        <v>99828</v>
      </c>
      <c r="Y771" s="4">
        <v>42720</v>
      </c>
      <c r="Z771" s="4">
        <v>42766</v>
      </c>
      <c r="AA771" s="5">
        <v>42766</v>
      </c>
      <c r="AB771" s="1" t="s">
        <v>1971</v>
      </c>
      <c r="AC771" s="1"/>
      <c r="AD771" s="1" t="s">
        <v>1168</v>
      </c>
    </row>
    <row r="772" spans="1:30" hidden="1" x14ac:dyDescent="0.25">
      <c r="A772" s="1" t="s">
        <v>1264</v>
      </c>
      <c r="B772" s="1" t="s">
        <v>761</v>
      </c>
      <c r="C772" s="1" t="s">
        <v>1147</v>
      </c>
      <c r="D772" s="4">
        <v>42696</v>
      </c>
      <c r="E772" s="6">
        <v>45996</v>
      </c>
      <c r="F772" s="6"/>
      <c r="G772" s="6">
        <v>11499</v>
      </c>
      <c r="H772" s="1" t="s">
        <v>1315</v>
      </c>
      <c r="I772" s="6">
        <v>2</v>
      </c>
      <c r="J772" s="6">
        <v>4.3480151310926561E-5</v>
      </c>
      <c r="K772" s="1" t="s">
        <v>1315</v>
      </c>
      <c r="L772" s="1" t="s">
        <v>618</v>
      </c>
      <c r="M772" s="1" t="s">
        <v>981</v>
      </c>
      <c r="N772" s="1" t="s">
        <v>185</v>
      </c>
      <c r="O772" s="6">
        <v>2</v>
      </c>
      <c r="P772" s="6">
        <v>4.3480151310926561E-5</v>
      </c>
      <c r="Q772" s="2"/>
      <c r="R772" s="5">
        <v>42704.652200751319</v>
      </c>
      <c r="S772" s="4">
        <v>42706</v>
      </c>
      <c r="T772" s="4">
        <v>42729</v>
      </c>
      <c r="U772" s="1" t="s">
        <v>1956</v>
      </c>
      <c r="V772" s="5">
        <v>42713.61685420802</v>
      </c>
      <c r="W772" s="1" t="s">
        <v>1952</v>
      </c>
      <c r="X772" s="6">
        <v>45996</v>
      </c>
      <c r="Y772" s="4">
        <v>42720</v>
      </c>
      <c r="Z772" s="4">
        <v>42724</v>
      </c>
      <c r="AA772" s="5">
        <v>42755</v>
      </c>
      <c r="AB772" s="1" t="s">
        <v>1971</v>
      </c>
      <c r="AC772" s="1"/>
      <c r="AD772" s="1" t="s">
        <v>1168</v>
      </c>
    </row>
    <row r="773" spans="1:30" hidden="1" x14ac:dyDescent="0.25">
      <c r="A773" s="1" t="s">
        <v>1296</v>
      </c>
      <c r="B773" s="1" t="s">
        <v>610</v>
      </c>
      <c r="C773" s="1" t="s">
        <v>1147</v>
      </c>
      <c r="D773" s="4">
        <v>42696</v>
      </c>
      <c r="E773" s="6">
        <v>40260</v>
      </c>
      <c r="F773" s="6"/>
      <c r="G773" s="6">
        <v>20130</v>
      </c>
      <c r="H773" s="1" t="s">
        <v>1315</v>
      </c>
      <c r="I773" s="6">
        <v>2</v>
      </c>
      <c r="J773" s="6">
        <v>4.9674631165863591E-5</v>
      </c>
      <c r="K773" s="1" t="s">
        <v>1315</v>
      </c>
      <c r="L773" s="1" t="s">
        <v>618</v>
      </c>
      <c r="M773" s="1" t="s">
        <v>981</v>
      </c>
      <c r="N773" s="1" t="s">
        <v>185</v>
      </c>
      <c r="O773" s="6">
        <v>2</v>
      </c>
      <c r="P773" s="6">
        <v>4.9674631165863591E-5</v>
      </c>
      <c r="Q773" s="2"/>
      <c r="R773" s="5">
        <v>42704.652591695332</v>
      </c>
      <c r="S773" s="4">
        <v>42706</v>
      </c>
      <c r="T773" s="4">
        <v>42729</v>
      </c>
      <c r="U773" s="1" t="s">
        <v>1956</v>
      </c>
      <c r="V773" s="5">
        <v>42713.617116818423</v>
      </c>
      <c r="W773" s="1" t="s">
        <v>1952</v>
      </c>
      <c r="X773" s="6">
        <v>40260</v>
      </c>
      <c r="Y773" s="4">
        <v>42712</v>
      </c>
      <c r="Z773" s="4">
        <v>42718</v>
      </c>
      <c r="AA773" s="5">
        <v>42735</v>
      </c>
      <c r="AB773" s="1" t="s">
        <v>1971</v>
      </c>
      <c r="AC773" s="1"/>
      <c r="AD773" s="1" t="s">
        <v>1168</v>
      </c>
    </row>
    <row r="774" spans="1:30" hidden="1" x14ac:dyDescent="0.25">
      <c r="A774" s="1" t="s">
        <v>7</v>
      </c>
      <c r="B774" s="1" t="s">
        <v>669</v>
      </c>
      <c r="C774" s="1" t="s">
        <v>1147</v>
      </c>
      <c r="D774" s="4">
        <v>42696</v>
      </c>
      <c r="E774" s="6">
        <v>177936</v>
      </c>
      <c r="F774" s="6"/>
      <c r="G774" s="6">
        <v>88968</v>
      </c>
      <c r="H774" s="1" t="s">
        <v>1315</v>
      </c>
      <c r="I774" s="6">
        <v>4</v>
      </c>
      <c r="J774" s="6">
        <v>2.2479487467685737E-5</v>
      </c>
      <c r="K774" s="1" t="s">
        <v>1315</v>
      </c>
      <c r="L774" s="1" t="s">
        <v>618</v>
      </c>
      <c r="M774" s="1" t="s">
        <v>981</v>
      </c>
      <c r="N774" s="1" t="s">
        <v>185</v>
      </c>
      <c r="O774" s="6">
        <v>4</v>
      </c>
      <c r="P774" s="6">
        <v>2.2479487467685737E-5</v>
      </c>
      <c r="Q774" s="2"/>
      <c r="R774" s="5">
        <v>42704.652426154018</v>
      </c>
      <c r="S774" s="4">
        <v>42706</v>
      </c>
      <c r="T774" s="4">
        <v>42729</v>
      </c>
      <c r="U774" s="1" t="s">
        <v>1956</v>
      </c>
      <c r="V774" s="5">
        <v>42713.61731108855</v>
      </c>
      <c r="W774" s="1" t="s">
        <v>1952</v>
      </c>
      <c r="X774" s="6">
        <v>177936</v>
      </c>
      <c r="Y774" s="4">
        <v>42712</v>
      </c>
      <c r="Z774" s="4">
        <v>42718</v>
      </c>
      <c r="AA774" s="5">
        <v>42735</v>
      </c>
      <c r="AB774" s="1" t="s">
        <v>1971</v>
      </c>
      <c r="AC774" s="1"/>
      <c r="AD774" s="1" t="s">
        <v>1168</v>
      </c>
    </row>
    <row r="775" spans="1:30" hidden="1" x14ac:dyDescent="0.25">
      <c r="A775" s="1" t="s">
        <v>1277</v>
      </c>
      <c r="B775" s="1" t="s">
        <v>638</v>
      </c>
      <c r="C775" s="1" t="s">
        <v>1147</v>
      </c>
      <c r="D775" s="4">
        <v>42696</v>
      </c>
      <c r="E775" s="6">
        <v>27499</v>
      </c>
      <c r="F775" s="6"/>
      <c r="G775" s="6">
        <v>91.663333333333327</v>
      </c>
      <c r="H775" s="1" t="s">
        <v>857</v>
      </c>
      <c r="I775" s="6">
        <v>1301</v>
      </c>
      <c r="J775" s="6">
        <v>4.5173611111111109E-2</v>
      </c>
      <c r="K775" s="1" t="s">
        <v>1315</v>
      </c>
      <c r="L775" s="1" t="s">
        <v>618</v>
      </c>
      <c r="M775" s="1" t="s">
        <v>981</v>
      </c>
      <c r="N775" s="1" t="s">
        <v>185</v>
      </c>
      <c r="O775" s="6">
        <v>1300</v>
      </c>
      <c r="P775" s="6">
        <v>4.5138888888888888E-2</v>
      </c>
      <c r="Q775" s="2" t="str">
        <f>HYPERLINK("https://auction.openprocurement.org/tenders/9a6da94b318844d08bcbd012a28eb684")</f>
        <v>https://auction.openprocurement.org/tenders/9a6da94b318844d08bcbd012a28eb684</v>
      </c>
      <c r="R775" s="5">
        <v>42706.65734722359</v>
      </c>
      <c r="S775" s="4">
        <v>42710</v>
      </c>
      <c r="T775" s="4">
        <v>42729</v>
      </c>
      <c r="U775" s="1" t="s">
        <v>1956</v>
      </c>
      <c r="V775" s="5">
        <v>42713.617706032164</v>
      </c>
      <c r="W775" s="1" t="s">
        <v>1952</v>
      </c>
      <c r="X775" s="6">
        <v>27500</v>
      </c>
      <c r="Y775" s="4">
        <v>42712</v>
      </c>
      <c r="Z775" s="4">
        <v>42718</v>
      </c>
      <c r="AA775" s="5">
        <v>42735</v>
      </c>
      <c r="AB775" s="1" t="s">
        <v>1971</v>
      </c>
      <c r="AC775" s="1"/>
      <c r="AD775" s="1" t="s">
        <v>1168</v>
      </c>
    </row>
    <row r="776" spans="1:30" hidden="1" x14ac:dyDescent="0.25">
      <c r="A776" s="1" t="s">
        <v>1300</v>
      </c>
      <c r="B776" s="1" t="s">
        <v>549</v>
      </c>
      <c r="C776" s="1" t="s">
        <v>1147</v>
      </c>
      <c r="D776" s="4">
        <v>42696</v>
      </c>
      <c r="E776" s="6">
        <v>195830</v>
      </c>
      <c r="F776" s="6"/>
      <c r="G776" s="6">
        <v>97915</v>
      </c>
      <c r="H776" s="1" t="s">
        <v>1315</v>
      </c>
      <c r="I776" s="1"/>
      <c r="J776" s="1"/>
      <c r="K776" s="1" t="s">
        <v>1315</v>
      </c>
      <c r="L776" s="1" t="s">
        <v>618</v>
      </c>
      <c r="M776" s="1" t="s">
        <v>981</v>
      </c>
      <c r="N776" s="1" t="s">
        <v>185</v>
      </c>
      <c r="O776" s="1"/>
      <c r="P776" s="1"/>
      <c r="Q776" s="2"/>
      <c r="R776" s="5">
        <v>42704.652961523614</v>
      </c>
      <c r="S776" s="4">
        <v>42706</v>
      </c>
      <c r="T776" s="4">
        <v>42729</v>
      </c>
      <c r="U776" s="1" t="s">
        <v>1956</v>
      </c>
      <c r="V776" s="5">
        <v>42713.617990621664</v>
      </c>
      <c r="W776" s="1" t="s">
        <v>1952</v>
      </c>
      <c r="X776" s="6">
        <v>195830</v>
      </c>
      <c r="Y776" s="4">
        <v>42712</v>
      </c>
      <c r="Z776" s="4">
        <v>42718</v>
      </c>
      <c r="AA776" s="5">
        <v>42735</v>
      </c>
      <c r="AB776" s="1" t="s">
        <v>1971</v>
      </c>
      <c r="AC776" s="1"/>
      <c r="AD776" s="1" t="s">
        <v>1168</v>
      </c>
    </row>
    <row r="777" spans="1:30" hidden="1" x14ac:dyDescent="0.25">
      <c r="A777" s="1" t="s">
        <v>1592</v>
      </c>
      <c r="B777" s="1" t="s">
        <v>810</v>
      </c>
      <c r="C777" s="1" t="s">
        <v>1147</v>
      </c>
      <c r="D777" s="4">
        <v>42695</v>
      </c>
      <c r="E777" s="6">
        <v>174119.17</v>
      </c>
      <c r="F777" s="6"/>
      <c r="G777" s="6">
        <v>34823.834000000003</v>
      </c>
      <c r="H777" s="1" t="s">
        <v>1662</v>
      </c>
      <c r="I777" s="6">
        <v>7980.8299999999872</v>
      </c>
      <c r="J777" s="6">
        <v>4.3826633717737436E-2</v>
      </c>
      <c r="K777" s="1" t="s">
        <v>1662</v>
      </c>
      <c r="L777" s="1" t="s">
        <v>626</v>
      </c>
      <c r="M777" s="1" t="s">
        <v>962</v>
      </c>
      <c r="N777" s="1" t="s">
        <v>30</v>
      </c>
      <c r="O777" s="6">
        <v>7980.8299999999872</v>
      </c>
      <c r="P777" s="6">
        <v>4.3826633717737436E-2</v>
      </c>
      <c r="Q777" s="2"/>
      <c r="R777" s="5">
        <v>42703.688508770465</v>
      </c>
      <c r="S777" s="4">
        <v>42705</v>
      </c>
      <c r="T777" s="4">
        <v>42728</v>
      </c>
      <c r="U777" s="1" t="s">
        <v>1956</v>
      </c>
      <c r="V777" s="5">
        <v>42710.708391570159</v>
      </c>
      <c r="W777" s="1" t="s">
        <v>1952</v>
      </c>
      <c r="X777" s="6">
        <v>174119.17</v>
      </c>
      <c r="Y777" s="4">
        <v>42709</v>
      </c>
      <c r="Z777" s="4">
        <v>42729</v>
      </c>
      <c r="AA777" s="5">
        <v>42735</v>
      </c>
      <c r="AB777" s="1" t="s">
        <v>1971</v>
      </c>
      <c r="AC777" s="1"/>
      <c r="AD777" s="1" t="s">
        <v>1168</v>
      </c>
    </row>
    <row r="778" spans="1:30" hidden="1" x14ac:dyDescent="0.25">
      <c r="A778" s="1" t="s">
        <v>1122</v>
      </c>
      <c r="B778" s="1" t="s">
        <v>528</v>
      </c>
      <c r="C778" s="1" t="s">
        <v>1147</v>
      </c>
      <c r="D778" s="4">
        <v>42689</v>
      </c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2"/>
      <c r="R778" s="1"/>
      <c r="S778" s="1"/>
      <c r="T778" s="1"/>
      <c r="U778" s="1" t="s">
        <v>1957</v>
      </c>
      <c r="V778" s="5">
        <v>42696.698029484018</v>
      </c>
      <c r="W778" s="1"/>
      <c r="X778" s="1"/>
      <c r="Y778" s="4">
        <v>42704</v>
      </c>
      <c r="Z778" s="4">
        <v>42705</v>
      </c>
      <c r="AA778" s="1"/>
      <c r="AB778" s="1"/>
      <c r="AC778" s="1"/>
      <c r="AD778" s="1"/>
    </row>
    <row r="779" spans="1:30" hidden="1" x14ac:dyDescent="0.25">
      <c r="A779" s="1" t="s">
        <v>1126</v>
      </c>
      <c r="B779" s="1" t="s">
        <v>810</v>
      </c>
      <c r="C779" s="1" t="s">
        <v>1147</v>
      </c>
      <c r="D779" s="4">
        <v>42688</v>
      </c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2"/>
      <c r="R779" s="1"/>
      <c r="S779" s="1"/>
      <c r="T779" s="1"/>
      <c r="U779" s="1" t="s">
        <v>1972</v>
      </c>
      <c r="V779" s="5">
        <v>42692.400242946562</v>
      </c>
      <c r="W779" s="1"/>
      <c r="X779" s="1"/>
      <c r="Y779" s="4">
        <v>42694</v>
      </c>
      <c r="Z779" s="4">
        <v>42724</v>
      </c>
      <c r="AA779" s="1"/>
      <c r="AB779" s="1"/>
      <c r="AC779" s="1" t="s">
        <v>6</v>
      </c>
      <c r="AD779" s="1"/>
    </row>
    <row r="780" spans="1:30" hidden="1" x14ac:dyDescent="0.25">
      <c r="A780" s="1" t="s">
        <v>1125</v>
      </c>
      <c r="B780" s="1" t="s">
        <v>759</v>
      </c>
      <c r="C780" s="1" t="s">
        <v>1147</v>
      </c>
      <c r="D780" s="4">
        <v>42685</v>
      </c>
      <c r="E780" s="6">
        <v>23212.799999999999</v>
      </c>
      <c r="F780" s="6"/>
      <c r="G780" s="6">
        <v>2901.6</v>
      </c>
      <c r="H780" s="1" t="s">
        <v>1745</v>
      </c>
      <c r="I780" s="6">
        <v>2387.2000000000007</v>
      </c>
      <c r="J780" s="6">
        <v>9.3250000000000027E-2</v>
      </c>
      <c r="K780" s="1" t="s">
        <v>1745</v>
      </c>
      <c r="L780" s="1" t="s">
        <v>633</v>
      </c>
      <c r="M780" s="1" t="s">
        <v>958</v>
      </c>
      <c r="N780" s="1" t="s">
        <v>91</v>
      </c>
      <c r="O780" s="6">
        <v>2387.2000000000007</v>
      </c>
      <c r="P780" s="6">
        <v>9.3250000000000027E-2</v>
      </c>
      <c r="Q780" s="2" t="str">
        <f>HYPERLINK("https://auction.openprocurement.org/tenders/c402fe10e1de4f9b87cd48c9d14f3cae")</f>
        <v>https://auction.openprocurement.org/tenders/c402fe10e1de4f9b87cd48c9d14f3cae</v>
      </c>
      <c r="R780" s="5">
        <v>42695.709498486714</v>
      </c>
      <c r="S780" s="4">
        <v>42697</v>
      </c>
      <c r="T780" s="4">
        <v>42719</v>
      </c>
      <c r="U780" s="1" t="s">
        <v>1956</v>
      </c>
      <c r="V780" s="5">
        <v>42699.419631474157</v>
      </c>
      <c r="W780" s="1" t="s">
        <v>452</v>
      </c>
      <c r="X780" s="6">
        <v>23212.799999999999</v>
      </c>
      <c r="Y780" s="4">
        <v>42703</v>
      </c>
      <c r="Z780" s="4">
        <v>42706</v>
      </c>
      <c r="AA780" s="5">
        <v>42735</v>
      </c>
      <c r="AB780" s="1" t="s">
        <v>1971</v>
      </c>
      <c r="AC780" s="1"/>
      <c r="AD780" s="1" t="s">
        <v>1168</v>
      </c>
    </row>
    <row r="781" spans="1:30" hidden="1" x14ac:dyDescent="0.25">
      <c r="A781" s="1" t="s">
        <v>1118</v>
      </c>
      <c r="B781" s="1" t="s">
        <v>677</v>
      </c>
      <c r="C781" s="1" t="s">
        <v>1147</v>
      </c>
      <c r="D781" s="4">
        <v>42682</v>
      </c>
      <c r="E781" s="6">
        <v>9990</v>
      </c>
      <c r="F781" s="6"/>
      <c r="G781" s="6">
        <v>199.8</v>
      </c>
      <c r="H781" s="1" t="s">
        <v>1831</v>
      </c>
      <c r="I781" s="6">
        <v>10</v>
      </c>
      <c r="J781" s="6">
        <v>1E-3</v>
      </c>
      <c r="K781" s="1" t="s">
        <v>1831</v>
      </c>
      <c r="L781" s="1" t="s">
        <v>579</v>
      </c>
      <c r="M781" s="1" t="s">
        <v>934</v>
      </c>
      <c r="N781" s="1" t="s">
        <v>40</v>
      </c>
      <c r="O781" s="6">
        <v>10</v>
      </c>
      <c r="P781" s="6">
        <v>1E-3</v>
      </c>
      <c r="Q781" s="2"/>
      <c r="R781" s="5">
        <v>42689.670513305842</v>
      </c>
      <c r="S781" s="4">
        <v>42691</v>
      </c>
      <c r="T781" s="4">
        <v>42714</v>
      </c>
      <c r="U781" s="1" t="s">
        <v>1955</v>
      </c>
      <c r="V781" s="5">
        <v>42695.412246049724</v>
      </c>
      <c r="W781" s="1" t="s">
        <v>1952</v>
      </c>
      <c r="X781" s="6">
        <v>9990</v>
      </c>
      <c r="Y781" s="4">
        <v>42702</v>
      </c>
      <c r="Z781" s="4">
        <v>42706</v>
      </c>
      <c r="AA781" s="5">
        <v>42735</v>
      </c>
      <c r="AB781" s="1" t="s">
        <v>1971</v>
      </c>
      <c r="AC781" s="1"/>
      <c r="AD781" s="1" t="s">
        <v>1168</v>
      </c>
    </row>
    <row r="782" spans="1:30" hidden="1" x14ac:dyDescent="0.25">
      <c r="A782" s="1" t="s">
        <v>1118</v>
      </c>
      <c r="B782" s="1" t="s">
        <v>677</v>
      </c>
      <c r="C782" s="1" t="s">
        <v>1147</v>
      </c>
      <c r="D782" s="4">
        <v>42682</v>
      </c>
      <c r="E782" s="6">
        <v>2750</v>
      </c>
      <c r="F782" s="6"/>
      <c r="G782" s="6">
        <v>275</v>
      </c>
      <c r="H782" s="1" t="s">
        <v>1831</v>
      </c>
      <c r="I782" s="1"/>
      <c r="J782" s="1"/>
      <c r="K782" s="1" t="s">
        <v>1831</v>
      </c>
      <c r="L782" s="1" t="s">
        <v>579</v>
      </c>
      <c r="M782" s="1" t="s">
        <v>934</v>
      </c>
      <c r="N782" s="1" t="s">
        <v>40</v>
      </c>
      <c r="O782" s="1"/>
      <c r="P782" s="1"/>
      <c r="Q782" s="2"/>
      <c r="R782" s="5">
        <v>42689.670513305842</v>
      </c>
      <c r="S782" s="4">
        <v>42691</v>
      </c>
      <c r="T782" s="4">
        <v>42714</v>
      </c>
      <c r="U782" s="1" t="s">
        <v>1955</v>
      </c>
      <c r="V782" s="5">
        <v>42695.412461961321</v>
      </c>
      <c r="W782" s="1" t="s">
        <v>1952</v>
      </c>
      <c r="X782" s="6">
        <v>2750</v>
      </c>
      <c r="Y782" s="4">
        <v>42702</v>
      </c>
      <c r="Z782" s="4">
        <v>42706</v>
      </c>
      <c r="AA782" s="5">
        <v>42735</v>
      </c>
      <c r="AB782" s="1" t="s">
        <v>1971</v>
      </c>
      <c r="AC782" s="1"/>
      <c r="AD782" s="1" t="s">
        <v>1168</v>
      </c>
    </row>
    <row r="783" spans="1:30" hidden="1" x14ac:dyDescent="0.25">
      <c r="A783" s="1" t="s">
        <v>1115</v>
      </c>
      <c r="B783" s="1" t="s">
        <v>663</v>
      </c>
      <c r="C783" s="1" t="s">
        <v>1147</v>
      </c>
      <c r="D783" s="4">
        <v>42682</v>
      </c>
      <c r="E783" s="6">
        <v>3750</v>
      </c>
      <c r="F783" s="6"/>
      <c r="G783" s="6">
        <v>1250</v>
      </c>
      <c r="H783" s="1" t="s">
        <v>1106</v>
      </c>
      <c r="I783" s="1"/>
      <c r="J783" s="1"/>
      <c r="K783" s="1" t="s">
        <v>1106</v>
      </c>
      <c r="L783" s="1" t="s">
        <v>703</v>
      </c>
      <c r="M783" s="1" t="s">
        <v>902</v>
      </c>
      <c r="N783" s="1" t="s">
        <v>156</v>
      </c>
      <c r="O783" s="1"/>
      <c r="P783" s="1"/>
      <c r="Q783" s="2"/>
      <c r="R783" s="5">
        <v>42690.596430891492</v>
      </c>
      <c r="S783" s="4">
        <v>42692</v>
      </c>
      <c r="T783" s="4">
        <v>42714</v>
      </c>
      <c r="U783" s="1" t="s">
        <v>1956</v>
      </c>
      <c r="V783" s="5">
        <v>42697.613802763946</v>
      </c>
      <c r="W783" s="1" t="s">
        <v>1952</v>
      </c>
      <c r="X783" s="6">
        <v>3750</v>
      </c>
      <c r="Y783" s="4">
        <v>42702</v>
      </c>
      <c r="Z783" s="4">
        <v>42706</v>
      </c>
      <c r="AA783" s="5">
        <v>42735</v>
      </c>
      <c r="AB783" s="1" t="s">
        <v>1971</v>
      </c>
      <c r="AC783" s="1"/>
      <c r="AD783" s="1" t="s">
        <v>1168</v>
      </c>
    </row>
    <row r="784" spans="1:30" hidden="1" x14ac:dyDescent="0.25">
      <c r="A784" s="1" t="s">
        <v>1128</v>
      </c>
      <c r="B784" s="1" t="s">
        <v>836</v>
      </c>
      <c r="C784" s="1" t="s">
        <v>1147</v>
      </c>
      <c r="D784" s="4">
        <v>42681</v>
      </c>
      <c r="E784" s="6">
        <v>189200</v>
      </c>
      <c r="F784" s="6"/>
      <c r="G784" s="6">
        <v>47300</v>
      </c>
      <c r="H784" s="1" t="s">
        <v>1662</v>
      </c>
      <c r="I784" s="6">
        <v>1000</v>
      </c>
      <c r="J784" s="6">
        <v>5.2576235541535229E-3</v>
      </c>
      <c r="K784" s="1" t="s">
        <v>1662</v>
      </c>
      <c r="L784" s="1" t="s">
        <v>626</v>
      </c>
      <c r="M784" s="1" t="s">
        <v>962</v>
      </c>
      <c r="N784" s="1" t="s">
        <v>30</v>
      </c>
      <c r="O784" s="6">
        <v>1000</v>
      </c>
      <c r="P784" s="6">
        <v>5.2576235541535229E-3</v>
      </c>
      <c r="Q784" s="2"/>
      <c r="R784" s="5">
        <v>42689.496892664574</v>
      </c>
      <c r="S784" s="4">
        <v>42691</v>
      </c>
      <c r="T784" s="4">
        <v>42714</v>
      </c>
      <c r="U784" s="1" t="s">
        <v>1956</v>
      </c>
      <c r="V784" s="5">
        <v>42692.682085450775</v>
      </c>
      <c r="W784" s="1" t="s">
        <v>1952</v>
      </c>
      <c r="X784" s="6">
        <v>189200</v>
      </c>
      <c r="Y784" s="4">
        <v>42695</v>
      </c>
      <c r="Z784" s="4">
        <v>42724</v>
      </c>
      <c r="AA784" s="5">
        <v>42735</v>
      </c>
      <c r="AB784" s="1" t="s">
        <v>1971</v>
      </c>
      <c r="AC784" s="1"/>
      <c r="AD784" s="1" t="s">
        <v>1168</v>
      </c>
    </row>
    <row r="785" spans="1:30" hidden="1" x14ac:dyDescent="0.25">
      <c r="A785" s="1" t="s">
        <v>1121</v>
      </c>
      <c r="B785" s="1" t="s">
        <v>528</v>
      </c>
      <c r="C785" s="1" t="s">
        <v>1147</v>
      </c>
      <c r="D785" s="4">
        <v>42681</v>
      </c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2"/>
      <c r="R785" s="1"/>
      <c r="S785" s="1"/>
      <c r="T785" s="1"/>
      <c r="U785" s="1" t="s">
        <v>1957</v>
      </c>
      <c r="V785" s="5">
        <v>42689.67786759205</v>
      </c>
      <c r="W785" s="1"/>
      <c r="X785" s="1"/>
      <c r="Y785" s="4">
        <v>42695</v>
      </c>
      <c r="Z785" s="4">
        <v>42706</v>
      </c>
      <c r="AA785" s="1"/>
      <c r="AB785" s="1"/>
      <c r="AC785" s="1"/>
      <c r="AD785" s="1"/>
    </row>
    <row r="786" spans="1:30" hidden="1" x14ac:dyDescent="0.25">
      <c r="A786" s="1" t="s">
        <v>1124</v>
      </c>
      <c r="B786" s="1" t="s">
        <v>749</v>
      </c>
      <c r="C786" s="1" t="s">
        <v>1147</v>
      </c>
      <c r="D786" s="4">
        <v>42681</v>
      </c>
      <c r="E786" s="6">
        <v>1470000</v>
      </c>
      <c r="F786" s="6"/>
      <c r="G786" s="6">
        <v>1470000</v>
      </c>
      <c r="H786" s="1" t="s">
        <v>1685</v>
      </c>
      <c r="I786" s="6">
        <v>20000</v>
      </c>
      <c r="J786" s="6">
        <v>1.3422818791946308E-2</v>
      </c>
      <c r="K786" s="1" t="s">
        <v>1685</v>
      </c>
      <c r="L786" s="1" t="s">
        <v>671</v>
      </c>
      <c r="M786" s="1" t="s">
        <v>979</v>
      </c>
      <c r="N786" s="1" t="s">
        <v>101</v>
      </c>
      <c r="O786" s="6">
        <v>20000</v>
      </c>
      <c r="P786" s="6">
        <v>1.3422818791946308E-2</v>
      </c>
      <c r="Q786" s="2"/>
      <c r="R786" s="5">
        <v>42688.730869696294</v>
      </c>
      <c r="S786" s="4">
        <v>42690</v>
      </c>
      <c r="T786" s="4">
        <v>42714</v>
      </c>
      <c r="U786" s="1" t="s">
        <v>1956</v>
      </c>
      <c r="V786" s="5">
        <v>42697.593633316654</v>
      </c>
      <c r="W786" s="1" t="s">
        <v>347</v>
      </c>
      <c r="X786" s="6">
        <v>1470000</v>
      </c>
      <c r="Y786" s="4">
        <v>42856</v>
      </c>
      <c r="Z786" s="4">
        <v>42886</v>
      </c>
      <c r="AA786" s="5">
        <v>42886</v>
      </c>
      <c r="AB786" s="1" t="s">
        <v>1971</v>
      </c>
      <c r="AC786" s="1"/>
      <c r="AD786" s="1" t="s">
        <v>1168</v>
      </c>
    </row>
    <row r="787" spans="1:30" hidden="1" x14ac:dyDescent="0.25">
      <c r="A787" s="1" t="s">
        <v>1127</v>
      </c>
      <c r="B787" s="1" t="s">
        <v>835</v>
      </c>
      <c r="C787" s="1" t="s">
        <v>1147</v>
      </c>
      <c r="D787" s="4">
        <v>42678</v>
      </c>
      <c r="E787" s="6">
        <v>194100</v>
      </c>
      <c r="F787" s="6"/>
      <c r="G787" s="6">
        <v>38820</v>
      </c>
      <c r="H787" s="1" t="s">
        <v>1662</v>
      </c>
      <c r="I787" s="6">
        <v>2200</v>
      </c>
      <c r="J787" s="6">
        <v>1.1207335710646969E-2</v>
      </c>
      <c r="K787" s="1" t="s">
        <v>1662</v>
      </c>
      <c r="L787" s="1" t="s">
        <v>626</v>
      </c>
      <c r="M787" s="1" t="s">
        <v>962</v>
      </c>
      <c r="N787" s="1" t="s">
        <v>30</v>
      </c>
      <c r="O787" s="6">
        <v>2200</v>
      </c>
      <c r="P787" s="6">
        <v>1.1207335710646969E-2</v>
      </c>
      <c r="Q787" s="2"/>
      <c r="R787" s="5">
        <v>42688.428813559884</v>
      </c>
      <c r="S787" s="4">
        <v>42690</v>
      </c>
      <c r="T787" s="4">
        <v>42713</v>
      </c>
      <c r="U787" s="1" t="s">
        <v>1956</v>
      </c>
      <c r="V787" s="5">
        <v>42692.652300678667</v>
      </c>
      <c r="W787" s="1" t="s">
        <v>385</v>
      </c>
      <c r="X787" s="6">
        <v>194100</v>
      </c>
      <c r="Y787" s="4">
        <v>42689</v>
      </c>
      <c r="Z787" s="4">
        <v>42724</v>
      </c>
      <c r="AA787" s="5">
        <v>42735</v>
      </c>
      <c r="AB787" s="1" t="s">
        <v>1971</v>
      </c>
      <c r="AC787" s="1"/>
      <c r="AD787" s="1" t="s">
        <v>1168</v>
      </c>
    </row>
    <row r="788" spans="1:30" hidden="1" x14ac:dyDescent="0.25">
      <c r="A788" s="1" t="s">
        <v>1123</v>
      </c>
      <c r="B788" s="1" t="s">
        <v>669</v>
      </c>
      <c r="C788" s="1" t="s">
        <v>1147</v>
      </c>
      <c r="D788" s="4">
        <v>42677</v>
      </c>
      <c r="E788" s="6">
        <v>2754</v>
      </c>
      <c r="F788" s="6"/>
      <c r="G788" s="6">
        <v>1377</v>
      </c>
      <c r="H788" s="1" t="s">
        <v>1522</v>
      </c>
      <c r="I788" s="6">
        <v>1246</v>
      </c>
      <c r="J788" s="6">
        <v>0.3115</v>
      </c>
      <c r="K788" s="1" t="s">
        <v>1522</v>
      </c>
      <c r="L788" s="1" t="s">
        <v>580</v>
      </c>
      <c r="M788" s="1" t="s">
        <v>896</v>
      </c>
      <c r="N788" s="1" t="s">
        <v>153</v>
      </c>
      <c r="O788" s="6">
        <v>1246</v>
      </c>
      <c r="P788" s="6">
        <v>0.3115</v>
      </c>
      <c r="Q788" s="2" t="str">
        <f>HYPERLINK("https://auction.openprocurement.org/tenders/f72772d31e2343309841aafbbafa4128")</f>
        <v>https://auction.openprocurement.org/tenders/f72772d31e2343309841aafbbafa4128</v>
      </c>
      <c r="R788" s="5">
        <v>42685.600649790671</v>
      </c>
      <c r="S788" s="4">
        <v>42689</v>
      </c>
      <c r="T788" s="4">
        <v>42712</v>
      </c>
      <c r="U788" s="1" t="s">
        <v>1956</v>
      </c>
      <c r="V788" s="5">
        <v>42695.660557203322</v>
      </c>
      <c r="W788" s="1" t="s">
        <v>1952</v>
      </c>
      <c r="X788" s="6">
        <v>2754</v>
      </c>
      <c r="Y788" s="4">
        <v>42697</v>
      </c>
      <c r="Z788" s="4">
        <v>42704</v>
      </c>
      <c r="AA788" s="5">
        <v>42735</v>
      </c>
      <c r="AB788" s="1" t="s">
        <v>1971</v>
      </c>
      <c r="AC788" s="1"/>
      <c r="AD788" s="1" t="s">
        <v>1168</v>
      </c>
    </row>
    <row r="789" spans="1:30" hidden="1" x14ac:dyDescent="0.25">
      <c r="A789" s="1" t="s">
        <v>1119</v>
      </c>
      <c r="B789" s="1" t="s">
        <v>677</v>
      </c>
      <c r="C789" s="1" t="s">
        <v>1147</v>
      </c>
      <c r="D789" s="4">
        <v>42674</v>
      </c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2"/>
      <c r="R789" s="1"/>
      <c r="S789" s="1"/>
      <c r="T789" s="1"/>
      <c r="U789" s="1" t="s">
        <v>1957</v>
      </c>
      <c r="V789" s="5">
        <v>42682.508010789228</v>
      </c>
      <c r="W789" s="1"/>
      <c r="X789" s="1"/>
      <c r="Y789" s="4">
        <v>42696</v>
      </c>
      <c r="Z789" s="4">
        <v>42704</v>
      </c>
      <c r="AA789" s="1"/>
      <c r="AB789" s="1"/>
      <c r="AC789" s="1"/>
      <c r="AD789" s="1"/>
    </row>
    <row r="790" spans="1:30" hidden="1" x14ac:dyDescent="0.25">
      <c r="A790" s="1" t="s">
        <v>1120</v>
      </c>
      <c r="B790" s="1" t="s">
        <v>677</v>
      </c>
      <c r="C790" s="1" t="s">
        <v>1147</v>
      </c>
      <c r="D790" s="4">
        <v>42674</v>
      </c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2"/>
      <c r="R790" s="1"/>
      <c r="S790" s="1"/>
      <c r="T790" s="1"/>
      <c r="U790" s="1" t="s">
        <v>1957</v>
      </c>
      <c r="V790" s="5">
        <v>42682.508010789228</v>
      </c>
      <c r="W790" s="1"/>
      <c r="X790" s="1"/>
      <c r="Y790" s="4">
        <v>42696</v>
      </c>
      <c r="Z790" s="4">
        <v>42704</v>
      </c>
      <c r="AA790" s="1"/>
      <c r="AB790" s="1"/>
      <c r="AC790" s="1"/>
      <c r="AD790" s="1"/>
    </row>
    <row r="791" spans="1:30" hidden="1" x14ac:dyDescent="0.25">
      <c r="A791" s="1" t="s">
        <v>1122</v>
      </c>
      <c r="B791" s="1" t="s">
        <v>528</v>
      </c>
      <c r="C791" s="1" t="s">
        <v>1147</v>
      </c>
      <c r="D791" s="4">
        <v>42671</v>
      </c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2"/>
      <c r="R791" s="1"/>
      <c r="S791" s="1"/>
      <c r="T791" s="1"/>
      <c r="U791" s="1" t="s">
        <v>1957</v>
      </c>
      <c r="V791" s="5">
        <v>42681.583473219238</v>
      </c>
      <c r="W791" s="1"/>
      <c r="X791" s="1"/>
      <c r="Y791" s="4">
        <v>42695</v>
      </c>
      <c r="Z791" s="4">
        <v>42704</v>
      </c>
      <c r="AA791" s="1"/>
      <c r="AB791" s="1"/>
      <c r="AC791" s="1"/>
      <c r="AD791" s="1"/>
    </row>
    <row r="792" spans="1:30" hidden="1" x14ac:dyDescent="0.25">
      <c r="A792" s="1" t="s">
        <v>1116</v>
      </c>
      <c r="B792" s="1" t="s">
        <v>656</v>
      </c>
      <c r="C792" s="1" t="s">
        <v>1147</v>
      </c>
      <c r="D792" s="4">
        <v>42671</v>
      </c>
      <c r="E792" s="6">
        <v>12777</v>
      </c>
      <c r="F792" s="6"/>
      <c r="G792" s="6">
        <v>12777</v>
      </c>
      <c r="H792" s="1" t="s">
        <v>1855</v>
      </c>
      <c r="I792" s="6">
        <v>23</v>
      </c>
      <c r="J792" s="6">
        <v>1.7968750000000001E-3</v>
      </c>
      <c r="K792" s="1" t="s">
        <v>1855</v>
      </c>
      <c r="L792" s="1" t="s">
        <v>446</v>
      </c>
      <c r="M792" s="1" t="s">
        <v>918</v>
      </c>
      <c r="N792" s="1" t="s">
        <v>145</v>
      </c>
      <c r="O792" s="6">
        <v>23</v>
      </c>
      <c r="P792" s="6">
        <v>1.7968750000000001E-3</v>
      </c>
      <c r="Q792" s="2"/>
      <c r="R792" s="5">
        <v>42681.716551189071</v>
      </c>
      <c r="S792" s="4">
        <v>42683</v>
      </c>
      <c r="T792" s="4">
        <v>42705</v>
      </c>
      <c r="U792" s="1" t="s">
        <v>1955</v>
      </c>
      <c r="V792" s="5">
        <v>42688.529342147376</v>
      </c>
      <c r="W792" s="1" t="s">
        <v>1952</v>
      </c>
      <c r="X792" s="6">
        <v>12777</v>
      </c>
      <c r="Y792" s="4">
        <v>42695</v>
      </c>
      <c r="Z792" s="4">
        <v>42704</v>
      </c>
      <c r="AA792" s="5">
        <v>42735</v>
      </c>
      <c r="AB792" s="1" t="s">
        <v>1971</v>
      </c>
      <c r="AC792" s="1"/>
      <c r="AD792" s="1" t="s">
        <v>1168</v>
      </c>
    </row>
    <row r="793" spans="1:30" hidden="1" x14ac:dyDescent="0.25">
      <c r="A793" s="1" t="s">
        <v>1117</v>
      </c>
      <c r="B793" s="1" t="s">
        <v>657</v>
      </c>
      <c r="C793" s="1" t="s">
        <v>1147</v>
      </c>
      <c r="D793" s="4">
        <v>42671</v>
      </c>
      <c r="E793" s="6">
        <v>2999</v>
      </c>
      <c r="F793" s="6"/>
      <c r="G793" s="6">
        <v>2999</v>
      </c>
      <c r="H793" s="1" t="s">
        <v>1855</v>
      </c>
      <c r="I793" s="6">
        <v>51</v>
      </c>
      <c r="J793" s="6">
        <v>1.6721311475409836E-2</v>
      </c>
      <c r="K793" s="1" t="s">
        <v>1855</v>
      </c>
      <c r="L793" s="1" t="s">
        <v>446</v>
      </c>
      <c r="M793" s="1" t="s">
        <v>918</v>
      </c>
      <c r="N793" s="1" t="s">
        <v>145</v>
      </c>
      <c r="O793" s="6">
        <v>51</v>
      </c>
      <c r="P793" s="6">
        <v>1.6721311475409836E-2</v>
      </c>
      <c r="Q793" s="2"/>
      <c r="R793" s="5">
        <v>42681.716551189071</v>
      </c>
      <c r="S793" s="4">
        <v>42683</v>
      </c>
      <c r="T793" s="4">
        <v>42705</v>
      </c>
      <c r="U793" s="1" t="s">
        <v>1955</v>
      </c>
      <c r="V793" s="5">
        <v>42688.529524398284</v>
      </c>
      <c r="W793" s="1" t="s">
        <v>1952</v>
      </c>
      <c r="X793" s="6">
        <v>2999</v>
      </c>
      <c r="Y793" s="4">
        <v>42695</v>
      </c>
      <c r="Z793" s="4">
        <v>42704</v>
      </c>
      <c r="AA793" s="5">
        <v>42735</v>
      </c>
      <c r="AB793" s="1" t="s">
        <v>1971</v>
      </c>
      <c r="AC793" s="1"/>
      <c r="AD793" s="1" t="s">
        <v>1168</v>
      </c>
    </row>
    <row r="794" spans="1:30" hidden="1" x14ac:dyDescent="0.25">
      <c r="A794" s="1" t="s">
        <v>1071</v>
      </c>
      <c r="B794" s="1" t="s">
        <v>663</v>
      </c>
      <c r="C794" s="1" t="s">
        <v>1147</v>
      </c>
      <c r="D794" s="4">
        <v>42670</v>
      </c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2"/>
      <c r="R794" s="1"/>
      <c r="S794" s="1"/>
      <c r="T794" s="1"/>
      <c r="U794" s="1" t="s">
        <v>1957</v>
      </c>
      <c r="V794" s="5">
        <v>42681.62619009801</v>
      </c>
      <c r="W794" s="1"/>
      <c r="X794" s="1"/>
      <c r="Y794" s="4">
        <v>42688</v>
      </c>
      <c r="Z794" s="4">
        <v>42704</v>
      </c>
      <c r="AA794" s="1"/>
      <c r="AB794" s="1"/>
      <c r="AC794" s="1"/>
      <c r="AD794" s="1"/>
    </row>
    <row r="795" spans="1:30" hidden="1" x14ac:dyDescent="0.25">
      <c r="A795" s="1" t="s">
        <v>1351</v>
      </c>
      <c r="B795" s="1" t="s">
        <v>531</v>
      </c>
      <c r="C795" s="1" t="s">
        <v>1147</v>
      </c>
      <c r="D795" s="4">
        <v>42669</v>
      </c>
      <c r="E795" s="6">
        <v>29214</v>
      </c>
      <c r="F795" s="6"/>
      <c r="G795" s="6">
        <v>9738</v>
      </c>
      <c r="H795" s="1" t="s">
        <v>1841</v>
      </c>
      <c r="I795" s="6">
        <v>2586</v>
      </c>
      <c r="J795" s="6">
        <v>8.1320754716981136E-2</v>
      </c>
      <c r="K795" s="1" t="s">
        <v>1841</v>
      </c>
      <c r="L795" s="1" t="s">
        <v>510</v>
      </c>
      <c r="M795" s="1" t="s">
        <v>900</v>
      </c>
      <c r="N795" s="1" t="s">
        <v>305</v>
      </c>
      <c r="O795" s="6">
        <v>2586</v>
      </c>
      <c r="P795" s="6">
        <v>8.1320754716981136E-2</v>
      </c>
      <c r="Q795" s="2" t="str">
        <f>HYPERLINK("https://auction.openprocurement.org/tenders/f47376857fe6407ead9075ba0a5e0faa_3d2d400489394d3698e4f81fb78373b9")</f>
        <v>https://auction.openprocurement.org/tenders/f47376857fe6407ead9075ba0a5e0faa_3d2d400489394d3698e4f81fb78373b9</v>
      </c>
      <c r="R795" s="5">
        <v>42682.511810239215</v>
      </c>
      <c r="S795" s="4">
        <v>42684</v>
      </c>
      <c r="T795" s="4">
        <v>42705</v>
      </c>
      <c r="U795" s="1" t="s">
        <v>1955</v>
      </c>
      <c r="V795" s="5">
        <v>42684.585831359109</v>
      </c>
      <c r="W795" s="1" t="s">
        <v>1952</v>
      </c>
      <c r="X795" s="6">
        <v>29214</v>
      </c>
      <c r="Y795" s="4">
        <v>42684</v>
      </c>
      <c r="Z795" s="4">
        <v>42704</v>
      </c>
      <c r="AA795" s="5">
        <v>42735</v>
      </c>
      <c r="AB795" s="1" t="s">
        <v>1971</v>
      </c>
      <c r="AC795" s="1"/>
      <c r="AD795" s="1" t="s">
        <v>1168</v>
      </c>
    </row>
    <row r="796" spans="1:30" hidden="1" x14ac:dyDescent="0.25">
      <c r="A796" s="1" t="s">
        <v>1352</v>
      </c>
      <c r="B796" s="1" t="s">
        <v>531</v>
      </c>
      <c r="C796" s="1" t="s">
        <v>1147</v>
      </c>
      <c r="D796" s="4">
        <v>42669</v>
      </c>
      <c r="E796" s="6">
        <v>12305</v>
      </c>
      <c r="F796" s="6"/>
      <c r="G796" s="6">
        <v>12305</v>
      </c>
      <c r="H796" s="1" t="s">
        <v>1855</v>
      </c>
      <c r="I796" s="6">
        <v>695</v>
      </c>
      <c r="J796" s="6">
        <v>5.3461538461538463E-2</v>
      </c>
      <c r="K796" s="1" t="s">
        <v>1855</v>
      </c>
      <c r="L796" s="1" t="s">
        <v>446</v>
      </c>
      <c r="M796" s="1" t="s">
        <v>918</v>
      </c>
      <c r="N796" s="1" t="s">
        <v>145</v>
      </c>
      <c r="O796" s="6">
        <v>695</v>
      </c>
      <c r="P796" s="6">
        <v>5.3461538461538463E-2</v>
      </c>
      <c r="Q796" s="2" t="str">
        <f>HYPERLINK("https://auction.openprocurement.org/tenders/f47376857fe6407ead9075ba0a5e0faa_0be480ec434e4b009fea76f4e8e21135")</f>
        <v>https://auction.openprocurement.org/tenders/f47376857fe6407ead9075ba0a5e0faa_0be480ec434e4b009fea76f4e8e21135</v>
      </c>
      <c r="R796" s="5">
        <v>42682.511810239215</v>
      </c>
      <c r="S796" s="4">
        <v>42684</v>
      </c>
      <c r="T796" s="4">
        <v>42705</v>
      </c>
      <c r="U796" s="1" t="s">
        <v>1955</v>
      </c>
      <c r="V796" s="5">
        <v>42688.519989048946</v>
      </c>
      <c r="W796" s="1" t="s">
        <v>1952</v>
      </c>
      <c r="X796" s="6">
        <v>12305</v>
      </c>
      <c r="Y796" s="4">
        <v>42684</v>
      </c>
      <c r="Z796" s="4">
        <v>42704</v>
      </c>
      <c r="AA796" s="5">
        <v>42735</v>
      </c>
      <c r="AB796" s="1" t="s">
        <v>1971</v>
      </c>
      <c r="AC796" s="1"/>
      <c r="AD796" s="1" t="s">
        <v>1168</v>
      </c>
    </row>
    <row r="797" spans="1:30" hidden="1" x14ac:dyDescent="0.25">
      <c r="A797" s="1" t="s">
        <v>11</v>
      </c>
      <c r="B797" s="1" t="s">
        <v>530</v>
      </c>
      <c r="C797" s="1" t="s">
        <v>1147</v>
      </c>
      <c r="D797" s="4">
        <v>42669</v>
      </c>
      <c r="E797" s="6">
        <v>48000</v>
      </c>
      <c r="F797" s="6"/>
      <c r="G797" s="6">
        <v>12000</v>
      </c>
      <c r="H797" s="1" t="s">
        <v>1700</v>
      </c>
      <c r="I797" s="6">
        <v>4000</v>
      </c>
      <c r="J797" s="6">
        <v>7.6923076923076927E-2</v>
      </c>
      <c r="K797" s="1" t="s">
        <v>1855</v>
      </c>
      <c r="L797" s="1" t="s">
        <v>446</v>
      </c>
      <c r="M797" s="1" t="s">
        <v>918</v>
      </c>
      <c r="N797" s="1" t="s">
        <v>145</v>
      </c>
      <c r="O797" s="6">
        <v>520</v>
      </c>
      <c r="P797" s="6">
        <v>0.01</v>
      </c>
      <c r="Q797" s="2" t="str">
        <f>HYPERLINK("https://auction.openprocurement.org/tenders/f83b15a67b654912a60f7944a618199d_0346283a025e45fb9cafcbd511275e11")</f>
        <v>https://auction.openprocurement.org/tenders/f83b15a67b654912a60f7944a618199d_0346283a025e45fb9cafcbd511275e11</v>
      </c>
      <c r="R797" s="5">
        <v>42682.601595544678</v>
      </c>
      <c r="S797" s="4">
        <v>42684</v>
      </c>
      <c r="T797" s="4">
        <v>42705</v>
      </c>
      <c r="U797" s="1" t="s">
        <v>1955</v>
      </c>
      <c r="V797" s="5">
        <v>42688.525817002788</v>
      </c>
      <c r="W797" s="1" t="s">
        <v>1952</v>
      </c>
      <c r="X797" s="6">
        <v>51480</v>
      </c>
      <c r="Y797" s="4">
        <v>42684</v>
      </c>
      <c r="Z797" s="4">
        <v>42704</v>
      </c>
      <c r="AA797" s="5">
        <v>42735</v>
      </c>
      <c r="AB797" s="1" t="s">
        <v>1971</v>
      </c>
      <c r="AC797" s="1"/>
      <c r="AD797" s="1" t="s">
        <v>1168</v>
      </c>
    </row>
    <row r="798" spans="1:30" hidden="1" x14ac:dyDescent="0.25">
      <c r="A798" s="1" t="s">
        <v>8</v>
      </c>
      <c r="B798" s="1" t="s">
        <v>533</v>
      </c>
      <c r="C798" s="1" t="s">
        <v>1147</v>
      </c>
      <c r="D798" s="4">
        <v>42669</v>
      </c>
      <c r="E798" s="6">
        <v>1300</v>
      </c>
      <c r="F798" s="6"/>
      <c r="G798" s="6">
        <v>325</v>
      </c>
      <c r="H798" s="1" t="s">
        <v>1855</v>
      </c>
      <c r="I798" s="6">
        <v>100</v>
      </c>
      <c r="J798" s="6">
        <v>7.1428571428571425E-2</v>
      </c>
      <c r="K798" s="1" t="s">
        <v>1855</v>
      </c>
      <c r="L798" s="1" t="s">
        <v>446</v>
      </c>
      <c r="M798" s="1" t="s">
        <v>918</v>
      </c>
      <c r="N798" s="1" t="s">
        <v>145</v>
      </c>
      <c r="O798" s="6">
        <v>100</v>
      </c>
      <c r="P798" s="6">
        <v>7.1428571428571425E-2</v>
      </c>
      <c r="Q798" s="2" t="str">
        <f>HYPERLINK("https://auction.openprocurement.org/tenders/f83b15a67b654912a60f7944a618199d_8f1da50fde0e4135a029eacca94c09c2")</f>
        <v>https://auction.openprocurement.org/tenders/f83b15a67b654912a60f7944a618199d_8f1da50fde0e4135a029eacca94c09c2</v>
      </c>
      <c r="R798" s="5">
        <v>42682.601595544678</v>
      </c>
      <c r="S798" s="4">
        <v>42684</v>
      </c>
      <c r="T798" s="4">
        <v>42705</v>
      </c>
      <c r="U798" s="1" t="s">
        <v>1955</v>
      </c>
      <c r="V798" s="5">
        <v>42688.526112259293</v>
      </c>
      <c r="W798" s="1" t="s">
        <v>1952</v>
      </c>
      <c r="X798" s="6">
        <v>1300</v>
      </c>
      <c r="Y798" s="4">
        <v>42684</v>
      </c>
      <c r="Z798" s="4">
        <v>42704</v>
      </c>
      <c r="AA798" s="5">
        <v>42735</v>
      </c>
      <c r="AB798" s="1" t="s">
        <v>1971</v>
      </c>
      <c r="AC798" s="1"/>
      <c r="AD798" s="1" t="s">
        <v>1168</v>
      </c>
    </row>
    <row r="799" spans="1:30" hidden="1" x14ac:dyDescent="0.25">
      <c r="A799" s="1" t="s">
        <v>9</v>
      </c>
      <c r="B799" s="1" t="s">
        <v>533</v>
      </c>
      <c r="C799" s="1" t="s">
        <v>1147</v>
      </c>
      <c r="D799" s="4">
        <v>42669</v>
      </c>
      <c r="E799" s="6">
        <v>4100</v>
      </c>
      <c r="F799" s="6"/>
      <c r="G799" s="6">
        <v>4100</v>
      </c>
      <c r="H799" s="1" t="s">
        <v>1855</v>
      </c>
      <c r="I799" s="6">
        <v>200</v>
      </c>
      <c r="J799" s="6">
        <v>4.6511627906976744E-2</v>
      </c>
      <c r="K799" s="1" t="s">
        <v>1855</v>
      </c>
      <c r="L799" s="1" t="s">
        <v>446</v>
      </c>
      <c r="M799" s="1" t="s">
        <v>918</v>
      </c>
      <c r="N799" s="1" t="s">
        <v>145</v>
      </c>
      <c r="O799" s="6">
        <v>200</v>
      </c>
      <c r="P799" s="6">
        <v>4.6511627906976744E-2</v>
      </c>
      <c r="Q799" s="2"/>
      <c r="R799" s="5">
        <v>42682.601595544678</v>
      </c>
      <c r="S799" s="4">
        <v>42684</v>
      </c>
      <c r="T799" s="4">
        <v>42705</v>
      </c>
      <c r="U799" s="1" t="s">
        <v>1955</v>
      </c>
      <c r="V799" s="5">
        <v>42688.526310346744</v>
      </c>
      <c r="W799" s="1" t="s">
        <v>1952</v>
      </c>
      <c r="X799" s="6">
        <v>4100</v>
      </c>
      <c r="Y799" s="4">
        <v>42684</v>
      </c>
      <c r="Z799" s="4">
        <v>42704</v>
      </c>
      <c r="AA799" s="5">
        <v>42735</v>
      </c>
      <c r="AB799" s="1" t="s">
        <v>1971</v>
      </c>
      <c r="AC799" s="1"/>
      <c r="AD799" s="1" t="s">
        <v>1168</v>
      </c>
    </row>
    <row r="800" spans="1:30" hidden="1" x14ac:dyDescent="0.25">
      <c r="A800" s="1" t="s">
        <v>10</v>
      </c>
      <c r="B800" s="1" t="s">
        <v>533</v>
      </c>
      <c r="C800" s="1" t="s">
        <v>1147</v>
      </c>
      <c r="D800" s="4">
        <v>42669</v>
      </c>
      <c r="E800" s="6">
        <v>5100</v>
      </c>
      <c r="F800" s="6"/>
      <c r="G800" s="6">
        <v>1275</v>
      </c>
      <c r="H800" s="1" t="s">
        <v>1855</v>
      </c>
      <c r="I800" s="6">
        <v>100</v>
      </c>
      <c r="J800" s="6">
        <v>1.9230769230769232E-2</v>
      </c>
      <c r="K800" s="1" t="s">
        <v>1855</v>
      </c>
      <c r="L800" s="1" t="s">
        <v>446</v>
      </c>
      <c r="M800" s="1" t="s">
        <v>918</v>
      </c>
      <c r="N800" s="1" t="s">
        <v>145</v>
      </c>
      <c r="O800" s="6">
        <v>100</v>
      </c>
      <c r="P800" s="6">
        <v>1.9230769230769232E-2</v>
      </c>
      <c r="Q800" s="2"/>
      <c r="R800" s="5">
        <v>42682.601595544678</v>
      </c>
      <c r="S800" s="4">
        <v>42684</v>
      </c>
      <c r="T800" s="4">
        <v>42705</v>
      </c>
      <c r="U800" s="1" t="s">
        <v>1955</v>
      </c>
      <c r="V800" s="5">
        <v>42688.526480591201</v>
      </c>
      <c r="W800" s="1" t="s">
        <v>1952</v>
      </c>
      <c r="X800" s="6">
        <v>5100</v>
      </c>
      <c r="Y800" s="4">
        <v>42684</v>
      </c>
      <c r="Z800" s="4">
        <v>42704</v>
      </c>
      <c r="AA800" s="5">
        <v>42735</v>
      </c>
      <c r="AB800" s="1" t="s">
        <v>1971</v>
      </c>
      <c r="AC800" s="1"/>
      <c r="AD800" s="1" t="s">
        <v>1168</v>
      </c>
    </row>
    <row r="801" spans="1:30" hidden="1" x14ac:dyDescent="0.25">
      <c r="A801" s="1" t="s">
        <v>1058</v>
      </c>
      <c r="B801" s="1" t="s">
        <v>749</v>
      </c>
      <c r="C801" s="1" t="s">
        <v>1147</v>
      </c>
      <c r="D801" s="4">
        <v>42669</v>
      </c>
      <c r="E801" s="6">
        <v>1176000</v>
      </c>
      <c r="F801" s="6"/>
      <c r="G801" s="6">
        <v>1176000</v>
      </c>
      <c r="H801" s="1" t="s">
        <v>1685</v>
      </c>
      <c r="I801" s="6">
        <v>314000</v>
      </c>
      <c r="J801" s="6">
        <v>0.21073825503355706</v>
      </c>
      <c r="K801" s="1"/>
      <c r="L801" s="1"/>
      <c r="M801" s="1"/>
      <c r="N801" s="1"/>
      <c r="O801" s="1"/>
      <c r="P801" s="1"/>
      <c r="Q801" s="2"/>
      <c r="R801" s="5">
        <v>42681.48564564182</v>
      </c>
      <c r="S801" s="1"/>
      <c r="T801" s="1"/>
      <c r="U801" s="1" t="s">
        <v>1957</v>
      </c>
      <c r="V801" s="5">
        <v>42683.488661005627</v>
      </c>
      <c r="W801" s="1"/>
      <c r="X801" s="1"/>
      <c r="Y801" s="4">
        <v>42856</v>
      </c>
      <c r="Z801" s="4">
        <v>42867</v>
      </c>
      <c r="AA801" s="1"/>
      <c r="AB801" s="1"/>
      <c r="AC801" s="1"/>
      <c r="AD801" s="1"/>
    </row>
    <row r="802" spans="1:30" hidden="1" x14ac:dyDescent="0.25">
      <c r="A802" s="1" t="s">
        <v>1058</v>
      </c>
      <c r="B802" s="1" t="s">
        <v>749</v>
      </c>
      <c r="C802" s="1" t="s">
        <v>1147</v>
      </c>
      <c r="D802" s="4">
        <v>42660</v>
      </c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2"/>
      <c r="R802" s="1"/>
      <c r="S802" s="1"/>
      <c r="T802" s="1"/>
      <c r="U802" s="1" t="s">
        <v>1957</v>
      </c>
      <c r="V802" s="5">
        <v>42669.586082784561</v>
      </c>
      <c r="W802" s="1"/>
      <c r="X802" s="1"/>
      <c r="Y802" s="4">
        <v>42699</v>
      </c>
      <c r="Z802" s="4">
        <v>42867</v>
      </c>
      <c r="AA802" s="1"/>
      <c r="AB802" s="1"/>
      <c r="AC802" s="1"/>
      <c r="AD802" s="1"/>
    </row>
    <row r="803" spans="1:30" hidden="1" x14ac:dyDescent="0.25">
      <c r="A803" s="1" t="s">
        <v>1331</v>
      </c>
      <c r="B803" s="1" t="s">
        <v>529</v>
      </c>
      <c r="C803" s="1" t="s">
        <v>1147</v>
      </c>
      <c r="D803" s="4">
        <v>42649</v>
      </c>
      <c r="E803" s="6">
        <v>3005.4</v>
      </c>
      <c r="F803" s="6"/>
      <c r="G803" s="6">
        <v>60.108000000000004</v>
      </c>
      <c r="H803" s="1" t="s">
        <v>1632</v>
      </c>
      <c r="I803" s="6">
        <v>744.59999999999991</v>
      </c>
      <c r="J803" s="6">
        <v>0.19855999999999999</v>
      </c>
      <c r="K803" s="1" t="s">
        <v>1632</v>
      </c>
      <c r="L803" s="1" t="s">
        <v>673</v>
      </c>
      <c r="M803" s="1" t="s">
        <v>959</v>
      </c>
      <c r="N803" s="1" t="s">
        <v>107</v>
      </c>
      <c r="O803" s="6">
        <v>744.59999999999991</v>
      </c>
      <c r="P803" s="6">
        <v>0.19855999999999999</v>
      </c>
      <c r="Q803" s="2" t="str">
        <f>HYPERLINK("https://auction.openprocurement.org/tenders/edcfa196bb8344d9ad9115c0d2b32df3")</f>
        <v>https://auction.openprocurement.org/tenders/edcfa196bb8344d9ad9115c0d2b32df3</v>
      </c>
      <c r="R803" s="5">
        <v>42667.691369688029</v>
      </c>
      <c r="S803" s="4">
        <v>42669</v>
      </c>
      <c r="T803" s="4">
        <v>42684</v>
      </c>
      <c r="U803" s="1" t="s">
        <v>1956</v>
      </c>
      <c r="V803" s="5">
        <v>42669.699793308493</v>
      </c>
      <c r="W803" s="1" t="s">
        <v>1952</v>
      </c>
      <c r="X803" s="6">
        <v>3005.4</v>
      </c>
      <c r="Y803" s="4">
        <v>42663</v>
      </c>
      <c r="Z803" s="4">
        <v>42669</v>
      </c>
      <c r="AA803" s="5">
        <v>42674</v>
      </c>
      <c r="AB803" s="1" t="s">
        <v>1971</v>
      </c>
      <c r="AC803" s="1"/>
      <c r="AD803" s="1" t="s">
        <v>1168</v>
      </c>
    </row>
    <row r="804" spans="1:30" hidden="1" x14ac:dyDescent="0.25">
      <c r="A804" s="1" t="s">
        <v>1288</v>
      </c>
      <c r="B804" s="1" t="s">
        <v>683</v>
      </c>
      <c r="C804" s="1" t="s">
        <v>1147</v>
      </c>
      <c r="D804" s="4">
        <v>42647</v>
      </c>
      <c r="E804" s="6">
        <v>5700</v>
      </c>
      <c r="F804" s="6"/>
      <c r="G804" s="6">
        <v>1425</v>
      </c>
      <c r="H804" s="1" t="s">
        <v>1947</v>
      </c>
      <c r="I804" s="6">
        <v>3300</v>
      </c>
      <c r="J804" s="6">
        <v>0.36666666666666664</v>
      </c>
      <c r="K804" s="1" t="s">
        <v>1947</v>
      </c>
      <c r="L804" s="1" t="s">
        <v>652</v>
      </c>
      <c r="M804" s="1" t="s">
        <v>869</v>
      </c>
      <c r="N804" s="1" t="s">
        <v>166</v>
      </c>
      <c r="O804" s="6">
        <v>3300</v>
      </c>
      <c r="P804" s="6">
        <v>0.36666666666666664</v>
      </c>
      <c r="Q804" s="2"/>
      <c r="R804" s="5">
        <v>42656.498504712639</v>
      </c>
      <c r="S804" s="4">
        <v>42661</v>
      </c>
      <c r="T804" s="4">
        <v>42680</v>
      </c>
      <c r="U804" s="1" t="s">
        <v>1955</v>
      </c>
      <c r="V804" s="5">
        <v>42661.591653204261</v>
      </c>
      <c r="W804" s="1" t="s">
        <v>1952</v>
      </c>
      <c r="X804" s="6">
        <v>5700</v>
      </c>
      <c r="Y804" s="4">
        <v>42660</v>
      </c>
      <c r="Z804" s="4">
        <v>42667</v>
      </c>
      <c r="AA804" s="5">
        <v>42674</v>
      </c>
      <c r="AB804" s="1" t="s">
        <v>1971</v>
      </c>
      <c r="AC804" s="1"/>
      <c r="AD804" s="1" t="s">
        <v>1168</v>
      </c>
    </row>
    <row r="805" spans="1:30" hidden="1" x14ac:dyDescent="0.25">
      <c r="A805" s="1" t="s">
        <v>1287</v>
      </c>
      <c r="B805" s="1" t="s">
        <v>683</v>
      </c>
      <c r="C805" s="1" t="s">
        <v>1147</v>
      </c>
      <c r="D805" s="4">
        <v>42647</v>
      </c>
      <c r="E805" s="6">
        <v>3555</v>
      </c>
      <c r="F805" s="6"/>
      <c r="G805" s="6">
        <v>1185</v>
      </c>
      <c r="H805" s="1" t="s">
        <v>1947</v>
      </c>
      <c r="I805" s="6">
        <v>45</v>
      </c>
      <c r="J805" s="6">
        <v>1.2500000000000001E-2</v>
      </c>
      <c r="K805" s="1" t="s">
        <v>1947</v>
      </c>
      <c r="L805" s="1" t="s">
        <v>652</v>
      </c>
      <c r="M805" s="1" t="s">
        <v>869</v>
      </c>
      <c r="N805" s="1" t="s">
        <v>166</v>
      </c>
      <c r="O805" s="6">
        <v>45</v>
      </c>
      <c r="P805" s="6">
        <v>1.2500000000000001E-2</v>
      </c>
      <c r="Q805" s="2"/>
      <c r="R805" s="5">
        <v>42656.498504712639</v>
      </c>
      <c r="S805" s="4">
        <v>42660</v>
      </c>
      <c r="T805" s="4">
        <v>42680</v>
      </c>
      <c r="U805" s="1" t="s">
        <v>1955</v>
      </c>
      <c r="V805" s="5">
        <v>42661.510512406727</v>
      </c>
      <c r="W805" s="1" t="s">
        <v>1952</v>
      </c>
      <c r="X805" s="6">
        <v>3555</v>
      </c>
      <c r="Y805" s="4">
        <v>42660</v>
      </c>
      <c r="Z805" s="4">
        <v>42667</v>
      </c>
      <c r="AA805" s="5">
        <v>42674</v>
      </c>
      <c r="AB805" s="1" t="s">
        <v>1971</v>
      </c>
      <c r="AC805" s="1"/>
      <c r="AD805" s="1" t="s">
        <v>1168</v>
      </c>
    </row>
    <row r="806" spans="1:30" hidden="1" x14ac:dyDescent="0.25">
      <c r="A806" s="1" t="s">
        <v>1015</v>
      </c>
      <c r="B806" s="1" t="s">
        <v>825</v>
      </c>
      <c r="C806" s="1" t="s">
        <v>1147</v>
      </c>
      <c r="D806" s="4">
        <v>42633</v>
      </c>
      <c r="E806" s="6">
        <v>20000</v>
      </c>
      <c r="F806" s="6"/>
      <c r="G806" s="6">
        <v>20000</v>
      </c>
      <c r="H806" s="1" t="s">
        <v>1692</v>
      </c>
      <c r="I806" s="6">
        <v>5000</v>
      </c>
      <c r="J806" s="6">
        <v>0.2</v>
      </c>
      <c r="K806" s="1" t="s">
        <v>1692</v>
      </c>
      <c r="L806" s="1" t="s">
        <v>641</v>
      </c>
      <c r="M806" s="1" t="s">
        <v>919</v>
      </c>
      <c r="N806" s="1" t="s">
        <v>98</v>
      </c>
      <c r="O806" s="6">
        <v>5000</v>
      </c>
      <c r="P806" s="6">
        <v>0.2</v>
      </c>
      <c r="Q806" s="2"/>
      <c r="R806" s="5">
        <v>42642.715010375025</v>
      </c>
      <c r="S806" s="4">
        <v>42646</v>
      </c>
      <c r="T806" s="4">
        <v>42666</v>
      </c>
      <c r="U806" s="1" t="s">
        <v>1955</v>
      </c>
      <c r="V806" s="5">
        <v>42647.6273786448</v>
      </c>
      <c r="W806" s="1" t="s">
        <v>863</v>
      </c>
      <c r="X806" s="6">
        <v>20000</v>
      </c>
      <c r="Y806" s="4">
        <v>42667</v>
      </c>
      <c r="Z806" s="4">
        <v>42674</v>
      </c>
      <c r="AA806" s="5">
        <v>42735</v>
      </c>
      <c r="AB806" s="1" t="s">
        <v>1971</v>
      </c>
      <c r="AC806" s="1"/>
      <c r="AD806" s="1" t="s">
        <v>1168</v>
      </c>
    </row>
    <row r="807" spans="1:30" hidden="1" x14ac:dyDescent="0.25">
      <c r="A807" s="1" t="s">
        <v>1014</v>
      </c>
      <c r="B807" s="1" t="s">
        <v>825</v>
      </c>
      <c r="C807" s="1" t="s">
        <v>1147</v>
      </c>
      <c r="D807" s="4">
        <v>42633</v>
      </c>
      <c r="E807" s="6">
        <v>20000</v>
      </c>
      <c r="F807" s="6"/>
      <c r="G807" s="6">
        <v>20000</v>
      </c>
      <c r="H807" s="1" t="s">
        <v>1692</v>
      </c>
      <c r="I807" s="1"/>
      <c r="J807" s="1"/>
      <c r="K807" s="1" t="s">
        <v>1692</v>
      </c>
      <c r="L807" s="1" t="s">
        <v>641</v>
      </c>
      <c r="M807" s="1" t="s">
        <v>919</v>
      </c>
      <c r="N807" s="1" t="s">
        <v>98</v>
      </c>
      <c r="O807" s="1"/>
      <c r="P807" s="1"/>
      <c r="Q807" s="2"/>
      <c r="R807" s="5">
        <v>42642.715010375025</v>
      </c>
      <c r="S807" s="4">
        <v>42646</v>
      </c>
      <c r="T807" s="4">
        <v>42666</v>
      </c>
      <c r="U807" s="1" t="s">
        <v>1955</v>
      </c>
      <c r="V807" s="5">
        <v>42647.631135818345</v>
      </c>
      <c r="W807" s="1" t="s">
        <v>864</v>
      </c>
      <c r="X807" s="6">
        <v>20000</v>
      </c>
      <c r="Y807" s="4">
        <v>42636</v>
      </c>
      <c r="Z807" s="4">
        <v>42674</v>
      </c>
      <c r="AA807" s="5">
        <v>42735</v>
      </c>
      <c r="AB807" s="1" t="s">
        <v>1971</v>
      </c>
      <c r="AC807" s="1"/>
      <c r="AD807" s="1" t="s">
        <v>1168</v>
      </c>
    </row>
    <row r="808" spans="1:30" hidden="1" x14ac:dyDescent="0.25">
      <c r="A808" s="1" t="s">
        <v>1526</v>
      </c>
      <c r="B808" s="1" t="s">
        <v>816</v>
      </c>
      <c r="C808" s="1" t="s">
        <v>1147</v>
      </c>
      <c r="D808" s="4">
        <v>42633</v>
      </c>
      <c r="E808" s="6">
        <v>23000</v>
      </c>
      <c r="F808" s="6"/>
      <c r="G808" s="6">
        <v>23000</v>
      </c>
      <c r="H808" s="1" t="s">
        <v>1708</v>
      </c>
      <c r="I808" s="6">
        <v>67000</v>
      </c>
      <c r="J808" s="6">
        <v>0.74444444444444446</v>
      </c>
      <c r="K808" s="1" t="s">
        <v>1722</v>
      </c>
      <c r="L808" s="1" t="s">
        <v>370</v>
      </c>
      <c r="M808" s="1" t="s">
        <v>976</v>
      </c>
      <c r="N808" s="1" t="s">
        <v>78</v>
      </c>
      <c r="O808" s="6">
        <v>15000</v>
      </c>
      <c r="P808" s="6">
        <v>0.16666666666666666</v>
      </c>
      <c r="Q808" s="2" t="str">
        <f>HYPERLINK("https://auction.openprocurement.org/tenders/9a70e1493df94dc6b563aa5cbb18c90f")</f>
        <v>https://auction.openprocurement.org/tenders/9a70e1493df94dc6b563aa5cbb18c90f</v>
      </c>
      <c r="R808" s="5">
        <v>42643.694221573853</v>
      </c>
      <c r="S808" s="4">
        <v>42647</v>
      </c>
      <c r="T808" s="4">
        <v>42666</v>
      </c>
      <c r="U808" s="1" t="s">
        <v>1956</v>
      </c>
      <c r="V808" s="5">
        <v>42650.600869490416</v>
      </c>
      <c r="W808" s="1" t="s">
        <v>771</v>
      </c>
      <c r="X808" s="6">
        <v>75000</v>
      </c>
      <c r="Y808" s="4">
        <v>42724</v>
      </c>
      <c r="Z808" s="4">
        <v>42732</v>
      </c>
      <c r="AA808" s="5">
        <v>42735</v>
      </c>
      <c r="AB808" s="1" t="s">
        <v>1971</v>
      </c>
      <c r="AC808" s="1"/>
      <c r="AD808" s="1" t="s">
        <v>1168</v>
      </c>
    </row>
    <row r="809" spans="1:30" hidden="1" x14ac:dyDescent="0.25"/>
  </sheetData>
  <autoFilter ref="A5:AD809">
    <filterColumn colId="2">
      <filters>
        <filter val="Відкриті торги"/>
        <filter val="Відкриті торги з публікацією англійською мовою"/>
      </filters>
    </filterColumn>
    <filterColumn colId="3">
      <filters>
        <dateGroupItem year="2019" dateTimeGrouping="year"/>
      </filters>
    </filterColumn>
    <filterColumn colId="20">
      <filters>
        <filter val="завершений"/>
        <filter val="завершено"/>
      </filters>
    </filterColumn>
  </autoFilter>
  <hyperlinks>
    <hyperlink ref="Q508" r:id="rId1" display="https://auction.openprocurement.org/tenders/dfcad74ae54c484c8143ea7ea769be6e"/>
    <hyperlink ref="Q505" r:id="rId2" display="https://auction.openprocurement.org/tenders/bb1cf8a3cb334dc2a911b18367d70e09_82606e353f0b42faa300b629813594e9"/>
    <hyperlink ref="Q506" r:id="rId3" display="https://auction.openprocurement.org/tenders/bb1cf8a3cb334dc2a911b18367d70e09_94df0565513e4e90b209c3ff4074b919"/>
    <hyperlink ref="Q507" r:id="rId4" display="https://auction.openprocurement.org/tenders/bb1cf8a3cb334dc2a911b18367d70e09_58d323896c5d48ed8680184aa41da763"/>
    <hyperlink ref="Q501" r:id="rId5" display="https://auction.openprocurement.org/tenders/58687948a78f440c9e6141616780f734"/>
    <hyperlink ref="Q502" r:id="rId6" display="https://auction.openprocurement.org/tenders/fc0c53c4ac584c80aaea4978da9ce255"/>
    <hyperlink ref="Q553" r:id="rId7" display="https://auction.openprocurement.org/tenders/92b021df782f4466926f6f94701cdc86"/>
    <hyperlink ref="Q607" r:id="rId8" display="https://auction.openprocurement.org/tenders/0ac08df857c4471596f3c18168f347c7"/>
    <hyperlink ref="Q603" r:id="rId9" display="https://auction.openprocurement.org/tenders/3e06c3cdf2f84f8298974f221f5b51bd"/>
    <hyperlink ref="Q390" r:id="rId10" display="https://auction.openprocurement.org/tenders/01f5d2f3b783430b886c0bfaf995da1f"/>
    <hyperlink ref="Q394" r:id="rId11" display="https://auction.openprocurement.org/tenders/8c039c68d27b48e5adfcc2db1543ae78"/>
    <hyperlink ref="Q398" r:id="rId12" display="https://auction.openprocurement.org/tenders/4e0affd479994b29aaa7066b89f95863"/>
    <hyperlink ref="Q51" r:id="rId13" display="https://auction.openprocurement.org/tenders/898eb516505a46f29b866e2f60b81f6a"/>
    <hyperlink ref="Q52" r:id="rId14" display="https://auction.openprocurement.org/tenders/0ae38d55860645d98dbb6764f8471339"/>
    <hyperlink ref="Q55" r:id="rId15" display="https://auction.openprocurement.org/tenders/468a04190d3c4d25a39f5462b33c36b0"/>
    <hyperlink ref="Q56" r:id="rId16" display="https://auction.openprocurement.org/tenders/84d21e278c6e4681860e7c10f4feb7de"/>
    <hyperlink ref="Q180" r:id="rId17" display="https://auction.openprocurement.org/tenders/00e8992f3ca049ccba91e37d6eedc282"/>
    <hyperlink ref="Q187" r:id="rId18" display="https://auction.openprocurement.org/tenders/cc183fc0d4aa4cf6aac01ad7cb0f4345"/>
    <hyperlink ref="Q188" r:id="rId19" display="https://auction.openprocurement.org/tenders/f1af6510bab849b0876459752272990a"/>
    <hyperlink ref="Q189" r:id="rId20" display="https://auction.openprocurement.org/tenders/46f47296e5814b51b8eeeba0d693e3b1"/>
    <hyperlink ref="Q637" r:id="rId21" display="https://auction.openprocurement.org/tenders/8194ad6fe60b4d128c23c10e5f4d4d76"/>
    <hyperlink ref="Q634" r:id="rId22" display="https://auction.openprocurement.org/tenders/977e0b37e4ab466ebd749e2a55b3bcef_77cab61b4f8f4110a563718579509bfb"/>
    <hyperlink ref="Q635" r:id="rId23" display="https://auction.openprocurement.org/tenders/977e0b37e4ab466ebd749e2a55b3bcef_9f93ef2ae9b841438ae40b21b033ef87"/>
    <hyperlink ref="Q632" r:id="rId24" display="https://auction.openprocurement.org/tenders/977e0b37e4ab466ebd749e2a55b3bcef_0acc25282ee845bb80c1dc46ad0ea055"/>
    <hyperlink ref="Q633" r:id="rId25" display="https://auction.openprocurement.org/tenders/977e0b37e4ab466ebd749e2a55b3bcef_3f24f16063af45f180afba33e60418dd"/>
    <hyperlink ref="Q630" r:id="rId26" display="https://auction.openprocurement.org/tenders/30d5443d431b4361b80aeb63e0550b3f"/>
    <hyperlink ref="Q438" r:id="rId27" display="https://auction.openprocurement.org/tenders/8173a67a00614a95b904fbb87bd806e5"/>
    <hyperlink ref="Q430" r:id="rId28" display="https://auction.openprocurement.org/tenders/c3e68dbdca6043969e01a271179e2e07"/>
    <hyperlink ref="Q431" r:id="rId29" display="https://auction.openprocurement.org/tenders/5aa55e0aba5842dab9218fa3a1566f88"/>
    <hyperlink ref="Q436" r:id="rId30" display="https://auction.openprocurement.org/tenders/1fda4230fa934c81b9dad46c52e4543a"/>
    <hyperlink ref="Q311" r:id="rId31" display="https://auction.openprocurement.org/tenders/cbef3448f3b84c979b3b347a8afe6e8a"/>
    <hyperlink ref="Q100" r:id="rId32" display="https://auction.openprocurement.org/tenders/4bdc4c7436bc4725b3362ef7f4f2822a"/>
    <hyperlink ref="Q102" r:id="rId33" display="https://auction.openprocurement.org/tenders/3dd687663dca400d882dae5f6d60bf04"/>
    <hyperlink ref="Q103" r:id="rId34" display="https://auction.openprocurement.org/tenders/956876e48f6f4f5d9cdef3436fc264f2"/>
    <hyperlink ref="Q104" r:id="rId35" display="https://auction.openprocurement.org/tenders/5e500933bcd544218bc5db55fbbcecd9"/>
    <hyperlink ref="Q107" r:id="rId36" display="https://auction.openprocurement.org/tenders/8878e9e2df2541cca38ee1c2e1f706f5"/>
    <hyperlink ref="Q715" r:id="rId37" display="https://auction.openprocurement.org/tenders/5cb73ebe2fbd4ff989ba2567546a4f47"/>
    <hyperlink ref="Q713" r:id="rId38" display="https://auction.openprocurement.org/tenders/64d439575bbb4a6a88cacf780e0c5fd7"/>
    <hyperlink ref="Q128" r:id="rId39" display="https://auction.openprocurement.org/tenders/857f5ff3dbd64619921179800ae9e40b"/>
    <hyperlink ref="Q129" r:id="rId40" display="https://auction.openprocurement.org/tenders/4252053321d34603a953f3f38e175b23"/>
    <hyperlink ref="Q771" r:id="rId41" display="https://auction.openprocurement.org/tenders/b18431c2ba4d4f0aa6ae7a04dc4f725d"/>
    <hyperlink ref="Q770" r:id="rId42" display="https://auction.openprocurement.org/tenders/89d9675777d4413d9c19dcdad81c3d84"/>
    <hyperlink ref="Q775" r:id="rId43" display="https://auction.openprocurement.org/tenders/9a6da94b318844d08bcbd012a28eb684"/>
    <hyperlink ref="Q577" r:id="rId44" display="https://auction.openprocurement.org/tenders/ff6a90b0fb9244629f46b439911b866a"/>
    <hyperlink ref="Q576" r:id="rId45" display="https://auction.openprocurement.org/tenders/d139ca48d2194af5b8dda626fcee89b9"/>
    <hyperlink ref="Q571" r:id="rId46" display="https://auction.openprocurement.org/tenders/c14f51da06db40239680950605ba3c1f"/>
    <hyperlink ref="Q570" r:id="rId47" display="https://auction.openprocurement.org/tenders/86a01d270995456fb11efbb6e7be1beb"/>
    <hyperlink ref="Q572" r:id="rId48" display="https://auction.openprocurement.org/tenders/cdafc1e55d6643dba37ce94996cd71fa"/>
    <hyperlink ref="Q579" r:id="rId49" display="https://auction.openprocurement.org/tenders/377491114d9740c79a1f330b6f041998_533400e9b0374866b95618a19bea415c"/>
    <hyperlink ref="Q578" r:id="rId50" display="https://auction.openprocurement.org/tenders/a86de68b787a42eeb15a4ea1cb7e4aac"/>
    <hyperlink ref="Q542" r:id="rId51" display="https://auction.openprocurement.org/tenders/21d27bbf517441e0bc3babf5b85bec73"/>
    <hyperlink ref="Q543" r:id="rId52" display="https://auction.openprocurement.org/tenders/04b8a690818845c090d93fbed83936c9"/>
    <hyperlink ref="Q733" r:id="rId53" display="https://auction.openprocurement.org/tenders/77fc431a775046c38e5ad1dcb581d557"/>
    <hyperlink ref="Q557" r:id="rId54" display="https://auction.openprocurement.org/tenders/6634ce5c85e94346b504bb99fefdab53"/>
    <hyperlink ref="Q555" r:id="rId55" display="https://auction.openprocurement.org/tenders/135220cba6784dd79c03859b491c63ab"/>
    <hyperlink ref="Q554" r:id="rId56" display="https://auction.openprocurement.org/tenders/eb122d218e9a46f2b1bca5380261e72c"/>
    <hyperlink ref="Q551" r:id="rId57" display="https://auction.openprocurement.org/tenders/02ee798f05af4bc88ab16040f8b49925"/>
    <hyperlink ref="Q550" r:id="rId58" display="https://auction.openprocurement.org/tenders/59e8767671b749f9abbc9d6ff233567a"/>
    <hyperlink ref="Q609" r:id="rId59" display="https://auction.openprocurement.org/tenders/4e3510cffabd4cfdb76924ce187db373"/>
    <hyperlink ref="Q405" r:id="rId60" display="https://auction.openprocurement.org/tenders/4b1229f3c21f401a93d2c8faf60caba3"/>
    <hyperlink ref="Q605" r:id="rId61" display="https://auction.openprocurement.org/tenders/53420476cc04476fb9c469fb38ef24cd"/>
    <hyperlink ref="Q600" r:id="rId62" display="https://auction.openprocurement.org/tenders/ce23689838b741f7a3575e42c56c1bfa"/>
    <hyperlink ref="Q788" r:id="rId63" display="https://auction.openprocurement.org/tenders/f72772d31e2343309841aafbbafa4128"/>
    <hyperlink ref="Q27" r:id="rId64" display="https://auction.openprocurement.org/tenders/8cb2c07fcc4d4544a6cb159401154fc4"/>
    <hyperlink ref="Q346" r:id="rId65" display="https://auction.openprocurement.org/tenders/ba7329560f1f46b5bcc761458e495a87"/>
    <hyperlink ref="Q344" r:id="rId66" display="https://auction.openprocurement.org/tenders/fc0aacf606d14924a3cb8e52e7c3efdc"/>
    <hyperlink ref="Q342" r:id="rId67" display="https://auction.openprocurement.org/tenders/45bbdd5c4b9c45ffaeb973365815dca5"/>
    <hyperlink ref="Q349" r:id="rId68" display="https://auction.openprocurement.org/tenders/5ea8203c628243fe94bb77862c057401"/>
    <hyperlink ref="Q28" r:id="rId69" display="https://auction.openprocurement.org/tenders/9f2f35f20b3e4365988cbbfabb00cb0f"/>
    <hyperlink ref="Q688" r:id="rId70" display="https://auction.openprocurement.org/tenders/9f5fd877308b420f8e41a610233e4fbe"/>
    <hyperlink ref="Q686" r:id="rId71" display="https://auction.openprocurement.org/tenders/d2633ddc5b264cadb602c5d20a49c4d6"/>
    <hyperlink ref="Q680" r:id="rId72" display="https://auction.openprocurement.org/tenders/70b1e9f4696e49d8a58cf1ab01091c22"/>
    <hyperlink ref="Q445" r:id="rId73" display="https://auction.openprocurement.org/tenders/5a98131b4bdc4899ad43fd5a20e8c76b"/>
    <hyperlink ref="Q723" r:id="rId74" display="https://auction.openprocurement.org/tenders/6905a9d9eb7c4edcad2eb119272a12e2"/>
    <hyperlink ref="Q724" r:id="rId75" display="https://auction.openprocurement.org/tenders/97d86c6b1a0a43ad9d89827fb382c6bf"/>
    <hyperlink ref="Q726" r:id="rId76" display="https://auction.openprocurement.org/tenders/8b328a4eecd0463682baec538ae0f5eb"/>
    <hyperlink ref="Q627" r:id="rId77" display="https://auction.openprocurement.org/tenders/d9955706c1034e4bb0af1c01727d5598"/>
    <hyperlink ref="Q175" r:id="rId78" display="https://auction.openprocurement.org/tenders/2033849c0f8243ee81f47d55744c84d1"/>
    <hyperlink ref="Q174" r:id="rId79" display="https://auction.openprocurement.org/tenders/534a14b383dd4394a2638e3e0d649054"/>
    <hyperlink ref="Q497" r:id="rId80" display="https://auction.openprocurement.org/tenders/c89e8bcd5a644242b675c05dc128cd4f"/>
    <hyperlink ref="Q493" r:id="rId81" display="https://auction.openprocurement.org/tenders/4087f213b31c432c8632ce5eadd961fc"/>
    <hyperlink ref="Q490" r:id="rId82" display="https://auction.openprocurement.org/tenders/70b976b2c970407c82efba591b640f81"/>
    <hyperlink ref="Q491" r:id="rId83" display="https://auction.openprocurement.org/tenders/2f21a2f4ce9e4876a65ee270bd4f0255"/>
    <hyperlink ref="Q798" r:id="rId84" display="https://auction.openprocurement.org/tenders/f83b15a67b654912a60f7944a618199d_8f1da50fde0e4135a029eacca94c09c2"/>
    <hyperlink ref="Q379" r:id="rId85" display="https://auction.openprocurement.org/tenders/1b737735f2094bf8b615b8f625b4c16b"/>
    <hyperlink ref="Q378" r:id="rId86" display="https://auction.openprocurement.org/tenders/0c0b490b6a17478c9b1c5703904393d6_cf142543efa14fe0a3bb41092bf7e7e8"/>
    <hyperlink ref="Q377" r:id="rId87" display="https://auction.openprocurement.org/tenders/0c0b490b6a17478c9b1c5703904393d6_e9a62f1b34a44195b9b686e15de09c98"/>
    <hyperlink ref="Q376" r:id="rId88" display="https://auction.openprocurement.org/tenders/d00828068cee4a97b79f4c78a97efc22"/>
    <hyperlink ref="Q374" r:id="rId89" display="https://auction.openprocurement.org/tenders/157926e32bd2436cbf8e605db57cf8e2"/>
    <hyperlink ref="Q373" r:id="rId90" display="https://auction.openprocurement.org/tenders/034a02ae92d64b918b599b08991624ec"/>
    <hyperlink ref="Q372" r:id="rId91" display="https://auction.openprocurement.org/tenders/4368d17eab334560acd58a70891db31d_6a1057e9fd3c4555a8b3a6af2016f2b8"/>
    <hyperlink ref="Q371" r:id="rId92" display="https://auction.openprocurement.org/tenders/4368d17eab334560acd58a70891db31d_bf68e8024c60484aa99e6788f0163091"/>
    <hyperlink ref="Q370" r:id="rId93" display="https://auction.openprocurement.org/tenders/e0e8bd4a22bf4318ac897f86c0374f58"/>
    <hyperlink ref="Q53" r:id="rId94" display="https://auction.openprocurement.org/tenders/157fd8f5d7f742b4852cef05632eca6b"/>
    <hyperlink ref="Q728" r:id="rId95" display="https://auction.openprocurement.org/tenders/3ce26a009a12486fb4968bb224bdb562"/>
    <hyperlink ref="Q729" r:id="rId96" display="https://auction.openprocurement.org/tenders/8e7d1830d7cc43b59516423a5cd06d42"/>
    <hyperlink ref="Q416" r:id="rId97" display="https://auction.openprocurement.org/tenders/eda26f3afd2a4d3eaac47d3b0cf440eb"/>
    <hyperlink ref="Q417" r:id="rId98" display="https://auction.openprocurement.org/tenders/7d1d7cb2a59648bea4db478d930b0896"/>
    <hyperlink ref="Q410" r:id="rId99" display="https://auction.openprocurement.org/tenders/cba8148d4af443bdb25affe0be0ceff6"/>
    <hyperlink ref="Q136" r:id="rId100" display="https://auction.openprocurement.org/tenders/ad6b8fdc30be4f029bcc5e88f5bde762"/>
    <hyperlink ref="Q130" r:id="rId101" display="https://auction.openprocurement.org/tenders/6de42af730d64dc79a41dacb72daa555"/>
    <hyperlink ref="Q132" r:id="rId102" display="https://auction.openprocurement.org/tenders/63f0af6f3cd844bdae1e7d4e96ed50d7"/>
    <hyperlink ref="Q593" r:id="rId103" display="https://auction.openprocurement.org/tenders/caafcc35c8804aed9d50f411b2802add"/>
    <hyperlink ref="Q592" r:id="rId104" display="https://auction.openprocurement.org/tenders/eadda134dc1e42068fbdb0eb9d646af1_2a160f32512146b28042614c411373fd"/>
    <hyperlink ref="Q591" r:id="rId105" display="https://auction.openprocurement.org/tenders/eadda134dc1e42068fbdb0eb9d646af1_3f9d7ec33df64924998f47601a0e85ef"/>
    <hyperlink ref="Q590" r:id="rId106" display="https://auction.openprocurement.org/tenders/b793977fb566413fabcf55eba19af5a2"/>
    <hyperlink ref="Q597" r:id="rId107" display="https://auction.openprocurement.org/tenders/8d214156418b48279083194f5d5456d3_311aa7c2ac8f428cb287b024d95c5528"/>
    <hyperlink ref="Q596" r:id="rId108" display="https://auction.openprocurement.org/tenders/9e921dad4ee044209ead8ff701c59750"/>
    <hyperlink ref="Q594" r:id="rId109" display="https://auction.openprocurement.org/tenders/0bead495638947fd8d08f29678b0e781"/>
    <hyperlink ref="Q123" r:id="rId110" display="https://auction.openprocurement.org/tenders/810b65e7ba3348dda16fa8839917372c"/>
    <hyperlink ref="Q120" r:id="rId111" display="https://auction.openprocurement.org/tenders/6fa3037901df47c3a3e11de7e7c2a3cd"/>
    <hyperlink ref="Q121" r:id="rId112" display="https://auction.openprocurement.org/tenders/c180ea93c2f341408b8acd3b5c7ffd8a"/>
    <hyperlink ref="Q626" r:id="rId113" display="https://auction.openprocurement.org/tenders/fe0677a30dd1465fb4c82f17f9b28996"/>
    <hyperlink ref="Q407" r:id="rId114" display="https://auction.openprocurement.org/tenders/a213ee4fff4546e992961d3ba6c4a691"/>
    <hyperlink ref="Q406" r:id="rId115" display="https://auction.openprocurement.org/tenders/c0d98fd9303f464baeb63173d642e698"/>
    <hyperlink ref="Q288" r:id="rId116" display="https://auction.openprocurement.org/tenders/45668b7b3d0e4d2da57632eddd9255c6"/>
    <hyperlink ref="Q754" r:id="rId117" display="https://auction.openprocurement.org/tenders/ee18839e4c1743e7b7032e99207ccbf5"/>
    <hyperlink ref="Q757" r:id="rId118" display="https://auction.openprocurement.org/tenders/58bb48d58ae846d09078b87c2a1a728f"/>
    <hyperlink ref="Q517" r:id="rId119" display="https://auction.openprocurement.org/tenders/945f7af88d954b718752e20a4a805937"/>
    <hyperlink ref="Q202" r:id="rId120" display="https://auction.openprocurement.org/tenders/22b4dd6469814cfdb2500c3e47006be5"/>
    <hyperlink ref="Q200" r:id="rId121" display="https://auction.openprocurement.org/tenders/d5f97adbee204754a30a2983e3c857ff"/>
    <hyperlink ref="Q206" r:id="rId122" display="https://auction.openprocurement.org/tenders/a70f003667ab4b7abaa65591d0aa0de4"/>
    <hyperlink ref="Q204" r:id="rId123" display="https://auction.openprocurement.org/tenders/dc8c39df39f14e29864b01943a07482b"/>
    <hyperlink ref="Q19" r:id="rId124" display="https://auction.openprocurement.org/tenders/4c83b10680444fc98c1230e77752c08e"/>
    <hyperlink ref="Q15" r:id="rId125" display="https://auction.openprocurement.org/tenders/d57d9d1d8d2d4bb1aae35aeb3466322a"/>
    <hyperlink ref="Q17" r:id="rId126" display="https://auction.openprocurement.org/tenders/4bce613efc9f48a681e8fc7f0e447641"/>
    <hyperlink ref="Q16" r:id="rId127" display="https://auction.openprocurement.org/tenders/cff71697253e4fbc9665089b49eed8ff"/>
    <hyperlink ref="Q760" r:id="rId128" display="https://auction.openprocurement.org/tenders/bf6c908cf2f841d08b27ba2e73eaaf83"/>
    <hyperlink ref="Q47" r:id="rId129" display="https://auction.openprocurement.org/tenders/38b81c82b24f4d36a1f6e66ed193da05"/>
    <hyperlink ref="Q44" r:id="rId130" display="https://auction.openprocurement.org/tenders/acc76a3e60fd43a7bc84300a1a93d41c"/>
    <hyperlink ref="Q50" r:id="rId131" display="https://auction.openprocurement.org/tenders/bb4ee4fd69be463da2827d0ac7ea3cbe"/>
    <hyperlink ref="Q197" r:id="rId132" display="https://auction.openprocurement.org/tenders/bd5a08a778d84360930430adb81febc8"/>
    <hyperlink ref="Q196" r:id="rId133" display="https://auction.openprocurement.org/tenders/cd7dc4d79dcf4c5a95157e4a12862cfa"/>
    <hyperlink ref="Q194" r:id="rId134" display="https://auction.openprocurement.org/tenders/a08ed158e6484c08b19a37e71c500474"/>
    <hyperlink ref="Q193" r:id="rId135" display="https://auction.openprocurement.org/tenders/d6747f8c27b7413292032b2b0043e50a"/>
    <hyperlink ref="Q190" r:id="rId136" display="https://auction.openprocurement.org/tenders/8c10bbe5052c4be089375506f44eec9b"/>
    <hyperlink ref="Q629" r:id="rId137" display="https://auction.openprocurement.org/tenders/0be54cbc156a4618b5cdc89c7ef5c3b3"/>
    <hyperlink ref="Q628" r:id="rId138" display="https://auction.openprocurement.org/tenders/6df6a3dd853445e69e5fa0b15ac186f8"/>
    <hyperlink ref="Q176" r:id="rId139" display="https://auction.openprocurement.org/tenders/7ac71ef48440474cb59fe2e6b31e4020"/>
    <hyperlink ref="Q426" r:id="rId140" display="https://auction.openprocurement.org/tenders/b24b73a657524a2f954bd84b177dd417"/>
    <hyperlink ref="Q423" r:id="rId141" display="https://auction.openprocurement.org/tenders/dfa62b58cdbd450c9934036c6ec58abe"/>
    <hyperlink ref="Q422" r:id="rId142" display="https://auction.openprocurement.org/tenders/f2036c6f1aeb4d9497895a4f7e8b1616"/>
    <hyperlink ref="Q421" r:id="rId143" display="https://auction.openprocurement.org/tenders/cb67d23f27b5496e92b385b6b7ccba7b"/>
    <hyperlink ref="Q673" r:id="rId144" display="https://auction.openprocurement.org/tenders/11e2c579427e45448523a45145b5207e"/>
    <hyperlink ref="Q327" r:id="rId145" display="https://auction.openprocurement.org/tenders/2f1ce22c3f6f43d6af5bb7df19f14b7e"/>
    <hyperlink ref="Q764" r:id="rId146" display="https://auction.openprocurement.org/tenders/fb3f466077ae49baa325b090cec136b3"/>
    <hyperlink ref="Q119" r:id="rId147" display="https://auction.openprocurement.org/tenders/7cef327a56bc4416baf60c39b34fd605"/>
    <hyperlink ref="Q117" r:id="rId148" display="https://auction.openprocurement.org/tenders/b7a34f1ed0da467d952aa5ab9a35ddca"/>
    <hyperlink ref="Q116" r:id="rId149" display="https://auction.openprocurement.org/tenders/7de20c8927e343238d4278ad2dd133a0"/>
    <hyperlink ref="Q115" r:id="rId150" display="https://auction.openprocurement.org/tenders/ab45d3a9d7d84182bcd6b68154d1169d"/>
    <hyperlink ref="Q113" r:id="rId151" display="https://auction.openprocurement.org/tenders/63755e1af3474260a819693fd084236b"/>
    <hyperlink ref="Q111" r:id="rId152" display="https://auction.openprocurement.org/tenders/e3d402acb8294a9e88d4fb58117f20c0"/>
    <hyperlink ref="Q110" r:id="rId153" display="https://auction.openprocurement.org/tenders/3ab23abb34ef4e9f85b52f0bcec6834f"/>
    <hyperlink ref="Q736" r:id="rId154" display="https://auction.openprocurement.org/tenders/3569772e7c2845b68ef36757d0b3fcfd"/>
    <hyperlink ref="Q707" r:id="rId155" display="https://auction.openprocurement.org/tenders/c8c5c3f906514b3397bfa07d6c65b34a"/>
    <hyperlink ref="Q705" r:id="rId156" display="https://auction.openprocurement.org/tenders/2528bf6b1c3a4c06a4017495fbc428c4"/>
    <hyperlink ref="Q703" r:id="rId157" display="https://auction.openprocurement.org/tenders/961e2c27f10a4bc9b432f9591cc4dc8a"/>
    <hyperlink ref="Q252" r:id="rId158" display="https://auction.openprocurement.org/tenders/71378fc4f0f84960be040e058c210cf9"/>
    <hyperlink ref="Q254" r:id="rId159" display="https://auction.openprocurement.org/tenders/d87cb8cd8cbd46f6afc92b6aa6047456"/>
    <hyperlink ref="Q255" r:id="rId160" display="https://auction.openprocurement.org/tenders/618d2190280c4ba3b00a31fab5c51b7a"/>
    <hyperlink ref="Q256" r:id="rId161" display="https://auction.openprocurement.org/tenders/6b6f096001da4d89b71bac324d745437"/>
    <hyperlink ref="Q780" r:id="rId162" display="https://auction.openprocurement.org/tenders/c402fe10e1de4f9b87cd48c9d14f3cae"/>
    <hyperlink ref="Q46" r:id="rId163" display="https://auction.openprocurement.org/tenders/3daec4c0f0734155873654db6eb79d1b"/>
    <hyperlink ref="Q42" r:id="rId164" display="https://auction.openprocurement.org/tenders/6222c6fe0a774860a78f01ff820c3626"/>
    <hyperlink ref="Q43" r:id="rId165" display="https://auction.openprocurement.org/tenders/d02380cafd034d34943e95655f80828b"/>
    <hyperlink ref="Q41" r:id="rId166" display="https://auction.openprocurement.org/tenders/589437f99dff48e69cf4bb5d180b1feb"/>
    <hyperlink ref="Q737" r:id="rId167" display="https://auction.openprocurement.org/tenders/562490c5905d4308b38c17a77d0aecc8"/>
    <hyperlink ref="Q94" r:id="rId168" display="https://auction.openprocurement.org/tenders/f52c3022b3b54547bfa2f4b19ae88e7e"/>
    <hyperlink ref="Q91" r:id="rId169" display="https://auction.openprocurement.org/tenders/cbff30aa4fb24843b69f2adbb3cfb95c"/>
    <hyperlink ref="Q90" r:id="rId170" display="https://auction.openprocurement.org/tenders/6a589f1075124f558d57dce22d187ecc"/>
    <hyperlink ref="Q93" r:id="rId171" display="https://auction.openprocurement.org/tenders/40773d06237d4578bade04eaf9ae0519"/>
    <hyperlink ref="Q98" r:id="rId172" display="https://auction.openprocurement.org/tenders/6c01155e16d8417394073001fa491b9d"/>
    <hyperlink ref="Q354" r:id="rId173" display="https://auction.openprocurement.org/tenders/d5a2101061f646d78a922ce7e5623484"/>
    <hyperlink ref="Q357" r:id="rId174" display="https://auction.openprocurement.org/tenders/b517297ba693474880e664c0ee6ab07e_d7e673465a4b44a9b991f8f4ad9afacd"/>
    <hyperlink ref="Q356" r:id="rId175" display="https://auction.openprocurement.org/tenders/b517297ba693474880e664c0ee6ab07e_5bdb6778899b45fdab33b8276d5f8d2a"/>
    <hyperlink ref="Q351" r:id="rId176" display="https://auction.openprocurement.org/tenders/d9daa04a9a0d47a5a8279898f6c3c1d2"/>
    <hyperlink ref="Q350" r:id="rId177" display="https://auction.openprocurement.org/tenders/0a3a22e309bc491fa577d60e49c72ad2"/>
    <hyperlink ref="Q352" r:id="rId178" display="https://auction.openprocurement.org/tenders/859cf5c64f6e4ffa89c8f0eff5a093a0"/>
    <hyperlink ref="Q359" r:id="rId179" display="https://auction.openprocurement.org/tenders/8472c7f0695648ceb2858e139b16ac8f"/>
    <hyperlink ref="Q358" r:id="rId180" display="https://auction.openprocurement.org/tenders/e8ec44f2a0f84fb7b196d0f3c22521c5"/>
    <hyperlink ref="Q527" r:id="rId181" display="https://auction.openprocurement.org/tenders/557b66e6a614418e811b8c0641b64958"/>
    <hyperlink ref="Q524" r:id="rId182" display="https://auction.openprocurement.org/tenders/60957f54a7c04f3b859e9a2226a5de64"/>
    <hyperlink ref="Q654" r:id="rId183" display="https://auction.openprocurement.org/tenders/08850027c2894e1cb452c67d34669229_3c9e1d81ea6e430284eb7a319884a1c4"/>
    <hyperlink ref="Q655" r:id="rId184" display="https://auction.openprocurement.org/tenders/08850027c2894e1cb452c67d34669229_ddcad6f3d4f64accb9739fbb42b25e3a"/>
    <hyperlink ref="Q670" r:id="rId185" display="https://auction.openprocurement.org/tenders/9e70a6f5cc0b4247a477c05fd5ae30e6"/>
    <hyperlink ref="Q671" r:id="rId186" display="https://auction.openprocurement.org/tenders/d6f6a7ed4b8945c4909fdb1338139e5a"/>
    <hyperlink ref="Q676" r:id="rId187" display="https://auction.openprocurement.org/tenders/e5b71c884a5e424c85deb898dae5d27b"/>
    <hyperlink ref="Q674" r:id="rId188" display="https://auction.openprocurement.org/tenders/59cc16b7c4874e20b9e2ec94173b6a0e"/>
    <hyperlink ref="Q675" r:id="rId189" display="https://auction.openprocurement.org/tenders/8acad3c958ed4bfd8268f2602982e7aa"/>
    <hyperlink ref="Q653" r:id="rId190" display="https://auction.openprocurement.org/tenders/08850027c2894e1cb452c67d34669229_3eefc4d1f00a4f67802b0f1501abe82c"/>
    <hyperlink ref="Q478" r:id="rId191" display="https://auction.openprocurement.org/tenders/010b8315c41d42f3a090c449f14a7282"/>
    <hyperlink ref="Q735" r:id="rId192" display="https://auction.openprocurement.org/tenders/f18487b31d644b99aefbcae8f659ebbf"/>
    <hyperlink ref="Q731" r:id="rId193" display="https://auction.openprocurement.org/tenders/4e804b5307484bde9b7c762e52768272"/>
    <hyperlink ref="Q730" r:id="rId194" display="https://auction.openprocurement.org/tenders/46d741882dd64070a63ef5afaa967e05"/>
    <hyperlink ref="Q468" r:id="rId195" display="https://auction.openprocurement.org/tenders/2539219731834f669bf34115b751c4a7"/>
    <hyperlink ref="Q808" r:id="rId196" display="https://auction.openprocurement.org/tenders/9a70e1493df94dc6b563aa5cbb18c90f"/>
    <hyperlink ref="Q803" r:id="rId197" display="https://auction.openprocurement.org/tenders/edcfa196bb8344d9ad9115c0d2b32df3"/>
    <hyperlink ref="Q141" r:id="rId198" display="https://auction.openprocurement.org/tenders/7cc15a59fccf4fd79e3cd9e73e7dae35"/>
    <hyperlink ref="Q142" r:id="rId199" display="https://auction.openprocurement.org/tenders/314cf5d60f114b1487c663cbbe86886b"/>
    <hyperlink ref="Q711" r:id="rId200" display="https://auction.openprocurement.org/tenders/f36afe4a759344acad66f55deaf090f1"/>
    <hyperlink ref="Q227" r:id="rId201" display="https://auction.openprocurement.org/tenders/5fd195f29d2942239a804602a43f03fe"/>
    <hyperlink ref="Q487" r:id="rId202" display="https://auction.openprocurement.org/tenders/ced5db6a8d90433d8c3768f14fa68ff5"/>
    <hyperlink ref="Q486" r:id="rId203" display="https://auction.openprocurement.org/tenders/d7a9ae1998ed4dcaa56afec21a857fcf"/>
    <hyperlink ref="Q480" r:id="rId204" display="https://auction.openprocurement.org/tenders/5bd2aa26761b42e9bf125402b425203c_27779e252e1b40b3950985a446a3edd0"/>
    <hyperlink ref="Q382" r:id="rId205" display="https://auction.openprocurement.org/tenders/d0a0f6a0ce434ff1af760b49890da5bf"/>
    <hyperlink ref="Q383" r:id="rId206" display="https://auction.openprocurement.org/tenders/ead32865c1114f7793cbc4781f0a7791"/>
    <hyperlink ref="Q380" r:id="rId207" display="https://auction.openprocurement.org/tenders/047077888846459c805d136df63fb7b3"/>
    <hyperlink ref="Q384" r:id="rId208" display="https://auction.openprocurement.org/tenders/64b3af0ac45f488fb3e22081f621434e"/>
    <hyperlink ref="Q385" r:id="rId209" display="https://auction.openprocurement.org/tenders/c595042eebbf487bb3a57608435dadaa"/>
    <hyperlink ref="Q388" r:id="rId210" display="https://auction.openprocurement.org/tenders/21bd05f27cda4f0189b81057c0a181a8"/>
    <hyperlink ref="Q389" r:id="rId211" display="https://auction.openprocurement.org/tenders/9d45515fdbff4fe0b7c0b32938fae578"/>
    <hyperlink ref="Q64" r:id="rId212" display="https://auction.openprocurement.org/tenders/fe505dacfcc0432c90c3b3ae828e2bbf"/>
    <hyperlink ref="Q66" r:id="rId213" display="https://auction.openprocurement.org/tenders/04c6d2d8623841acbdaa72bf0f116a91"/>
    <hyperlink ref="Q67" r:id="rId214" display="https://auction.openprocurement.org/tenders/393a7a931127495d95104a469a221bbf"/>
    <hyperlink ref="Q62" r:id="rId215" display="https://auction.openprocurement.org/tenders/fd37b5df3fd24dabb282a93fd40e4f63"/>
    <hyperlink ref="Q63" r:id="rId216" display="https://auction.openprocurement.org/tenders/41553d6683d14511913d4e254bd0bee6"/>
    <hyperlink ref="Q68" r:id="rId217" display="https://auction.openprocurement.org/tenders/0384cd809a254850a458ea0a10261992"/>
    <hyperlink ref="Q69" r:id="rId218" display="https://auction.openprocurement.org/tenders/c25eab9216024b0784cac8a32f4aa766"/>
    <hyperlink ref="Q649" r:id="rId219" display="https://auction.openprocurement.org/tenders/05843794a947437a847417c1b26e4ae1"/>
    <hyperlink ref="Q648" r:id="rId220" display="https://auction.openprocurement.org/tenders/d4d699e874c84f839907e8809bb0b357"/>
    <hyperlink ref="Q643" r:id="rId221" display="https://auction.openprocurement.org/tenders/01ffc7eebd9a4cf0af39f5e6cff3a90d"/>
    <hyperlink ref="Q647" r:id="rId222" display="https://auction.openprocurement.org/tenders/12b6c96c89d04eb4bc703b5af56d7dea"/>
    <hyperlink ref="Q646" r:id="rId223" display="https://auction.openprocurement.org/tenders/71fc17b3cb4343e88e12c36200d8742e_a304463286c94367829dbf3f4ef95fd8"/>
    <hyperlink ref="Q645" r:id="rId224" display="https://auction.openprocurement.org/tenders/71fc17b3cb4343e88e12c36200d8742e_298be3e606fc466b8ac36f03b14986cb"/>
    <hyperlink ref="Q644" r:id="rId225" display="https://auction.openprocurement.org/tenders/71fc17b3cb4343e88e12c36200d8742e_2bbb04e7728945e08a6d63701a6e0018"/>
    <hyperlink ref="Q669" r:id="rId226" display="https://auction.openprocurement.org/tenders/eaa3a6d1de1e47d68e590f90f757c431"/>
    <hyperlink ref="Q303" r:id="rId227" display="https://auction.openprocurement.org/tenders/e07ebf60fcf848bd99b4f5c132504069"/>
    <hyperlink ref="Q306" r:id="rId228" display="https://auction.openprocurement.org/tenders/a201e03aaa9e4a309d23541a88200e49"/>
    <hyperlink ref="Q307" r:id="rId229" display="https://auction.openprocurement.org/tenders/390eb790530b4400941f89bc62cfe210"/>
    <hyperlink ref="Q305" r:id="rId230" display="https://auction.openprocurement.org/tenders/f1bb916640fa42a5b48cf432cdc5e2b7"/>
    <hyperlink ref="Q464" r:id="rId231" display="https://auction.openprocurement.org/tenders/926fcfee664345aa9eff99cd09780cd3"/>
    <hyperlink ref="Q138" r:id="rId232" display="https://auction.openprocurement.org/tenders/e5cdfbac84f14bb4bf0c692557686996"/>
    <hyperlink ref="Q474" r:id="rId233" display="https://auction.openprocurement.org/tenders/60fa476de3404417af53cedbaaac105e"/>
    <hyperlink ref="Q476" r:id="rId234" display="https://auction.openprocurement.org/tenders/7bfbbfe6ac8b4835a4f0063d714d2b56"/>
    <hyperlink ref="Q477" r:id="rId235" display="https://auction.openprocurement.org/tenders/dd5be88befd04bd79ccf97bc7204fcb7"/>
    <hyperlink ref="Q471" r:id="rId236" display="https://auction.openprocurement.org/tenders/6356c419f1ea4fab8c931b6671b77811"/>
    <hyperlink ref="Q472" r:id="rId237" display="https://auction.openprocurement.org/tenders/3471bac760314befbaff42442ff2d950"/>
    <hyperlink ref="Q566" r:id="rId238" display="https://auction.openprocurement.org/tenders/3d71cb94d2a04630a364da4542dbb16c"/>
    <hyperlink ref="Q564" r:id="rId239" display="https://auction.openprocurement.org/tenders/c92e1ffad73643c0bc549cdecafe88bf"/>
    <hyperlink ref="Q565" r:id="rId240" display="https://auction.openprocurement.org/tenders/f42d126bbe1a49c799f0060ed4613e5f"/>
    <hyperlink ref="Q562" r:id="rId241" display="https://auction.openprocurement.org/tenders/a2c96f3193d24bb2823f62248b2aa9d1"/>
    <hyperlink ref="Q563" r:id="rId242" display="https://auction.openprocurement.org/tenders/9378f22451c641c49464619e3878d81c"/>
    <hyperlink ref="Q560" r:id="rId243" display="https://auction.openprocurement.org/tenders/ff212f19b91a47ec99f13883cf6c9e01"/>
    <hyperlink ref="Q561" r:id="rId244" display="https://auction.openprocurement.org/tenders/07ab3e840da942f4827c1403c132b006"/>
    <hyperlink ref="Q616" r:id="rId245" display="https://auction.openprocurement.org/tenders/5dabc1337d9e4b268f16cf9543c8d900"/>
    <hyperlink ref="Q668" r:id="rId246" display="https://auction.openprocurement.org/tenders/c5bf2007440b4e85b3e2d753b21991ae"/>
    <hyperlink ref="Q612" r:id="rId247" display="https://auction.openprocurement.org/tenders/0952d365031c4bdb89555c25d8101f22"/>
    <hyperlink ref="Q531" r:id="rId248" display="https://auction.openprocurement.org/tenders/2aeeff6cb4414b9b8876bbee1836a5c3"/>
    <hyperlink ref="Q533" r:id="rId249" display="https://auction.openprocurement.org/tenders/890a51374e874eb9b1243964a9315ee3"/>
    <hyperlink ref="Q535" r:id="rId250" display="https://auction.openprocurement.org/tenders/b79b1d6a3f2d47cda99d2b2f59c22d3c"/>
    <hyperlink ref="Q537" r:id="rId251" display="https://auction.openprocurement.org/tenders/43465370f2ae4cb3941c73c7328fa8da"/>
    <hyperlink ref="Q536" r:id="rId252" display="https://auction.openprocurement.org/tenders/8f3478a23a5a47b88b57006b52df4ba6"/>
    <hyperlink ref="Q611" r:id="rId253" display="https://auction.openprocurement.org/tenders/fbc4619b7222490fbd4510c719d704d9"/>
    <hyperlink ref="Q613" r:id="rId254" display="https://auction.openprocurement.org/tenders/aac4bf8e900a4f05b1b311614f268098_041d8e200a204ee0a907ed5f9005d1b7"/>
    <hyperlink ref="Q614" r:id="rId255" display="https://auction.openprocurement.org/tenders/aac4bf8e900a4f05b1b311614f268098_5d4394e2e21f4712b524fa25ec64d66f"/>
    <hyperlink ref="Q131" r:id="rId256" display="https://auction.openprocurement.org/tenders/989c6eee22834c1ea3c0c1ce77e33f0b"/>
    <hyperlink ref="Q679" r:id="rId257" display="https://auction.openprocurement.org/tenders/1886351d4b884ff8bc419857734c602d"/>
    <hyperlink ref="Q333" r:id="rId258" display="https://auction.openprocurement.org/tenders/ebf56618ad064df5a64712ff6b600ca3"/>
    <hyperlink ref="Q330" r:id="rId259" display="https://auction.openprocurement.org/tenders/2dbe9e1a1893472c9d616910549915de"/>
    <hyperlink ref="Q336" r:id="rId260" display="https://auction.openprocurement.org/tenders/0800628c4e7b49d793570fc9dca2110d"/>
    <hyperlink ref="Q32" r:id="rId261" display="https://auction.openprocurement.org/tenders/644ae2a08a1f49f5a75112f3850946d5"/>
    <hyperlink ref="Q699" r:id="rId262" display="https://auction.openprocurement.org/tenders/086e021dd60b479dbb66c8b70147d2f3"/>
    <hyperlink ref="Q692" r:id="rId263" display="https://auction.openprocurement.org/tenders/26244d40a4c1401a8c25218ee8c6a960"/>
    <hyperlink ref="Q520" r:id="rId264" display="https://auction.openprocurement.org/tenders/c01d82ccd4564e7aab005792a45ea605"/>
    <hyperlink ref="Q452" r:id="rId265" display="https://auction.openprocurement.org/tenders/f4316c1815e6443096bc8a91e9681065"/>
    <hyperlink ref="Q453" r:id="rId266" display="https://auction.openprocurement.org/tenders/d66b93b602544f3999723f3acce6c681"/>
    <hyperlink ref="Q451" r:id="rId267" display="https://auction.openprocurement.org/tenders/d95d659f44a44a39b18677b003482427"/>
    <hyperlink ref="Q454" r:id="rId268" display="https://auction.openprocurement.org/tenders/06568539be104daaacaadeceaf1a399a"/>
    <hyperlink ref="Q718" r:id="rId269" display="https://auction.openprocurement.org/tenders/2a3452a2370d45c49256dc4c26b09200"/>
    <hyperlink ref="Q72" r:id="rId270" display="https://auction.openprocurement.org/tenders/25abbc89608c407194f3e5ab74002593"/>
    <hyperlink ref="Q70" r:id="rId271" display="https://auction.openprocurement.org/tenders/e4c796b77a13449fa37e65d96f7e5551"/>
    <hyperlink ref="Q732" r:id="rId272" display="https://auction.openprocurement.org/tenders/b17496beaf8745e1ac0db30fcb6678da"/>
    <hyperlink ref="Q79" r:id="rId273" display="https://auction.openprocurement.org/tenders/72d1fbc15baa43f1826fb5529952df40"/>
    <hyperlink ref="Q78" r:id="rId274" display="https://auction.openprocurement.org/tenders/789e2c1d9c454d80927ff5490d07833f"/>
    <hyperlink ref="Q559" r:id="rId275" display="https://auction.openprocurement.org/tenders/8fd2bb5a31bd484d92f5f4415fab115c"/>
    <hyperlink ref="Q558" r:id="rId276" display="https://auction.openprocurement.org/tenders/2f02f574d04748f2add6c34541a01e19"/>
    <hyperlink ref="Q739" r:id="rId277" display="https://auction.openprocurement.org/tenders/86a9be6e14bd47cf8f435d58924a84e8"/>
    <hyperlink ref="Q738" r:id="rId278" display="https://auction.openprocurement.org/tenders/f9d654ea488d4de690f6f0436d6e1ded"/>
    <hyperlink ref="Q168" r:id="rId279" display="https://auction.openprocurement.org/tenders/251a35ab1621412aa47d63eec7b58a0c"/>
    <hyperlink ref="Q162" r:id="rId280" display="https://auction.openprocurement.org/tenders/09bf5949dc8642bd9b4568e8545af31f"/>
    <hyperlink ref="Q161" r:id="rId281" display="https://auction.openprocurement.org/tenders/06abccce540146e68898ba7310fa2d93"/>
    <hyperlink ref="Q470" r:id="rId282" display="https://auction.openprocurement.org/tenders/3ee3eab322864daf874a05dc45356093"/>
    <hyperlink ref="Q249" r:id="rId283" display="https://auction.openprocurement.org/tenders/1d964509e3444c5ab64bacfb5e725ae7"/>
    <hyperlink ref="Q240" r:id="rId284" display="https://auction.openprocurement.org/tenders/95c5ee544eb04e78a61b0b2733fc0270"/>
    <hyperlink ref="Q795" r:id="rId285" display="https://auction.openprocurement.org/tenders/f47376857fe6407ead9075ba0a5e0faa_3d2d400489394d3698e4f81fb78373b9"/>
    <hyperlink ref="Q797" r:id="rId286" display="https://auction.openprocurement.org/tenders/f83b15a67b654912a60f7944a618199d_0346283a025e45fb9cafcbd511275e11"/>
    <hyperlink ref="Q796" r:id="rId287" display="https://auction.openprocurement.org/tenders/f47376857fe6407ead9075ba0a5e0faa_0be480ec434e4b009fea76f4e8e21135"/>
    <hyperlink ref="Q651" r:id="rId288" display="https://auction.openprocurement.org/tenders/1e7b0f4333fd47c8b657aecacd988959"/>
    <hyperlink ref="Q82" r:id="rId289" display="https://auction.openprocurement.org/tenders/39d830a31e9a4d72ad8f398517732eaa"/>
    <hyperlink ref="Q83" r:id="rId290" display="https://auction.openprocurement.org/tenders/5b80b997f83141d5a122423b339e0eaf"/>
    <hyperlink ref="Q84" r:id="rId291" display="https://auction.openprocurement.org/tenders/6f6cde9c38534d40a438352b019566c5"/>
    <hyperlink ref="Q85" r:id="rId292" display="https://auction.openprocurement.org/tenders/2d242d882fc547ecacd21b70eaa37256"/>
    <hyperlink ref="Q540" r:id="rId293" display="https://auction.openprocurement.org/tenders/209c31a7b4c1449a80934dd239958791"/>
    <hyperlink ref="Q541" r:id="rId294" display="https://auction.openprocurement.org/tenders/20d617596e31433e82d14f241d1b9594"/>
    <hyperlink ref="Q369" r:id="rId295" display="https://auction.openprocurement.org/tenders/10098b9690d84cdcba42208e10a6ba18"/>
    <hyperlink ref="Q361" r:id="rId296" display="https://auction.openprocurement.org/tenders/bc49cd7ca57844f1a3b8f77804ffa292"/>
    <hyperlink ref="Q362" r:id="rId297" display="https://auction.openprocurement.org/tenders/396c6c3cc0df476bbd0c5c377a273b49"/>
    <hyperlink ref="Q363" r:id="rId298" display="https://auction.openprocurement.org/tenders/5113ede5bf034f10a7af8e6bc2b92222"/>
    <hyperlink ref="Q364" r:id="rId299" display="https://auction.openprocurement.org/tenders/120d57d588e6497dbb67851f09037afc"/>
    <hyperlink ref="Q366" r:id="rId300" display="https://auction.openprocurement.org/tenders/44a3c859e298495f9915a1c56dca872f"/>
    <hyperlink ref="Q418" r:id="rId301" display="https://auction.openprocurement.org/tenders/58ccfed5ff3d4bf692798e97913d521a"/>
    <hyperlink ref="Q661" r:id="rId302" display="https://auction.openprocurement.org/tenders/7b20eebbf5bb4b718b8382a438d58af9"/>
    <hyperlink ref="Q664" r:id="rId303" display="https://auction.openprocurement.org/tenders/35a9fc9446d94d4fa3473ee1c442f753"/>
    <hyperlink ref="Q34" r:id="rId304" display="https://auction.openprocurement.org/tenders/96321b407ce241d58ceee21543e1db33"/>
    <hyperlink ref="Q585" r:id="rId305" display="https://auction.openprocurement.org/tenders/eed163e5b6d84494afd1ac232deb8518"/>
    <hyperlink ref="Q586" r:id="rId306" display="https://auction.openprocurement.org/tenders/aca900f09ddf45a3b0eb0e3ba294fbb3"/>
    <hyperlink ref="Q587" r:id="rId307" display="https://auction.openprocurement.org/tenders/a385b652f5244d178bc604cbe94985bd"/>
    <hyperlink ref="Q580" r:id="rId308" display="https://auction.openprocurement.org/tenders/377491114d9740c79a1f330b6f041998_3577dbdd0f9947099b165bc89dc43765"/>
    <hyperlink ref="Q581" r:id="rId309" display="https://auction.openprocurement.org/tenders/f531be67e1b74cba9ab330e745408eb6"/>
    <hyperlink ref="Q582" r:id="rId310" display="https://auction.openprocurement.org/tenders/390e660f56c44b5a9952d20ad571d5b8"/>
    <hyperlink ref="Q589" r:id="rId311" display="https://auction.openprocurement.org/tenders/24fade6aa438437489ed9c0a25a653d2"/>
    <hyperlink ref="Q721" r:id="rId312" display="https://auction.openprocurement.org/tenders/6c37da52cbca404db93d9fad190c2731"/>
    <hyperlink ref="Q602" r:id="rId313" display="https://auction.openprocurement.org/tenders/6a4b4badf8634743872fc901f8d970f3"/>
    <hyperlink ref="Q154" r:id="rId314" display="https://auction.openprocurement.org/tenders/94f3a6acf4064ecf8cbdc19b0807b20b"/>
    <hyperlink ref="Q608" r:id="rId315" display="https://auction.openprocurement.org/tenders/58d94d5859df407ea7c884a9bb7a3775"/>
    <hyperlink ref="Q294" r:id="rId316" display="https://auction.openprocurement.org/tenders/8ab854bc638b42378e0564be0682c759"/>
    <hyperlink ref="Q295" r:id="rId317" display="https://auction.openprocurement.org/tenders/7b8dc97875c548cd93e8a9130f8a75c2"/>
    <hyperlink ref="Q296" r:id="rId318" display="https://auction.openprocurement.org/tenders/9fc0602938ab4d05a1e07b4abd1824c2"/>
    <hyperlink ref="Q297" r:id="rId319" display="https://auction.openprocurement.org/tenders/a4171942569a4f05b5b7ded3feaf7bd3"/>
    <hyperlink ref="Q292" r:id="rId320" display="https://auction.openprocurement.org/tenders/393a11408b3743e5b3aa843bdd9b54d9"/>
    <hyperlink ref="Q742" r:id="rId321" display="https://auction.openprocurement.org/tenders/60e8cc9220e04c23a73225a23a2822a4"/>
    <hyperlink ref="Q740" r:id="rId322" display="https://auction.openprocurement.org/tenders/a2c66a78e6074222bd5bb02827c0950f"/>
    <hyperlink ref="Q741" r:id="rId323" display="https://auction.openprocurement.org/tenders/9cffce64919d40fb900bbb337da797f7"/>
    <hyperlink ref="Q747" r:id="rId324" display="https://auction.openprocurement.org/tenders/d35e882324eb4f65816c899180c74608"/>
    <hyperlink ref="Q744" r:id="rId325" display="https://auction.openprocurement.org/tenders/b6c299fb7463435ba88502f02eacf066"/>
    <hyperlink ref="Q745" r:id="rId326" display="https://auction.openprocurement.org/tenders/3a6f35332aed4368bf5e3e0a4c6262bd"/>
    <hyperlink ref="Q748" r:id="rId327" display="https://auction.openprocurement.org/tenders/987e0aeb31d14f33add7c9fbb0540bf4"/>
    <hyperlink ref="Q749" r:id="rId328" display="https://auction.openprocurement.org/tenders/df56aea68e824af2a4327d17839f819a"/>
  </hyperlinks>
  <pageMargins left="0.75" right="0.75" top="1" bottom="1" header="0.5" footer="0.5"/>
  <pageSetup paperSize="9" orientation="portrait" r:id="rId3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cp:lastPrinted>2020-07-09T12:04:55Z</cp:lastPrinted>
  <dcterms:created xsi:type="dcterms:W3CDTF">2020-07-09T14:35:19Z</dcterms:created>
  <dcterms:modified xsi:type="dcterms:W3CDTF">2020-07-09T12:05:09Z</dcterms:modified>
  <cp:category/>
</cp:coreProperties>
</file>